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E:\SLRPGA\Table\"/>
    </mc:Choice>
  </mc:AlternateContent>
  <xr:revisionPtr revIDLastSave="0" documentId="13_ncr:1_{817FB823-0DD9-4175-9F78-C2DE56D57CF1}" xr6:coauthVersionLast="43" xr6:coauthVersionMax="43" xr10:uidLastSave="{00000000-0000-0000-0000-000000000000}"/>
  <bookViews>
    <workbookView xWindow="-120" yWindow="-120" windowWidth="29040" windowHeight="15840" tabRatio="790" activeTab="10" xr2:uid="{00000000-000D-0000-FFFF-FFFF00000000}"/>
  </bookViews>
  <sheets>
    <sheet name="Sheet1" sheetId="1" r:id="rId1"/>
    <sheet name="强化调整表" sheetId="2" r:id="rId2"/>
    <sheet name="青云参考（强化）" sheetId="3" r:id="rId3"/>
    <sheet name="相关定价" sheetId="5" r:id="rId4"/>
    <sheet name="进阶调整表1" sheetId="6" r:id="rId5"/>
    <sheet name="进阶值" sheetId="9" r:id="rId6"/>
    <sheet name="青云参考（进阶）" sheetId="4" r:id="rId7"/>
    <sheet name="性价比" sheetId="14" r:id="rId8"/>
    <sheet name="极品属性表调整" sheetId="13" r:id="rId9"/>
    <sheet name="总消耗和总产出" sheetId="11" r:id="rId10"/>
    <sheet name="极品属性输出" sheetId="10" r:id="rId11"/>
    <sheet name="套装调整" sheetId="17" r:id="rId12"/>
    <sheet name="青云参考（套装）" sheetId="16" r:id="rId13"/>
  </sheets>
  <definedNames>
    <definedName name="_xlnm._FilterDatabase" localSheetId="7" hidden="1">性价比!$A$1:$R$43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M4" i="10" l="1"/>
  <c r="BM5" i="10"/>
  <c r="BM6" i="10"/>
  <c r="BM7" i="10"/>
  <c r="BM8" i="10"/>
  <c r="BM9" i="10"/>
  <c r="BM10" i="10"/>
  <c r="BM11" i="10"/>
  <c r="BM12" i="10"/>
  <c r="BM13" i="10"/>
  <c r="BM14" i="10"/>
  <c r="BM15" i="10"/>
  <c r="BM16" i="10"/>
  <c r="BM17" i="10"/>
  <c r="BM18" i="10"/>
  <c r="BM19" i="10"/>
  <c r="BM20" i="10"/>
  <c r="BM21" i="10"/>
  <c r="BM22" i="10"/>
  <c r="BM23" i="10"/>
  <c r="BM3" i="10"/>
  <c r="BI4" i="10"/>
  <c r="BI5" i="10"/>
  <c r="BI6" i="10"/>
  <c r="BI7" i="10"/>
  <c r="BI8" i="10"/>
  <c r="BI9" i="10"/>
  <c r="BI10" i="10"/>
  <c r="BI11" i="10"/>
  <c r="BI12" i="10"/>
  <c r="BI13" i="10"/>
  <c r="BI14" i="10"/>
  <c r="BI15" i="10"/>
  <c r="BI16" i="10"/>
  <c r="BI17" i="10"/>
  <c r="BI18" i="10"/>
  <c r="BI19" i="10"/>
  <c r="BI20" i="10"/>
  <c r="BI21" i="10"/>
  <c r="BI22" i="10"/>
  <c r="BI23" i="10"/>
  <c r="BI3" i="10"/>
  <c r="BE4" i="10"/>
  <c r="BE5" i="10"/>
  <c r="BE6" i="10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3" i="10"/>
  <c r="BA4" i="10"/>
  <c r="BA5" i="10"/>
  <c r="BA6" i="10"/>
  <c r="BA7" i="10"/>
  <c r="BA8" i="10"/>
  <c r="BA9" i="10"/>
  <c r="BA10" i="10"/>
  <c r="BA11" i="10"/>
  <c r="BA12" i="10"/>
  <c r="BA13" i="10"/>
  <c r="BA14" i="10"/>
  <c r="BA15" i="10"/>
  <c r="BA16" i="10"/>
  <c r="BA17" i="10"/>
  <c r="BA18" i="10"/>
  <c r="BA19" i="10"/>
  <c r="BA20" i="10"/>
  <c r="BA21" i="10"/>
  <c r="BA22" i="10"/>
  <c r="BA23" i="10"/>
  <c r="BA3" i="10"/>
  <c r="AW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3" i="10"/>
  <c r="AS4" i="10"/>
  <c r="AS5" i="10"/>
  <c r="AS6" i="10"/>
  <c r="AS7" i="10"/>
  <c r="AS8" i="10"/>
  <c r="AS9" i="10"/>
  <c r="AS10" i="10"/>
  <c r="AS11" i="10"/>
  <c r="AS12" i="10"/>
  <c r="AS13" i="10"/>
  <c r="AS14" i="10"/>
  <c r="AS15" i="10"/>
  <c r="AS16" i="10"/>
  <c r="AS17" i="10"/>
  <c r="AS18" i="10"/>
  <c r="AS19" i="10"/>
  <c r="AS20" i="10"/>
  <c r="AS21" i="10"/>
  <c r="AS22" i="10"/>
  <c r="AS23" i="10"/>
  <c r="AS3" i="10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D4" i="2" l="1"/>
  <c r="D5" i="2" s="1"/>
  <c r="D6" i="2" s="1"/>
  <c r="D7" i="2" s="1"/>
  <c r="D8" i="2" s="1"/>
  <c r="D9" i="2" s="1"/>
  <c r="D10" i="2" s="1"/>
  <c r="D11" i="2" s="1"/>
  <c r="V11" i="14"/>
  <c r="H6" i="17" l="1"/>
  <c r="K2" i="17"/>
  <c r="G14" i="17"/>
  <c r="G15" i="17" s="1"/>
  <c r="G16" i="17" s="1"/>
  <c r="O9" i="17" s="1"/>
  <c r="G2" i="17"/>
  <c r="F6" i="17" s="1"/>
  <c r="F14" i="17"/>
  <c r="G3" i="17" s="1"/>
  <c r="F7" i="17" s="1"/>
  <c r="E2" i="17"/>
  <c r="D6" i="17" s="1"/>
  <c r="E14" i="17"/>
  <c r="E3" i="17" s="1"/>
  <c r="D7" i="17" s="1"/>
  <c r="G15" i="16"/>
  <c r="F16" i="16"/>
  <c r="G16" i="16" s="1"/>
  <c r="H16" i="16" s="1"/>
  <c r="F17" i="16"/>
  <c r="F15" i="16"/>
  <c r="F14" i="16"/>
  <c r="G14" i="16" s="1"/>
  <c r="AA15" i="16"/>
  <c r="AA14" i="16"/>
  <c r="X2" i="16"/>
  <c r="N9" i="16"/>
  <c r="AC6" i="16"/>
  <c r="AA5" i="16"/>
  <c r="T4" i="16"/>
  <c r="AA16" i="16" s="1"/>
  <c r="AB16" i="16" s="1"/>
  <c r="W3" i="16"/>
  <c r="W2" i="16"/>
  <c r="Q8" i="16"/>
  <c r="Q9" i="16"/>
  <c r="Q10" i="16"/>
  <c r="Q7" i="16"/>
  <c r="N8" i="16"/>
  <c r="N10" i="16"/>
  <c r="N7" i="16"/>
  <c r="K3" i="16"/>
  <c r="K4" i="16"/>
  <c r="K5" i="16"/>
  <c r="K2" i="16"/>
  <c r="H3" i="16"/>
  <c r="H4" i="16"/>
  <c r="H5" i="16"/>
  <c r="H2" i="16"/>
  <c r="P9" i="16"/>
  <c r="P10" i="16"/>
  <c r="P8" i="16"/>
  <c r="M9" i="16"/>
  <c r="M10" i="16"/>
  <c r="M8" i="16"/>
  <c r="J4" i="16"/>
  <c r="J5" i="16"/>
  <c r="J3" i="16"/>
  <c r="G4" i="16"/>
  <c r="G5" i="16"/>
  <c r="G3" i="16"/>
  <c r="X4" i="14"/>
  <c r="D13" i="2"/>
  <c r="D14" i="2" s="1"/>
  <c r="D15" i="2" s="1"/>
  <c r="D16" i="2" s="1"/>
  <c r="D17" i="2" s="1"/>
  <c r="D18" i="2" s="1"/>
  <c r="D19" i="2" s="1"/>
  <c r="D20" i="2" s="1"/>
  <c r="D21" i="2" s="1"/>
  <c r="D23" i="2"/>
  <c r="D24" i="2"/>
  <c r="D25" i="2" s="1"/>
  <c r="D26" i="2" s="1"/>
  <c r="D27" i="2" s="1"/>
  <c r="D28" i="2" s="1"/>
  <c r="D29" i="2" s="1"/>
  <c r="D30" i="2" s="1"/>
  <c r="D31" i="2" s="1"/>
  <c r="D33" i="2"/>
  <c r="D34" i="2" s="1"/>
  <c r="D35" i="2" s="1"/>
  <c r="D36" i="2" s="1"/>
  <c r="D37" i="2" s="1"/>
  <c r="D38" i="2" s="1"/>
  <c r="D39" i="2" s="1"/>
  <c r="D40" i="2" s="1"/>
  <c r="D41" i="2" s="1"/>
  <c r="D43" i="2"/>
  <c r="D44" i="2" s="1"/>
  <c r="D45" i="2" s="1"/>
  <c r="D46" i="2" s="1"/>
  <c r="D47" i="2" s="1"/>
  <c r="D48" i="2" s="1"/>
  <c r="D49" i="2" s="1"/>
  <c r="D50" i="2" s="1"/>
  <c r="D51" i="2" s="1"/>
  <c r="D53" i="2"/>
  <c r="D54" i="2" s="1"/>
  <c r="D55" i="2" s="1"/>
  <c r="D56" i="2" s="1"/>
  <c r="D57" i="2" s="1"/>
  <c r="D58" i="2" s="1"/>
  <c r="D59" i="2" s="1"/>
  <c r="D60" i="2" s="1"/>
  <c r="D61" i="2" s="1"/>
  <c r="D63" i="2"/>
  <c r="D64" i="2" s="1"/>
  <c r="D65" i="2" s="1"/>
  <c r="D66" i="2" s="1"/>
  <c r="D67" i="2" s="1"/>
  <c r="D68" i="2" s="1"/>
  <c r="D69" i="2" s="1"/>
  <c r="D70" i="2" s="1"/>
  <c r="D71" i="2" s="1"/>
  <c r="H15" i="16" l="1"/>
  <c r="G17" i="16"/>
  <c r="H17" i="16" s="1"/>
  <c r="E15" i="17"/>
  <c r="L4" i="17"/>
  <c r="F15" i="17"/>
  <c r="N5" i="17"/>
  <c r="H7" i="17"/>
  <c r="I8" i="17"/>
  <c r="K3" i="17"/>
  <c r="AB15" i="16"/>
  <c r="L3" i="11"/>
  <c r="J4" i="11"/>
  <c r="D9" i="11"/>
  <c r="D10" i="11" s="1"/>
  <c r="B3" i="11"/>
  <c r="B7" i="11" s="1"/>
  <c r="B8" i="11" s="1"/>
  <c r="D8" i="11" s="1"/>
  <c r="I3" i="14"/>
  <c r="E3" i="14"/>
  <c r="E4" i="14"/>
  <c r="E5" i="14"/>
  <c r="E6" i="14"/>
  <c r="I6" i="14" s="1"/>
  <c r="E7" i="14"/>
  <c r="I7" i="14" s="1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2" i="14"/>
  <c r="H2" i="14" s="1"/>
  <c r="C3" i="2"/>
  <c r="H2" i="2"/>
  <c r="G2" i="2"/>
  <c r="D3" i="14"/>
  <c r="D4" i="14"/>
  <c r="D5" i="14"/>
  <c r="D6" i="14"/>
  <c r="D7" i="14"/>
  <c r="D8" i="14"/>
  <c r="D9" i="14"/>
  <c r="O9" i="14" s="1"/>
  <c r="D10" i="14"/>
  <c r="P10" i="14" s="1"/>
  <c r="D11" i="14"/>
  <c r="D12" i="14"/>
  <c r="D13" i="14"/>
  <c r="D14" i="14"/>
  <c r="D15" i="14"/>
  <c r="D16" i="14"/>
  <c r="O16" i="14" s="1"/>
  <c r="D17" i="14"/>
  <c r="D18" i="14"/>
  <c r="D19" i="14"/>
  <c r="D20" i="14"/>
  <c r="D21" i="14"/>
  <c r="D22" i="14"/>
  <c r="D23" i="14"/>
  <c r="O23" i="14" s="1"/>
  <c r="O24" i="14" s="1"/>
  <c r="D24" i="14"/>
  <c r="D25" i="14"/>
  <c r="D26" i="14"/>
  <c r="D27" i="14"/>
  <c r="D28" i="14"/>
  <c r="D29" i="14"/>
  <c r="D30" i="14"/>
  <c r="O30" i="14" s="1"/>
  <c r="D31" i="14"/>
  <c r="D32" i="14"/>
  <c r="D33" i="14"/>
  <c r="D34" i="14"/>
  <c r="D35" i="14"/>
  <c r="D36" i="14"/>
  <c r="D37" i="14"/>
  <c r="O37" i="14" s="1"/>
  <c r="D38" i="14"/>
  <c r="D39" i="14"/>
  <c r="D40" i="14"/>
  <c r="D41" i="14"/>
  <c r="D42" i="14"/>
  <c r="D43" i="14"/>
  <c r="D2" i="14"/>
  <c r="O2" i="14" s="1"/>
  <c r="P12" i="14"/>
  <c r="X5" i="14"/>
  <c r="P18" i="14" s="1"/>
  <c r="X6" i="14"/>
  <c r="P24" i="14" s="1"/>
  <c r="X3" i="14"/>
  <c r="P6" i="14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2" i="14"/>
  <c r="C35" i="9"/>
  <c r="D35" i="9" s="1"/>
  <c r="C42" i="9"/>
  <c r="D42" i="9" s="1"/>
  <c r="C28" i="9"/>
  <c r="D28" i="9" s="1"/>
  <c r="E28" i="9" s="1"/>
  <c r="G43" i="9"/>
  <c r="G44" i="9" s="1"/>
  <c r="G45" i="9" s="1"/>
  <c r="G46" i="9" s="1"/>
  <c r="G47" i="9" s="1"/>
  <c r="G48" i="9" s="1"/>
  <c r="C48" i="9" s="1"/>
  <c r="D48" i="9" s="1"/>
  <c r="G36" i="9"/>
  <c r="G37" i="9" s="1"/>
  <c r="G38" i="9" s="1"/>
  <c r="G39" i="9" s="1"/>
  <c r="G40" i="9" s="1"/>
  <c r="G41" i="9" s="1"/>
  <c r="C41" i="9" s="1"/>
  <c r="D41" i="9" s="1"/>
  <c r="G29" i="9"/>
  <c r="G30" i="9" s="1"/>
  <c r="E5" i="9"/>
  <c r="E6" i="9" s="1"/>
  <c r="E7" i="9" s="1"/>
  <c r="E8" i="9" s="1"/>
  <c r="E9" i="9" s="1"/>
  <c r="E10" i="9" s="1"/>
  <c r="E24" i="9" s="1"/>
  <c r="I24" i="9" s="1"/>
  <c r="E48" i="9" l="1"/>
  <c r="E42" i="9"/>
  <c r="E4" i="17"/>
  <c r="D8" i="17" s="1"/>
  <c r="E16" i="17"/>
  <c r="E5" i="17" s="1"/>
  <c r="D9" i="17" s="1"/>
  <c r="F2" i="2"/>
  <c r="K2" i="2"/>
  <c r="E41" i="9"/>
  <c r="E35" i="9"/>
  <c r="G4" i="17"/>
  <c r="F8" i="17" s="1"/>
  <c r="F16" i="17"/>
  <c r="G5" i="17" s="1"/>
  <c r="F9" i="17" s="1"/>
  <c r="P22" i="14"/>
  <c r="P4" i="14"/>
  <c r="P28" i="14"/>
  <c r="O17" i="14"/>
  <c r="O18" i="14" s="1"/>
  <c r="O19" i="14" s="1"/>
  <c r="O20" i="14" s="1"/>
  <c r="O21" i="14" s="1"/>
  <c r="O22" i="14" s="1"/>
  <c r="P16" i="14"/>
  <c r="O10" i="14"/>
  <c r="O11" i="14" s="1"/>
  <c r="O12" i="14" s="1"/>
  <c r="O13" i="14" s="1"/>
  <c r="O14" i="14" s="1"/>
  <c r="O15" i="14" s="1"/>
  <c r="O3" i="14"/>
  <c r="O4" i="14" s="1"/>
  <c r="O5" i="14" s="1"/>
  <c r="O6" i="14" s="1"/>
  <c r="O7" i="14" s="1"/>
  <c r="O8" i="14" s="1"/>
  <c r="O31" i="14"/>
  <c r="O32" i="14" s="1"/>
  <c r="O33" i="14" s="1"/>
  <c r="O34" i="14" s="1"/>
  <c r="O35" i="14" s="1"/>
  <c r="O36" i="14" s="1"/>
  <c r="I4" i="14"/>
  <c r="I5" i="14"/>
  <c r="I8" i="14"/>
  <c r="O38" i="14"/>
  <c r="O39" i="14" s="1"/>
  <c r="O40" i="14" s="1"/>
  <c r="O41" i="14" s="1"/>
  <c r="O42" i="14" s="1"/>
  <c r="O43" i="14" s="1"/>
  <c r="I2" i="14"/>
  <c r="O25" i="14"/>
  <c r="O26" i="14" s="1"/>
  <c r="O27" i="14" s="1"/>
  <c r="O28" i="14" s="1"/>
  <c r="O29" i="14" s="1"/>
  <c r="J6" i="11"/>
  <c r="I43" i="14"/>
  <c r="I36" i="14"/>
  <c r="I29" i="14"/>
  <c r="D7" i="11"/>
  <c r="G31" i="9"/>
  <c r="C30" i="9"/>
  <c r="J5" i="10" s="1"/>
  <c r="G27" i="10" s="1"/>
  <c r="E4" i="13" s="1"/>
  <c r="C29" i="9"/>
  <c r="P29" i="14"/>
  <c r="P23" i="14"/>
  <c r="P17" i="14"/>
  <c r="P11" i="14"/>
  <c r="P5" i="14"/>
  <c r="P27" i="14"/>
  <c r="P21" i="14"/>
  <c r="P15" i="14"/>
  <c r="P9" i="14"/>
  <c r="P3" i="14"/>
  <c r="P2" i="14"/>
  <c r="P26" i="14"/>
  <c r="P20" i="14"/>
  <c r="P14" i="14"/>
  <c r="P8" i="14"/>
  <c r="P25" i="14"/>
  <c r="P19" i="14"/>
  <c r="P13" i="14"/>
  <c r="P7" i="14"/>
  <c r="C4" i="2"/>
  <c r="C45" i="9"/>
  <c r="C47" i="9"/>
  <c r="C46" i="9"/>
  <c r="C44" i="9"/>
  <c r="C43" i="9"/>
  <c r="C40" i="9"/>
  <c r="C39" i="9"/>
  <c r="C38" i="9"/>
  <c r="C37" i="9"/>
  <c r="C36" i="9"/>
  <c r="E12" i="9"/>
  <c r="E16" i="9"/>
  <c r="E23" i="9"/>
  <c r="I10" i="9"/>
  <c r="E15" i="9"/>
  <c r="E22" i="9"/>
  <c r="E21" i="9"/>
  <c r="I8" i="9"/>
  <c r="E13" i="9"/>
  <c r="E20" i="9"/>
  <c r="I7" i="9"/>
  <c r="I9" i="9"/>
  <c r="E14" i="9"/>
  <c r="E19" i="9"/>
  <c r="I6" i="9"/>
  <c r="E17" i="9"/>
  <c r="I5" i="9"/>
  <c r="Q12" i="6"/>
  <c r="Q19" i="6"/>
  <c r="AP10" i="10"/>
  <c r="AL10" i="10"/>
  <c r="AT10" i="10" s="1"/>
  <c r="AQ32" i="10" s="1"/>
  <c r="AL16" i="10"/>
  <c r="AT16" i="10" s="1"/>
  <c r="AL17" i="10"/>
  <c r="AI39" i="10" s="1"/>
  <c r="L16" i="13" s="1"/>
  <c r="AL23" i="10"/>
  <c r="J23" i="10"/>
  <c r="G45" i="10" s="1"/>
  <c r="E22" i="13" s="1"/>
  <c r="J16" i="10"/>
  <c r="G38" i="10" s="1"/>
  <c r="E15" i="13" s="1"/>
  <c r="J4" i="10"/>
  <c r="G26" i="10" s="1"/>
  <c r="J10" i="10"/>
  <c r="G32" i="10" s="1"/>
  <c r="E9" i="13" s="1"/>
  <c r="F23" i="10"/>
  <c r="AH23" i="10" s="1"/>
  <c r="F16" i="10"/>
  <c r="AD16" i="10" s="1"/>
  <c r="P6" i="6"/>
  <c r="P11" i="6"/>
  <c r="K11" i="14" s="1"/>
  <c r="P12" i="6"/>
  <c r="K12" i="14" s="1"/>
  <c r="R31" i="6"/>
  <c r="R49" i="6"/>
  <c r="S49" i="6" s="1"/>
  <c r="P19" i="6"/>
  <c r="K19" i="14" s="1"/>
  <c r="P43" i="6"/>
  <c r="P91" i="6"/>
  <c r="Q91" i="6" s="1"/>
  <c r="P115" i="6"/>
  <c r="Q115" i="6" s="1"/>
  <c r="L86" i="6"/>
  <c r="L128" i="6" s="1"/>
  <c r="J86" i="6"/>
  <c r="J128" i="6" s="1"/>
  <c r="J11" i="9"/>
  <c r="J18" i="9"/>
  <c r="J4" i="9"/>
  <c r="G4" i="9"/>
  <c r="I4" i="9"/>
  <c r="M2" i="6" s="1"/>
  <c r="M44" i="6" s="1"/>
  <c r="H3" i="6"/>
  <c r="H4" i="6"/>
  <c r="H5" i="6"/>
  <c r="H6" i="6"/>
  <c r="H7" i="6"/>
  <c r="P7" i="6" s="1"/>
  <c r="H8" i="6"/>
  <c r="H9" i="6"/>
  <c r="H10" i="6"/>
  <c r="H11" i="6"/>
  <c r="H12" i="6"/>
  <c r="H13" i="6"/>
  <c r="R13" i="6" s="1"/>
  <c r="H14" i="6"/>
  <c r="H15" i="6"/>
  <c r="H16" i="6"/>
  <c r="H17" i="6"/>
  <c r="H18" i="6"/>
  <c r="H19" i="6"/>
  <c r="H20" i="6"/>
  <c r="H21" i="6"/>
  <c r="H22" i="6"/>
  <c r="H23" i="6"/>
  <c r="H24" i="6"/>
  <c r="H25" i="6"/>
  <c r="P25" i="6" s="1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R43" i="6" s="1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P79" i="6" s="1"/>
  <c r="Q79" i="6" s="1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2" i="6"/>
  <c r="T159" i="6" l="1"/>
  <c r="F159" i="6"/>
  <c r="G159" i="6" s="1"/>
  <c r="T141" i="6"/>
  <c r="F141" i="6"/>
  <c r="G141" i="6" s="1"/>
  <c r="T123" i="6"/>
  <c r="F123" i="6"/>
  <c r="G123" i="6" s="1"/>
  <c r="T111" i="6"/>
  <c r="F111" i="6"/>
  <c r="G111" i="6" s="1"/>
  <c r="T93" i="6"/>
  <c r="F93" i="6"/>
  <c r="G93" i="6" s="1"/>
  <c r="N2" i="6"/>
  <c r="T2" i="6"/>
  <c r="F2" i="6"/>
  <c r="G2" i="6" s="1"/>
  <c r="T152" i="6"/>
  <c r="F152" i="6"/>
  <c r="G152" i="6" s="1"/>
  <c r="N152" i="6"/>
  <c r="O152" i="6" s="1"/>
  <c r="T134" i="6"/>
  <c r="F134" i="6"/>
  <c r="G134" i="6" s="1"/>
  <c r="N134" i="6"/>
  <c r="O134" i="6" s="1"/>
  <c r="T116" i="6"/>
  <c r="F116" i="6"/>
  <c r="G116" i="6" s="1"/>
  <c r="N116" i="6"/>
  <c r="O116" i="6" s="1"/>
  <c r="T98" i="6"/>
  <c r="F98" i="6"/>
  <c r="G98" i="6" s="1"/>
  <c r="T80" i="6"/>
  <c r="F80" i="6"/>
  <c r="G80" i="6" s="1"/>
  <c r="N80" i="6"/>
  <c r="O80" i="6" s="1"/>
  <c r="T62" i="6"/>
  <c r="F62" i="6"/>
  <c r="G62" i="6" s="1"/>
  <c r="T50" i="6"/>
  <c r="F50" i="6"/>
  <c r="G50" i="6" s="1"/>
  <c r="T32" i="6"/>
  <c r="F32" i="6"/>
  <c r="G32" i="6" s="1"/>
  <c r="N14" i="6"/>
  <c r="T14" i="6"/>
  <c r="F14" i="6"/>
  <c r="G14" i="6" s="1"/>
  <c r="T163" i="6"/>
  <c r="F163" i="6"/>
  <c r="G163" i="6" s="1"/>
  <c r="T145" i="6"/>
  <c r="F145" i="6"/>
  <c r="G145" i="6" s="1"/>
  <c r="T127" i="6"/>
  <c r="F127" i="6"/>
  <c r="G127" i="6" s="1"/>
  <c r="T115" i="6"/>
  <c r="F115" i="6"/>
  <c r="G115" i="6" s="1"/>
  <c r="R115" i="6"/>
  <c r="S115" i="6" s="1"/>
  <c r="T103" i="6"/>
  <c r="F103" i="6"/>
  <c r="G103" i="6" s="1"/>
  <c r="T97" i="6"/>
  <c r="F97" i="6"/>
  <c r="G97" i="6" s="1"/>
  <c r="P97" i="6"/>
  <c r="Q97" i="6" s="1"/>
  <c r="K25" i="14"/>
  <c r="Q25" i="6"/>
  <c r="L13" i="14"/>
  <c r="S13" i="6"/>
  <c r="K7" i="14"/>
  <c r="Q7" i="6"/>
  <c r="N98" i="6"/>
  <c r="O98" i="6" s="1"/>
  <c r="K43" i="14"/>
  <c r="Q43" i="6"/>
  <c r="P14" i="6"/>
  <c r="D40" i="9"/>
  <c r="AL15" i="10" s="1"/>
  <c r="E40" i="9"/>
  <c r="J15" i="10"/>
  <c r="G37" i="10" s="1"/>
  <c r="E14" i="13" s="1"/>
  <c r="P153" i="6"/>
  <c r="Q153" i="6" s="1"/>
  <c r="T153" i="6"/>
  <c r="F153" i="6"/>
  <c r="G153" i="6" s="1"/>
  <c r="P135" i="6"/>
  <c r="Q135" i="6" s="1"/>
  <c r="T135" i="6"/>
  <c r="F135" i="6"/>
  <c r="G135" i="6" s="1"/>
  <c r="T105" i="6"/>
  <c r="F105" i="6"/>
  <c r="G105" i="6" s="1"/>
  <c r="C5" i="2"/>
  <c r="C6" i="2" s="1"/>
  <c r="C7" i="2" s="1"/>
  <c r="C8" i="2" s="1"/>
  <c r="C9" i="2" s="1"/>
  <c r="C10" i="2" s="1"/>
  <c r="C11" i="2" s="1"/>
  <c r="C12" i="2" s="1"/>
  <c r="E5" i="2"/>
  <c r="E12" i="2"/>
  <c r="E4" i="2"/>
  <c r="E11" i="2"/>
  <c r="E10" i="2"/>
  <c r="E8" i="2"/>
  <c r="E9" i="2"/>
  <c r="E7" i="2"/>
  <c r="E6" i="2"/>
  <c r="N164" i="6"/>
  <c r="O164" i="6" s="1"/>
  <c r="T164" i="6"/>
  <c r="F164" i="6"/>
  <c r="G164" i="6" s="1"/>
  <c r="N146" i="6"/>
  <c r="O146" i="6" s="1"/>
  <c r="T146" i="6"/>
  <c r="F146" i="6"/>
  <c r="G146" i="6" s="1"/>
  <c r="N128" i="6"/>
  <c r="O128" i="6" s="1"/>
  <c r="T128" i="6"/>
  <c r="F128" i="6"/>
  <c r="G128" i="6" s="1"/>
  <c r="T110" i="6"/>
  <c r="F110" i="6"/>
  <c r="G110" i="6" s="1"/>
  <c r="T92" i="6"/>
  <c r="F92" i="6"/>
  <c r="G92" i="6" s="1"/>
  <c r="T74" i="6"/>
  <c r="F74" i="6"/>
  <c r="G74" i="6" s="1"/>
  <c r="T44" i="6"/>
  <c r="F44" i="6"/>
  <c r="G44" i="6" s="1"/>
  <c r="N44" i="6"/>
  <c r="O44" i="6" s="1"/>
  <c r="T26" i="6"/>
  <c r="F26" i="6"/>
  <c r="G26" i="6" s="1"/>
  <c r="N26" i="6"/>
  <c r="L31" i="14"/>
  <c r="S31" i="6"/>
  <c r="T169" i="6"/>
  <c r="F169" i="6"/>
  <c r="G169" i="6" s="1"/>
  <c r="T151" i="6"/>
  <c r="F151" i="6"/>
  <c r="G151" i="6" s="1"/>
  <c r="R151" i="6"/>
  <c r="S151" i="6" s="1"/>
  <c r="T133" i="6"/>
  <c r="F133" i="6"/>
  <c r="G133" i="6" s="1"/>
  <c r="P133" i="6"/>
  <c r="Q133" i="6" s="1"/>
  <c r="T121" i="6"/>
  <c r="F121" i="6"/>
  <c r="G121" i="6" s="1"/>
  <c r="P121" i="6"/>
  <c r="Q121" i="6" s="1"/>
  <c r="T109" i="6"/>
  <c r="F109" i="6"/>
  <c r="G109" i="6" s="1"/>
  <c r="T91" i="6"/>
  <c r="F91" i="6"/>
  <c r="G91" i="6" s="1"/>
  <c r="L43" i="14"/>
  <c r="S43" i="6"/>
  <c r="N62" i="6"/>
  <c r="O62" i="6" s="1"/>
  <c r="P169" i="6"/>
  <c r="Q169" i="6" s="1"/>
  <c r="R121" i="6"/>
  <c r="S121" i="6" s="1"/>
  <c r="T165" i="6"/>
  <c r="F165" i="6"/>
  <c r="G165" i="6" s="1"/>
  <c r="P147" i="6"/>
  <c r="Q147" i="6" s="1"/>
  <c r="T147" i="6"/>
  <c r="F147" i="6"/>
  <c r="G147" i="6" s="1"/>
  <c r="P129" i="6"/>
  <c r="Q129" i="6" s="1"/>
  <c r="T129" i="6"/>
  <c r="F129" i="6"/>
  <c r="G129" i="6" s="1"/>
  <c r="P117" i="6"/>
  <c r="Q117" i="6" s="1"/>
  <c r="T117" i="6"/>
  <c r="F117" i="6"/>
  <c r="G117" i="6" s="1"/>
  <c r="T99" i="6"/>
  <c r="F99" i="6"/>
  <c r="G99" i="6" s="1"/>
  <c r="K6" i="14"/>
  <c r="Q6" i="6"/>
  <c r="T158" i="6"/>
  <c r="F158" i="6"/>
  <c r="G158" i="6" s="1"/>
  <c r="N140" i="6"/>
  <c r="O140" i="6" s="1"/>
  <c r="T140" i="6"/>
  <c r="F140" i="6"/>
  <c r="G140" i="6" s="1"/>
  <c r="N122" i="6"/>
  <c r="O122" i="6" s="1"/>
  <c r="T122" i="6"/>
  <c r="F122" i="6"/>
  <c r="G122" i="6" s="1"/>
  <c r="T104" i="6"/>
  <c r="F104" i="6"/>
  <c r="G104" i="6" s="1"/>
  <c r="T86" i="6"/>
  <c r="F86" i="6"/>
  <c r="G86" i="6" s="1"/>
  <c r="T68" i="6"/>
  <c r="F68" i="6"/>
  <c r="G68" i="6" s="1"/>
  <c r="N56" i="6"/>
  <c r="O56" i="6" s="1"/>
  <c r="T56" i="6"/>
  <c r="F56" i="6"/>
  <c r="G56" i="6" s="1"/>
  <c r="T38" i="6"/>
  <c r="F38" i="6"/>
  <c r="G38" i="6" s="1"/>
  <c r="T20" i="6"/>
  <c r="F20" i="6"/>
  <c r="G20" i="6" s="1"/>
  <c r="T8" i="6"/>
  <c r="F8" i="6"/>
  <c r="G8" i="6" s="1"/>
  <c r="N8" i="6"/>
  <c r="T157" i="6"/>
  <c r="F157" i="6"/>
  <c r="G157" i="6" s="1"/>
  <c r="R157" i="6"/>
  <c r="S157" i="6" s="1"/>
  <c r="P157" i="6"/>
  <c r="Q157" i="6" s="1"/>
  <c r="T139" i="6"/>
  <c r="F139" i="6"/>
  <c r="G139" i="6" s="1"/>
  <c r="R139" i="6"/>
  <c r="S139" i="6" s="1"/>
  <c r="P139" i="6"/>
  <c r="Q139" i="6" s="1"/>
  <c r="T166" i="6"/>
  <c r="F166" i="6"/>
  <c r="G166" i="6" s="1"/>
  <c r="T160" i="6"/>
  <c r="F160" i="6"/>
  <c r="G160" i="6" s="1"/>
  <c r="T154" i="6"/>
  <c r="F154" i="6"/>
  <c r="G154" i="6" s="1"/>
  <c r="T148" i="6"/>
  <c r="F148" i="6"/>
  <c r="G148" i="6" s="1"/>
  <c r="T142" i="6"/>
  <c r="F142" i="6"/>
  <c r="G142" i="6" s="1"/>
  <c r="T136" i="6"/>
  <c r="F136" i="6"/>
  <c r="G136" i="6" s="1"/>
  <c r="T130" i="6"/>
  <c r="F130" i="6"/>
  <c r="G130" i="6" s="1"/>
  <c r="T124" i="6"/>
  <c r="F124" i="6"/>
  <c r="G124" i="6" s="1"/>
  <c r="T118" i="6"/>
  <c r="F118" i="6"/>
  <c r="G118" i="6" s="1"/>
  <c r="T112" i="6"/>
  <c r="F112" i="6"/>
  <c r="G112" i="6" s="1"/>
  <c r="T106" i="6"/>
  <c r="F106" i="6"/>
  <c r="G106" i="6" s="1"/>
  <c r="T100" i="6"/>
  <c r="F100" i="6"/>
  <c r="G100" i="6" s="1"/>
  <c r="T94" i="6"/>
  <c r="F94" i="6"/>
  <c r="G94" i="6" s="1"/>
  <c r="T88" i="6"/>
  <c r="F88" i="6"/>
  <c r="G88" i="6" s="1"/>
  <c r="T82" i="6"/>
  <c r="F82" i="6"/>
  <c r="G82" i="6" s="1"/>
  <c r="T76" i="6"/>
  <c r="F76" i="6"/>
  <c r="G76" i="6" s="1"/>
  <c r="T70" i="6"/>
  <c r="F70" i="6"/>
  <c r="G70" i="6" s="1"/>
  <c r="T64" i="6"/>
  <c r="F64" i="6"/>
  <c r="G64" i="6" s="1"/>
  <c r="T58" i="6"/>
  <c r="F58" i="6"/>
  <c r="G58" i="6" s="1"/>
  <c r="T52" i="6"/>
  <c r="F52" i="6"/>
  <c r="G52" i="6" s="1"/>
  <c r="T46" i="6"/>
  <c r="F46" i="6"/>
  <c r="G46" i="6" s="1"/>
  <c r="T40" i="6"/>
  <c r="F40" i="6"/>
  <c r="G40" i="6" s="1"/>
  <c r="T34" i="6"/>
  <c r="F34" i="6"/>
  <c r="G34" i="6" s="1"/>
  <c r="T28" i="6"/>
  <c r="F28" i="6"/>
  <c r="G28" i="6" s="1"/>
  <c r="T22" i="6"/>
  <c r="F22" i="6"/>
  <c r="G22" i="6" s="1"/>
  <c r="T16" i="6"/>
  <c r="F16" i="6"/>
  <c r="G16" i="6" s="1"/>
  <c r="T10" i="6"/>
  <c r="F10" i="6"/>
  <c r="G10" i="6" s="1"/>
  <c r="P10" i="6"/>
  <c r="T4" i="6"/>
  <c r="F4" i="6"/>
  <c r="G4" i="6" s="1"/>
  <c r="P151" i="6"/>
  <c r="Q151" i="6" s="1"/>
  <c r="R103" i="6"/>
  <c r="S103" i="6" s="1"/>
  <c r="P8" i="6"/>
  <c r="T87" i="6"/>
  <c r="F87" i="6"/>
  <c r="G87" i="6" s="1"/>
  <c r="T81" i="6"/>
  <c r="F81" i="6"/>
  <c r="G81" i="6" s="1"/>
  <c r="T75" i="6"/>
  <c r="F75" i="6"/>
  <c r="G75" i="6" s="1"/>
  <c r="T69" i="6"/>
  <c r="F69" i="6"/>
  <c r="G69" i="6" s="1"/>
  <c r="T63" i="6"/>
  <c r="F63" i="6"/>
  <c r="G63" i="6" s="1"/>
  <c r="T57" i="6"/>
  <c r="F57" i="6"/>
  <c r="G57" i="6" s="1"/>
  <c r="T51" i="6"/>
  <c r="F51" i="6"/>
  <c r="G51" i="6" s="1"/>
  <c r="T45" i="6"/>
  <c r="F45" i="6"/>
  <c r="G45" i="6" s="1"/>
  <c r="T39" i="6"/>
  <c r="F39" i="6"/>
  <c r="G39" i="6" s="1"/>
  <c r="T33" i="6"/>
  <c r="F33" i="6"/>
  <c r="G33" i="6" s="1"/>
  <c r="T27" i="6"/>
  <c r="F27" i="6"/>
  <c r="G27" i="6" s="1"/>
  <c r="T21" i="6"/>
  <c r="F21" i="6"/>
  <c r="G21" i="6" s="1"/>
  <c r="T15" i="6"/>
  <c r="F15" i="6"/>
  <c r="G15" i="6" s="1"/>
  <c r="T9" i="6"/>
  <c r="F9" i="6"/>
  <c r="G9" i="6" s="1"/>
  <c r="T3" i="6"/>
  <c r="F3" i="6"/>
  <c r="G3" i="6" s="1"/>
  <c r="P13" i="6"/>
  <c r="AX16" i="10"/>
  <c r="AU38" i="10" s="1"/>
  <c r="O15" i="13" s="1"/>
  <c r="AQ38" i="10"/>
  <c r="N15" i="13" s="1"/>
  <c r="Q11" i="6"/>
  <c r="D43" i="9"/>
  <c r="AL18" i="10" s="1"/>
  <c r="E43" i="9"/>
  <c r="T85" i="6"/>
  <c r="F85" i="6"/>
  <c r="G85" i="6" s="1"/>
  <c r="T67" i="6"/>
  <c r="F67" i="6"/>
  <c r="G67" i="6" s="1"/>
  <c r="T43" i="6"/>
  <c r="F43" i="6"/>
  <c r="G43" i="6" s="1"/>
  <c r="T19" i="6"/>
  <c r="F19" i="6"/>
  <c r="G19" i="6" s="1"/>
  <c r="K2" i="6"/>
  <c r="K44" i="6" s="1"/>
  <c r="K4" i="9"/>
  <c r="R85" i="6"/>
  <c r="S85" i="6" s="1"/>
  <c r="AM32" i="10"/>
  <c r="M9" i="13" s="1"/>
  <c r="T79" i="6"/>
  <c r="F79" i="6"/>
  <c r="G79" i="6" s="1"/>
  <c r="T61" i="6"/>
  <c r="F61" i="6"/>
  <c r="G61" i="6" s="1"/>
  <c r="T49" i="6"/>
  <c r="F49" i="6"/>
  <c r="G49" i="6" s="1"/>
  <c r="T37" i="6"/>
  <c r="F37" i="6"/>
  <c r="G37" i="6" s="1"/>
  <c r="T25" i="6"/>
  <c r="F25" i="6"/>
  <c r="G25" i="6" s="1"/>
  <c r="T7" i="6"/>
  <c r="F7" i="6"/>
  <c r="G7" i="6" s="1"/>
  <c r="N168" i="6"/>
  <c r="O168" i="6" s="1"/>
  <c r="T168" i="6"/>
  <c r="F168" i="6"/>
  <c r="G168" i="6" s="1"/>
  <c r="N162" i="6"/>
  <c r="O162" i="6" s="1"/>
  <c r="T162" i="6"/>
  <c r="F162" i="6"/>
  <c r="G162" i="6" s="1"/>
  <c r="T156" i="6"/>
  <c r="F156" i="6"/>
  <c r="G156" i="6" s="1"/>
  <c r="N150" i="6"/>
  <c r="O150" i="6" s="1"/>
  <c r="T150" i="6"/>
  <c r="F150" i="6"/>
  <c r="G150" i="6" s="1"/>
  <c r="T144" i="6"/>
  <c r="F144" i="6"/>
  <c r="G144" i="6" s="1"/>
  <c r="T138" i="6"/>
  <c r="F138" i="6"/>
  <c r="G138" i="6" s="1"/>
  <c r="N132" i="6"/>
  <c r="O132" i="6" s="1"/>
  <c r="T132" i="6"/>
  <c r="F132" i="6"/>
  <c r="G132" i="6" s="1"/>
  <c r="N126" i="6"/>
  <c r="O126" i="6" s="1"/>
  <c r="T126" i="6"/>
  <c r="F126" i="6"/>
  <c r="G126" i="6" s="1"/>
  <c r="T120" i="6"/>
  <c r="F120" i="6"/>
  <c r="G120" i="6" s="1"/>
  <c r="N114" i="6"/>
  <c r="O114" i="6" s="1"/>
  <c r="T114" i="6"/>
  <c r="F114" i="6"/>
  <c r="G114" i="6" s="1"/>
  <c r="T108" i="6"/>
  <c r="F108" i="6"/>
  <c r="G108" i="6" s="1"/>
  <c r="T102" i="6"/>
  <c r="F102" i="6"/>
  <c r="G102" i="6" s="1"/>
  <c r="N96" i="6"/>
  <c r="O96" i="6" s="1"/>
  <c r="T96" i="6"/>
  <c r="F96" i="6"/>
  <c r="G96" i="6" s="1"/>
  <c r="T90" i="6"/>
  <c r="F90" i="6"/>
  <c r="G90" i="6" s="1"/>
  <c r="T84" i="6"/>
  <c r="F84" i="6"/>
  <c r="G84" i="6" s="1"/>
  <c r="N78" i="6"/>
  <c r="O78" i="6" s="1"/>
  <c r="T78" i="6"/>
  <c r="F78" i="6"/>
  <c r="G78" i="6" s="1"/>
  <c r="T72" i="6"/>
  <c r="F72" i="6"/>
  <c r="G72" i="6" s="1"/>
  <c r="T66" i="6"/>
  <c r="F66" i="6"/>
  <c r="G66" i="6" s="1"/>
  <c r="N60" i="6"/>
  <c r="O60" i="6" s="1"/>
  <c r="T60" i="6"/>
  <c r="F60" i="6"/>
  <c r="G60" i="6" s="1"/>
  <c r="N54" i="6"/>
  <c r="O54" i="6" s="1"/>
  <c r="T54" i="6"/>
  <c r="F54" i="6"/>
  <c r="G54" i="6" s="1"/>
  <c r="T48" i="6"/>
  <c r="F48" i="6"/>
  <c r="G48" i="6" s="1"/>
  <c r="N42" i="6"/>
  <c r="T42" i="6"/>
  <c r="F42" i="6"/>
  <c r="G42" i="6" s="1"/>
  <c r="T36" i="6"/>
  <c r="F36" i="6"/>
  <c r="G36" i="6" s="1"/>
  <c r="T30" i="6"/>
  <c r="F30" i="6"/>
  <c r="G30" i="6" s="1"/>
  <c r="N24" i="6"/>
  <c r="T24" i="6"/>
  <c r="F24" i="6"/>
  <c r="G24" i="6" s="1"/>
  <c r="N18" i="6"/>
  <c r="T18" i="6"/>
  <c r="F18" i="6"/>
  <c r="G18" i="6" s="1"/>
  <c r="T12" i="6"/>
  <c r="F12" i="6"/>
  <c r="G12" i="6" s="1"/>
  <c r="N6" i="6"/>
  <c r="T6" i="6"/>
  <c r="F6" i="6"/>
  <c r="G6" i="6" s="1"/>
  <c r="P61" i="6"/>
  <c r="Q61" i="6" s="1"/>
  <c r="R79" i="6"/>
  <c r="S79" i="6" s="1"/>
  <c r="R7" i="6"/>
  <c r="T73" i="6"/>
  <c r="F73" i="6"/>
  <c r="G73" i="6" s="1"/>
  <c r="T55" i="6"/>
  <c r="F55" i="6"/>
  <c r="G55" i="6" s="1"/>
  <c r="T31" i="6"/>
  <c r="F31" i="6"/>
  <c r="G31" i="6" s="1"/>
  <c r="T13" i="6"/>
  <c r="F13" i="6"/>
  <c r="G13" i="6" s="1"/>
  <c r="T167" i="6"/>
  <c r="F167" i="6"/>
  <c r="G167" i="6" s="1"/>
  <c r="T161" i="6"/>
  <c r="F161" i="6"/>
  <c r="G161" i="6" s="1"/>
  <c r="T155" i="6"/>
  <c r="F155" i="6"/>
  <c r="G155" i="6" s="1"/>
  <c r="T149" i="6"/>
  <c r="F149" i="6"/>
  <c r="G149" i="6" s="1"/>
  <c r="T143" i="6"/>
  <c r="F143" i="6"/>
  <c r="G143" i="6" s="1"/>
  <c r="T137" i="6"/>
  <c r="F137" i="6"/>
  <c r="G137" i="6" s="1"/>
  <c r="T131" i="6"/>
  <c r="F131" i="6"/>
  <c r="G131" i="6" s="1"/>
  <c r="T125" i="6"/>
  <c r="F125" i="6"/>
  <c r="G125" i="6" s="1"/>
  <c r="T119" i="6"/>
  <c r="F119" i="6"/>
  <c r="G119" i="6" s="1"/>
  <c r="T113" i="6"/>
  <c r="F113" i="6"/>
  <c r="G113" i="6" s="1"/>
  <c r="T107" i="6"/>
  <c r="F107" i="6"/>
  <c r="G107" i="6" s="1"/>
  <c r="T101" i="6"/>
  <c r="F101" i="6"/>
  <c r="G101" i="6" s="1"/>
  <c r="T95" i="6"/>
  <c r="F95" i="6"/>
  <c r="G95" i="6" s="1"/>
  <c r="T89" i="6"/>
  <c r="F89" i="6"/>
  <c r="G89" i="6" s="1"/>
  <c r="T83" i="6"/>
  <c r="F83" i="6"/>
  <c r="G83" i="6" s="1"/>
  <c r="T77" i="6"/>
  <c r="F77" i="6"/>
  <c r="G77" i="6" s="1"/>
  <c r="T71" i="6"/>
  <c r="F71" i="6"/>
  <c r="G71" i="6" s="1"/>
  <c r="T65" i="6"/>
  <c r="F65" i="6"/>
  <c r="G65" i="6" s="1"/>
  <c r="T59" i="6"/>
  <c r="F59" i="6"/>
  <c r="G59" i="6" s="1"/>
  <c r="T53" i="6"/>
  <c r="F53" i="6"/>
  <c r="G53" i="6" s="1"/>
  <c r="T47" i="6"/>
  <c r="F47" i="6"/>
  <c r="G47" i="6" s="1"/>
  <c r="T41" i="6"/>
  <c r="F41" i="6"/>
  <c r="G41" i="6" s="1"/>
  <c r="T35" i="6"/>
  <c r="F35" i="6"/>
  <c r="G35" i="6" s="1"/>
  <c r="T29" i="6"/>
  <c r="F29" i="6"/>
  <c r="G29" i="6" s="1"/>
  <c r="T23" i="6"/>
  <c r="F23" i="6"/>
  <c r="G23" i="6" s="1"/>
  <c r="T17" i="6"/>
  <c r="F17" i="6"/>
  <c r="G17" i="6" s="1"/>
  <c r="T11" i="6"/>
  <c r="F11" i="6"/>
  <c r="G11" i="6" s="1"/>
  <c r="T5" i="6"/>
  <c r="F5" i="6"/>
  <c r="G5" i="6" s="1"/>
  <c r="P55" i="6"/>
  <c r="Q55" i="6" s="1"/>
  <c r="R67" i="6"/>
  <c r="S67" i="6" s="1"/>
  <c r="P15" i="6"/>
  <c r="P9" i="6"/>
  <c r="D36" i="9"/>
  <c r="AL11" i="10" s="1"/>
  <c r="AI33" i="10" s="1"/>
  <c r="L10" i="13" s="1"/>
  <c r="E36" i="9"/>
  <c r="D44" i="9"/>
  <c r="AL19" i="10" s="1"/>
  <c r="AI41" i="10" s="1"/>
  <c r="L18" i="13" s="1"/>
  <c r="E44" i="9"/>
  <c r="D37" i="9"/>
  <c r="AL12" i="10" s="1"/>
  <c r="AP12" i="10" s="1"/>
  <c r="D46" i="9"/>
  <c r="AL21" i="10" s="1"/>
  <c r="E46" i="9"/>
  <c r="D38" i="9"/>
  <c r="AL13" i="10" s="1"/>
  <c r="AT13" i="10" s="1"/>
  <c r="AQ35" i="10" s="1"/>
  <c r="E38" i="9"/>
  <c r="D47" i="9"/>
  <c r="AL22" i="10" s="1"/>
  <c r="AT22" i="10" s="1"/>
  <c r="AQ44" i="10" s="1"/>
  <c r="N21" i="13" s="1"/>
  <c r="D39" i="9"/>
  <c r="AL14" i="10" s="1"/>
  <c r="AT14" i="10" s="1"/>
  <c r="E39" i="9"/>
  <c r="D45" i="9"/>
  <c r="AL20" i="10" s="1"/>
  <c r="AT20" i="10" s="1"/>
  <c r="E45" i="9"/>
  <c r="I21" i="9"/>
  <c r="I26" i="14"/>
  <c r="I33" i="14"/>
  <c r="I40" i="14"/>
  <c r="I22" i="9"/>
  <c r="I27" i="14"/>
  <c r="I34" i="14"/>
  <c r="I41" i="14"/>
  <c r="I20" i="9"/>
  <c r="I39" i="14"/>
  <c r="I25" i="14"/>
  <c r="I32" i="14"/>
  <c r="I23" i="9"/>
  <c r="I42" i="14"/>
  <c r="I28" i="14"/>
  <c r="I35" i="14"/>
  <c r="I19" i="9"/>
  <c r="I24" i="14"/>
  <c r="I38" i="14"/>
  <c r="I31" i="14"/>
  <c r="I12" i="9"/>
  <c r="I10" i="14"/>
  <c r="I17" i="14"/>
  <c r="I17" i="9"/>
  <c r="I15" i="14"/>
  <c r="I22" i="14"/>
  <c r="I13" i="9"/>
  <c r="I11" i="14"/>
  <c r="I18" i="14"/>
  <c r="I14" i="9"/>
  <c r="I12" i="14"/>
  <c r="I19" i="14"/>
  <c r="I16" i="9"/>
  <c r="I21" i="14"/>
  <c r="I14" i="14"/>
  <c r="I15" i="9"/>
  <c r="I20" i="14"/>
  <c r="I13" i="14"/>
  <c r="D29" i="9"/>
  <c r="AL4" i="10" s="1"/>
  <c r="D30" i="9"/>
  <c r="AL5" i="10" s="1"/>
  <c r="AP5" i="10" s="1"/>
  <c r="G32" i="9"/>
  <c r="C31" i="9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J14" i="10"/>
  <c r="G36" i="10" s="1"/>
  <c r="E13" i="13" s="1"/>
  <c r="J12" i="10"/>
  <c r="G34" i="10" s="1"/>
  <c r="E11" i="13" s="1"/>
  <c r="J13" i="10"/>
  <c r="G35" i="10" s="1"/>
  <c r="E12" i="13" s="1"/>
  <c r="V16" i="10"/>
  <c r="Z16" i="10"/>
  <c r="J11" i="10"/>
  <c r="G33" i="10" s="1"/>
  <c r="E10" i="13" s="1"/>
  <c r="AP16" i="10"/>
  <c r="AI38" i="10"/>
  <c r="L15" i="13" s="1"/>
  <c r="N16" i="10"/>
  <c r="R16" i="10" s="1"/>
  <c r="AH16" i="10"/>
  <c r="AI37" i="10"/>
  <c r="L14" i="13" s="1"/>
  <c r="AT15" i="10"/>
  <c r="AQ37" i="10" s="1"/>
  <c r="Z23" i="10"/>
  <c r="AP21" i="10"/>
  <c r="AT21" i="10"/>
  <c r="AQ43" i="10" s="1"/>
  <c r="AI43" i="10"/>
  <c r="L20" i="13" s="1"/>
  <c r="C45" i="10"/>
  <c r="D22" i="13" s="1"/>
  <c r="V23" i="10"/>
  <c r="AI45" i="10"/>
  <c r="L22" i="13" s="1"/>
  <c r="AT23" i="10"/>
  <c r="N23" i="10"/>
  <c r="R23" i="10" s="1"/>
  <c r="AD23" i="10"/>
  <c r="AX10" i="10"/>
  <c r="N9" i="13"/>
  <c r="AP20" i="10"/>
  <c r="AI42" i="10"/>
  <c r="L19" i="13" s="1"/>
  <c r="AP14" i="10"/>
  <c r="AI36" i="10"/>
  <c r="L13" i="13" s="1"/>
  <c r="AI32" i="10"/>
  <c r="L9" i="13" s="1"/>
  <c r="AP11" i="10"/>
  <c r="AP22" i="10"/>
  <c r="AX13" i="10"/>
  <c r="N12" i="13"/>
  <c r="AP23" i="10"/>
  <c r="AP15" i="10"/>
  <c r="AT19" i="10"/>
  <c r="AQ41" i="10" s="1"/>
  <c r="AT11" i="10"/>
  <c r="AQ33" i="10" s="1"/>
  <c r="AP13" i="10"/>
  <c r="AT17" i="10"/>
  <c r="AQ39" i="10" s="1"/>
  <c r="AX20" i="10"/>
  <c r="AP19" i="10"/>
  <c r="BB16" i="10"/>
  <c r="AI35" i="10"/>
  <c r="L12" i="13" s="1"/>
  <c r="AX14" i="10"/>
  <c r="AT18" i="10"/>
  <c r="AQ40" i="10" s="1"/>
  <c r="AI40" i="10"/>
  <c r="L17" i="13" s="1"/>
  <c r="AP18" i="10"/>
  <c r="AP17" i="10"/>
  <c r="R159" i="6"/>
  <c r="S159" i="6" s="1"/>
  <c r="N159" i="6"/>
  <c r="O159" i="6" s="1"/>
  <c r="R123" i="6"/>
  <c r="S123" i="6" s="1"/>
  <c r="N123" i="6"/>
  <c r="O123" i="6" s="1"/>
  <c r="R99" i="6"/>
  <c r="S99" i="6" s="1"/>
  <c r="P99" i="6"/>
  <c r="Q99" i="6" s="1"/>
  <c r="N99" i="6"/>
  <c r="O99" i="6" s="1"/>
  <c r="R81" i="6"/>
  <c r="S81" i="6" s="1"/>
  <c r="P81" i="6"/>
  <c r="Q81" i="6" s="1"/>
  <c r="N81" i="6"/>
  <c r="O81" i="6" s="1"/>
  <c r="R51" i="6"/>
  <c r="S51" i="6" s="1"/>
  <c r="P51" i="6"/>
  <c r="Q51" i="6" s="1"/>
  <c r="N51" i="6"/>
  <c r="O51" i="6" s="1"/>
  <c r="R33" i="6"/>
  <c r="P33" i="6"/>
  <c r="N33" i="6"/>
  <c r="R15" i="6"/>
  <c r="N15" i="6"/>
  <c r="R158" i="6"/>
  <c r="S158" i="6" s="1"/>
  <c r="P158" i="6"/>
  <c r="Q158" i="6" s="1"/>
  <c r="R134" i="6"/>
  <c r="S134" i="6" s="1"/>
  <c r="P134" i="6"/>
  <c r="Q134" i="6" s="1"/>
  <c r="R110" i="6"/>
  <c r="S110" i="6" s="1"/>
  <c r="P110" i="6"/>
  <c r="Q110" i="6" s="1"/>
  <c r="R92" i="6"/>
  <c r="S92" i="6" s="1"/>
  <c r="P92" i="6"/>
  <c r="Q92" i="6" s="1"/>
  <c r="R74" i="6"/>
  <c r="S74" i="6" s="1"/>
  <c r="P74" i="6"/>
  <c r="Q74" i="6" s="1"/>
  <c r="R68" i="6"/>
  <c r="S68" i="6" s="1"/>
  <c r="P68" i="6"/>
  <c r="Q68" i="6" s="1"/>
  <c r="R50" i="6"/>
  <c r="S50" i="6" s="1"/>
  <c r="P50" i="6"/>
  <c r="Q50" i="6" s="1"/>
  <c r="R44" i="6"/>
  <c r="S44" i="6" s="1"/>
  <c r="P44" i="6"/>
  <c r="Q44" i="6" s="1"/>
  <c r="R38" i="6"/>
  <c r="P38" i="6"/>
  <c r="R32" i="6"/>
  <c r="P32" i="6"/>
  <c r="R26" i="6"/>
  <c r="P26" i="6"/>
  <c r="R20" i="6"/>
  <c r="P20" i="6"/>
  <c r="R8" i="6"/>
  <c r="N169" i="6"/>
  <c r="O169" i="6" s="1"/>
  <c r="N163" i="6"/>
  <c r="O163" i="6" s="1"/>
  <c r="N157" i="6"/>
  <c r="O157" i="6" s="1"/>
  <c r="N151" i="6"/>
  <c r="O151" i="6" s="1"/>
  <c r="N145" i="6"/>
  <c r="O145" i="6" s="1"/>
  <c r="N139" i="6"/>
  <c r="O139" i="6" s="1"/>
  <c r="N133" i="6"/>
  <c r="O133" i="6" s="1"/>
  <c r="N127" i="6"/>
  <c r="O127" i="6" s="1"/>
  <c r="N121" i="6"/>
  <c r="O121" i="6" s="1"/>
  <c r="N115" i="6"/>
  <c r="O115" i="6" s="1"/>
  <c r="N109" i="6"/>
  <c r="O109" i="6" s="1"/>
  <c r="N103" i="6"/>
  <c r="O103" i="6" s="1"/>
  <c r="N97" i="6"/>
  <c r="O97" i="6" s="1"/>
  <c r="N91" i="6"/>
  <c r="O91" i="6" s="1"/>
  <c r="N85" i="6"/>
  <c r="O85" i="6" s="1"/>
  <c r="N79" i="6"/>
  <c r="O79" i="6" s="1"/>
  <c r="N73" i="6"/>
  <c r="O73" i="6" s="1"/>
  <c r="N67" i="6"/>
  <c r="O67" i="6" s="1"/>
  <c r="N61" i="6"/>
  <c r="O61" i="6" s="1"/>
  <c r="N55" i="6"/>
  <c r="O55" i="6" s="1"/>
  <c r="N49" i="6"/>
  <c r="O49" i="6" s="1"/>
  <c r="N43" i="6"/>
  <c r="N37" i="6"/>
  <c r="N31" i="6"/>
  <c r="N25" i="6"/>
  <c r="N19" i="6"/>
  <c r="N13" i="6"/>
  <c r="N7" i="6"/>
  <c r="N110" i="6"/>
  <c r="O110" i="6" s="1"/>
  <c r="N92" i="6"/>
  <c r="O92" i="6" s="1"/>
  <c r="N74" i="6"/>
  <c r="O74" i="6" s="1"/>
  <c r="N38" i="6"/>
  <c r="N20" i="6"/>
  <c r="P85" i="6"/>
  <c r="Q85" i="6" s="1"/>
  <c r="P49" i="6"/>
  <c r="Q49" i="6" s="1"/>
  <c r="R145" i="6"/>
  <c r="S145" i="6" s="1"/>
  <c r="R109" i="6"/>
  <c r="S109" i="6" s="1"/>
  <c r="R73" i="6"/>
  <c r="S73" i="6" s="1"/>
  <c r="R37" i="6"/>
  <c r="R165" i="6"/>
  <c r="S165" i="6" s="1"/>
  <c r="N165" i="6"/>
  <c r="O165" i="6" s="1"/>
  <c r="R135" i="6"/>
  <c r="S135" i="6" s="1"/>
  <c r="N135" i="6"/>
  <c r="O135" i="6" s="1"/>
  <c r="R117" i="6"/>
  <c r="S117" i="6" s="1"/>
  <c r="N117" i="6"/>
  <c r="O117" i="6" s="1"/>
  <c r="R93" i="6"/>
  <c r="S93" i="6" s="1"/>
  <c r="P93" i="6"/>
  <c r="Q93" i="6" s="1"/>
  <c r="N93" i="6"/>
  <c r="O93" i="6" s="1"/>
  <c r="R75" i="6"/>
  <c r="S75" i="6" s="1"/>
  <c r="P75" i="6"/>
  <c r="Q75" i="6" s="1"/>
  <c r="N75" i="6"/>
  <c r="O75" i="6" s="1"/>
  <c r="R63" i="6"/>
  <c r="S63" i="6" s="1"/>
  <c r="P63" i="6"/>
  <c r="Q63" i="6" s="1"/>
  <c r="N63" i="6"/>
  <c r="O63" i="6" s="1"/>
  <c r="R39" i="6"/>
  <c r="P39" i="6"/>
  <c r="N39" i="6"/>
  <c r="R9" i="6"/>
  <c r="N9" i="6"/>
  <c r="R2" i="6"/>
  <c r="P2" i="6"/>
  <c r="R152" i="6"/>
  <c r="S152" i="6" s="1"/>
  <c r="P152" i="6"/>
  <c r="Q152" i="6" s="1"/>
  <c r="R128" i="6"/>
  <c r="S128" i="6" s="1"/>
  <c r="P128" i="6"/>
  <c r="Q128" i="6" s="1"/>
  <c r="R104" i="6"/>
  <c r="S104" i="6" s="1"/>
  <c r="P104" i="6"/>
  <c r="Q104" i="6" s="1"/>
  <c r="R86" i="6"/>
  <c r="S86" i="6" s="1"/>
  <c r="P86" i="6"/>
  <c r="Q86" i="6" s="1"/>
  <c r="R62" i="6"/>
  <c r="S62" i="6" s="1"/>
  <c r="P62" i="6"/>
  <c r="Q62" i="6" s="1"/>
  <c r="R168" i="6"/>
  <c r="S168" i="6" s="1"/>
  <c r="P168" i="6"/>
  <c r="Q168" i="6" s="1"/>
  <c r="R156" i="6"/>
  <c r="S156" i="6" s="1"/>
  <c r="P156" i="6"/>
  <c r="Q156" i="6" s="1"/>
  <c r="R144" i="6"/>
  <c r="S144" i="6" s="1"/>
  <c r="P144" i="6"/>
  <c r="Q144" i="6" s="1"/>
  <c r="R132" i="6"/>
  <c r="S132" i="6" s="1"/>
  <c r="P132" i="6"/>
  <c r="Q132" i="6" s="1"/>
  <c r="R120" i="6"/>
  <c r="S120" i="6" s="1"/>
  <c r="P120" i="6"/>
  <c r="Q120" i="6" s="1"/>
  <c r="R108" i="6"/>
  <c r="S108" i="6" s="1"/>
  <c r="P108" i="6"/>
  <c r="Q108" i="6" s="1"/>
  <c r="R102" i="6"/>
  <c r="S102" i="6" s="1"/>
  <c r="P102" i="6"/>
  <c r="Q102" i="6" s="1"/>
  <c r="R90" i="6"/>
  <c r="S90" i="6" s="1"/>
  <c r="P90" i="6"/>
  <c r="Q90" i="6" s="1"/>
  <c r="R78" i="6"/>
  <c r="S78" i="6" s="1"/>
  <c r="P78" i="6"/>
  <c r="Q78" i="6" s="1"/>
  <c r="R60" i="6"/>
  <c r="S60" i="6" s="1"/>
  <c r="P60" i="6"/>
  <c r="Q60" i="6" s="1"/>
  <c r="R48" i="6"/>
  <c r="S48" i="6" s="1"/>
  <c r="P48" i="6"/>
  <c r="Q48" i="6" s="1"/>
  <c r="R36" i="6"/>
  <c r="P36" i="6"/>
  <c r="R30" i="6"/>
  <c r="P30" i="6"/>
  <c r="R24" i="6"/>
  <c r="P24" i="6"/>
  <c r="R12" i="6"/>
  <c r="N108" i="6"/>
  <c r="O108" i="6" s="1"/>
  <c r="N90" i="6"/>
  <c r="O90" i="6" s="1"/>
  <c r="N36" i="6"/>
  <c r="R167" i="6"/>
  <c r="S167" i="6" s="1"/>
  <c r="P167" i="6"/>
  <c r="Q167" i="6" s="1"/>
  <c r="N167" i="6"/>
  <c r="O167" i="6" s="1"/>
  <c r="R161" i="6"/>
  <c r="S161" i="6" s="1"/>
  <c r="P161" i="6"/>
  <c r="Q161" i="6" s="1"/>
  <c r="N161" i="6"/>
  <c r="O161" i="6" s="1"/>
  <c r="R155" i="6"/>
  <c r="S155" i="6" s="1"/>
  <c r="P155" i="6"/>
  <c r="Q155" i="6" s="1"/>
  <c r="N155" i="6"/>
  <c r="O155" i="6" s="1"/>
  <c r="R149" i="6"/>
  <c r="S149" i="6" s="1"/>
  <c r="P149" i="6"/>
  <c r="Q149" i="6" s="1"/>
  <c r="N149" i="6"/>
  <c r="O149" i="6" s="1"/>
  <c r="R143" i="6"/>
  <c r="S143" i="6" s="1"/>
  <c r="P143" i="6"/>
  <c r="Q143" i="6" s="1"/>
  <c r="N143" i="6"/>
  <c r="O143" i="6" s="1"/>
  <c r="R137" i="6"/>
  <c r="S137" i="6" s="1"/>
  <c r="P137" i="6"/>
  <c r="Q137" i="6" s="1"/>
  <c r="N137" i="6"/>
  <c r="O137" i="6" s="1"/>
  <c r="R131" i="6"/>
  <c r="S131" i="6" s="1"/>
  <c r="P131" i="6"/>
  <c r="Q131" i="6" s="1"/>
  <c r="N131" i="6"/>
  <c r="O131" i="6" s="1"/>
  <c r="R125" i="6"/>
  <c r="S125" i="6" s="1"/>
  <c r="P125" i="6"/>
  <c r="Q125" i="6" s="1"/>
  <c r="N125" i="6"/>
  <c r="O125" i="6" s="1"/>
  <c r="R119" i="6"/>
  <c r="S119" i="6" s="1"/>
  <c r="P119" i="6"/>
  <c r="Q119" i="6" s="1"/>
  <c r="N119" i="6"/>
  <c r="O119" i="6" s="1"/>
  <c r="R113" i="6"/>
  <c r="S113" i="6" s="1"/>
  <c r="P113" i="6"/>
  <c r="Q113" i="6" s="1"/>
  <c r="N113" i="6"/>
  <c r="O113" i="6" s="1"/>
  <c r="R107" i="6"/>
  <c r="S107" i="6" s="1"/>
  <c r="P107" i="6"/>
  <c r="Q107" i="6" s="1"/>
  <c r="N107" i="6"/>
  <c r="O107" i="6" s="1"/>
  <c r="R101" i="6"/>
  <c r="S101" i="6" s="1"/>
  <c r="P101" i="6"/>
  <c r="Q101" i="6" s="1"/>
  <c r="N101" i="6"/>
  <c r="O101" i="6" s="1"/>
  <c r="R95" i="6"/>
  <c r="S95" i="6" s="1"/>
  <c r="P95" i="6"/>
  <c r="Q95" i="6" s="1"/>
  <c r="N95" i="6"/>
  <c r="O95" i="6" s="1"/>
  <c r="R89" i="6"/>
  <c r="S89" i="6" s="1"/>
  <c r="P89" i="6"/>
  <c r="Q89" i="6" s="1"/>
  <c r="N89" i="6"/>
  <c r="O89" i="6" s="1"/>
  <c r="R83" i="6"/>
  <c r="S83" i="6" s="1"/>
  <c r="P83" i="6"/>
  <c r="Q83" i="6" s="1"/>
  <c r="N83" i="6"/>
  <c r="O83" i="6" s="1"/>
  <c r="R77" i="6"/>
  <c r="S77" i="6" s="1"/>
  <c r="P77" i="6"/>
  <c r="Q77" i="6" s="1"/>
  <c r="N77" i="6"/>
  <c r="O77" i="6" s="1"/>
  <c r="R71" i="6"/>
  <c r="S71" i="6" s="1"/>
  <c r="P71" i="6"/>
  <c r="Q71" i="6" s="1"/>
  <c r="N71" i="6"/>
  <c r="O71" i="6" s="1"/>
  <c r="R65" i="6"/>
  <c r="S65" i="6" s="1"/>
  <c r="P65" i="6"/>
  <c r="Q65" i="6" s="1"/>
  <c r="N65" i="6"/>
  <c r="O65" i="6" s="1"/>
  <c r="R59" i="6"/>
  <c r="S59" i="6" s="1"/>
  <c r="P59" i="6"/>
  <c r="Q59" i="6" s="1"/>
  <c r="N59" i="6"/>
  <c r="O59" i="6" s="1"/>
  <c r="R53" i="6"/>
  <c r="S53" i="6" s="1"/>
  <c r="P53" i="6"/>
  <c r="Q53" i="6" s="1"/>
  <c r="N53" i="6"/>
  <c r="O53" i="6" s="1"/>
  <c r="R47" i="6"/>
  <c r="S47" i="6" s="1"/>
  <c r="P47" i="6"/>
  <c r="Q47" i="6" s="1"/>
  <c r="N47" i="6"/>
  <c r="O47" i="6" s="1"/>
  <c r="R41" i="6"/>
  <c r="P41" i="6"/>
  <c r="N41" i="6"/>
  <c r="R35" i="6"/>
  <c r="P35" i="6"/>
  <c r="N35" i="6"/>
  <c r="R29" i="6"/>
  <c r="P29" i="6"/>
  <c r="N29" i="6"/>
  <c r="R23" i="6"/>
  <c r="P23" i="6"/>
  <c r="N23" i="6"/>
  <c r="R17" i="6"/>
  <c r="P17" i="6"/>
  <c r="N17" i="6"/>
  <c r="R11" i="6"/>
  <c r="N11" i="6"/>
  <c r="R5" i="6"/>
  <c r="P5" i="6"/>
  <c r="N5" i="6"/>
  <c r="N158" i="6"/>
  <c r="O158" i="6" s="1"/>
  <c r="N104" i="6"/>
  <c r="O104" i="6" s="1"/>
  <c r="N86" i="6"/>
  <c r="O86" i="6" s="1"/>
  <c r="N68" i="6"/>
  <c r="O68" i="6" s="1"/>
  <c r="N50" i="6"/>
  <c r="O50" i="6" s="1"/>
  <c r="N32" i="6"/>
  <c r="P165" i="6"/>
  <c r="Q165" i="6" s="1"/>
  <c r="P109" i="6"/>
  <c r="Q109" i="6" s="1"/>
  <c r="P73" i="6"/>
  <c r="Q73" i="6" s="1"/>
  <c r="P37" i="6"/>
  <c r="R169" i="6"/>
  <c r="S169" i="6" s="1"/>
  <c r="R133" i="6"/>
  <c r="S133" i="6" s="1"/>
  <c r="R97" i="6"/>
  <c r="S97" i="6" s="1"/>
  <c r="R61" i="6"/>
  <c r="S61" i="6" s="1"/>
  <c r="R25" i="6"/>
  <c r="R153" i="6"/>
  <c r="S153" i="6" s="1"/>
  <c r="N153" i="6"/>
  <c r="O153" i="6" s="1"/>
  <c r="R111" i="6"/>
  <c r="S111" i="6" s="1"/>
  <c r="P111" i="6"/>
  <c r="Q111" i="6" s="1"/>
  <c r="N111" i="6"/>
  <c r="O111" i="6" s="1"/>
  <c r="R87" i="6"/>
  <c r="S87" i="6" s="1"/>
  <c r="P87" i="6"/>
  <c r="Q87" i="6" s="1"/>
  <c r="N87" i="6"/>
  <c r="O87" i="6" s="1"/>
  <c r="R69" i="6"/>
  <c r="S69" i="6" s="1"/>
  <c r="P69" i="6"/>
  <c r="Q69" i="6" s="1"/>
  <c r="N69" i="6"/>
  <c r="O69" i="6" s="1"/>
  <c r="R57" i="6"/>
  <c r="S57" i="6" s="1"/>
  <c r="P57" i="6"/>
  <c r="Q57" i="6" s="1"/>
  <c r="N57" i="6"/>
  <c r="O57" i="6" s="1"/>
  <c r="R27" i="6"/>
  <c r="P27" i="6"/>
  <c r="N27" i="6"/>
  <c r="R3" i="6"/>
  <c r="P3" i="6"/>
  <c r="N3" i="6"/>
  <c r="P159" i="6"/>
  <c r="Q159" i="6" s="1"/>
  <c r="R164" i="6"/>
  <c r="S164" i="6" s="1"/>
  <c r="P164" i="6"/>
  <c r="Q164" i="6" s="1"/>
  <c r="R140" i="6"/>
  <c r="S140" i="6" s="1"/>
  <c r="P140" i="6"/>
  <c r="Q140" i="6" s="1"/>
  <c r="R122" i="6"/>
  <c r="S122" i="6" s="1"/>
  <c r="P122" i="6"/>
  <c r="Q122" i="6" s="1"/>
  <c r="R98" i="6"/>
  <c r="S98" i="6" s="1"/>
  <c r="P98" i="6"/>
  <c r="Q98" i="6" s="1"/>
  <c r="R56" i="6"/>
  <c r="S56" i="6" s="1"/>
  <c r="P56" i="6"/>
  <c r="Q56" i="6" s="1"/>
  <c r="R162" i="6"/>
  <c r="S162" i="6" s="1"/>
  <c r="P162" i="6"/>
  <c r="Q162" i="6" s="1"/>
  <c r="R150" i="6"/>
  <c r="S150" i="6" s="1"/>
  <c r="P150" i="6"/>
  <c r="Q150" i="6" s="1"/>
  <c r="R138" i="6"/>
  <c r="S138" i="6" s="1"/>
  <c r="P138" i="6"/>
  <c r="Q138" i="6" s="1"/>
  <c r="R126" i="6"/>
  <c r="S126" i="6" s="1"/>
  <c r="P126" i="6"/>
  <c r="Q126" i="6" s="1"/>
  <c r="R114" i="6"/>
  <c r="S114" i="6" s="1"/>
  <c r="P114" i="6"/>
  <c r="Q114" i="6" s="1"/>
  <c r="R96" i="6"/>
  <c r="S96" i="6" s="1"/>
  <c r="P96" i="6"/>
  <c r="Q96" i="6" s="1"/>
  <c r="R84" i="6"/>
  <c r="S84" i="6" s="1"/>
  <c r="P84" i="6"/>
  <c r="Q84" i="6" s="1"/>
  <c r="R72" i="6"/>
  <c r="S72" i="6" s="1"/>
  <c r="P72" i="6"/>
  <c r="Q72" i="6" s="1"/>
  <c r="R66" i="6"/>
  <c r="S66" i="6" s="1"/>
  <c r="P66" i="6"/>
  <c r="Q66" i="6" s="1"/>
  <c r="R54" i="6"/>
  <c r="S54" i="6" s="1"/>
  <c r="P54" i="6"/>
  <c r="Q54" i="6" s="1"/>
  <c r="R42" i="6"/>
  <c r="P42" i="6"/>
  <c r="R18" i="6"/>
  <c r="P18" i="6"/>
  <c r="R6" i="6"/>
  <c r="N144" i="6"/>
  <c r="O144" i="6" s="1"/>
  <c r="N72" i="6"/>
  <c r="O72" i="6" s="1"/>
  <c r="R166" i="6"/>
  <c r="S166" i="6" s="1"/>
  <c r="P166" i="6"/>
  <c r="Q166" i="6" s="1"/>
  <c r="N166" i="6"/>
  <c r="O166" i="6" s="1"/>
  <c r="R160" i="6"/>
  <c r="S160" i="6" s="1"/>
  <c r="P160" i="6"/>
  <c r="Q160" i="6" s="1"/>
  <c r="N160" i="6"/>
  <c r="O160" i="6" s="1"/>
  <c r="R154" i="6"/>
  <c r="S154" i="6" s="1"/>
  <c r="P154" i="6"/>
  <c r="Q154" i="6" s="1"/>
  <c r="N154" i="6"/>
  <c r="O154" i="6" s="1"/>
  <c r="R148" i="6"/>
  <c r="S148" i="6" s="1"/>
  <c r="P148" i="6"/>
  <c r="Q148" i="6" s="1"/>
  <c r="N148" i="6"/>
  <c r="O148" i="6" s="1"/>
  <c r="R142" i="6"/>
  <c r="S142" i="6" s="1"/>
  <c r="P142" i="6"/>
  <c r="Q142" i="6" s="1"/>
  <c r="N142" i="6"/>
  <c r="O142" i="6" s="1"/>
  <c r="R136" i="6"/>
  <c r="S136" i="6" s="1"/>
  <c r="P136" i="6"/>
  <c r="Q136" i="6" s="1"/>
  <c r="N136" i="6"/>
  <c r="O136" i="6" s="1"/>
  <c r="R130" i="6"/>
  <c r="S130" i="6" s="1"/>
  <c r="P130" i="6"/>
  <c r="Q130" i="6" s="1"/>
  <c r="N130" i="6"/>
  <c r="O130" i="6" s="1"/>
  <c r="R124" i="6"/>
  <c r="S124" i="6" s="1"/>
  <c r="P124" i="6"/>
  <c r="Q124" i="6" s="1"/>
  <c r="N124" i="6"/>
  <c r="O124" i="6" s="1"/>
  <c r="R118" i="6"/>
  <c r="S118" i="6" s="1"/>
  <c r="P118" i="6"/>
  <c r="Q118" i="6" s="1"/>
  <c r="N118" i="6"/>
  <c r="O118" i="6" s="1"/>
  <c r="R112" i="6"/>
  <c r="S112" i="6" s="1"/>
  <c r="P112" i="6"/>
  <c r="Q112" i="6" s="1"/>
  <c r="N112" i="6"/>
  <c r="O112" i="6" s="1"/>
  <c r="R106" i="6"/>
  <c r="S106" i="6" s="1"/>
  <c r="P106" i="6"/>
  <c r="Q106" i="6" s="1"/>
  <c r="N106" i="6"/>
  <c r="O106" i="6" s="1"/>
  <c r="R100" i="6"/>
  <c r="S100" i="6" s="1"/>
  <c r="P100" i="6"/>
  <c r="Q100" i="6" s="1"/>
  <c r="N100" i="6"/>
  <c r="O100" i="6" s="1"/>
  <c r="R94" i="6"/>
  <c r="S94" i="6" s="1"/>
  <c r="P94" i="6"/>
  <c r="Q94" i="6" s="1"/>
  <c r="N94" i="6"/>
  <c r="O94" i="6" s="1"/>
  <c r="R88" i="6"/>
  <c r="S88" i="6" s="1"/>
  <c r="P88" i="6"/>
  <c r="Q88" i="6" s="1"/>
  <c r="N88" i="6"/>
  <c r="O88" i="6" s="1"/>
  <c r="R82" i="6"/>
  <c r="S82" i="6" s="1"/>
  <c r="P82" i="6"/>
  <c r="Q82" i="6" s="1"/>
  <c r="N82" i="6"/>
  <c r="O82" i="6" s="1"/>
  <c r="R76" i="6"/>
  <c r="S76" i="6" s="1"/>
  <c r="P76" i="6"/>
  <c r="Q76" i="6" s="1"/>
  <c r="N76" i="6"/>
  <c r="O76" i="6" s="1"/>
  <c r="R70" i="6"/>
  <c r="S70" i="6" s="1"/>
  <c r="P70" i="6"/>
  <c r="Q70" i="6" s="1"/>
  <c r="N70" i="6"/>
  <c r="O70" i="6" s="1"/>
  <c r="R64" i="6"/>
  <c r="S64" i="6" s="1"/>
  <c r="P64" i="6"/>
  <c r="Q64" i="6" s="1"/>
  <c r="N64" i="6"/>
  <c r="O64" i="6" s="1"/>
  <c r="R58" i="6"/>
  <c r="S58" i="6" s="1"/>
  <c r="P58" i="6"/>
  <c r="Q58" i="6" s="1"/>
  <c r="N58" i="6"/>
  <c r="O58" i="6" s="1"/>
  <c r="R52" i="6"/>
  <c r="S52" i="6" s="1"/>
  <c r="P52" i="6"/>
  <c r="Q52" i="6" s="1"/>
  <c r="N52" i="6"/>
  <c r="O52" i="6" s="1"/>
  <c r="R46" i="6"/>
  <c r="S46" i="6" s="1"/>
  <c r="P46" i="6"/>
  <c r="Q46" i="6" s="1"/>
  <c r="N46" i="6"/>
  <c r="O46" i="6" s="1"/>
  <c r="R40" i="6"/>
  <c r="P40" i="6"/>
  <c r="N40" i="6"/>
  <c r="R34" i="6"/>
  <c r="P34" i="6"/>
  <c r="N34" i="6"/>
  <c r="R28" i="6"/>
  <c r="P28" i="6"/>
  <c r="N28" i="6"/>
  <c r="R22" i="6"/>
  <c r="P22" i="6"/>
  <c r="N22" i="6"/>
  <c r="R16" i="6"/>
  <c r="P16" i="6"/>
  <c r="N16" i="6"/>
  <c r="R10" i="6"/>
  <c r="N10" i="6"/>
  <c r="R4" i="6"/>
  <c r="P4" i="6"/>
  <c r="N4" i="6"/>
  <c r="N156" i="6"/>
  <c r="O156" i="6" s="1"/>
  <c r="N138" i="6"/>
  <c r="O138" i="6" s="1"/>
  <c r="N120" i="6"/>
  <c r="O120" i="6" s="1"/>
  <c r="N102" i="6"/>
  <c r="O102" i="6" s="1"/>
  <c r="N84" i="6"/>
  <c r="O84" i="6" s="1"/>
  <c r="N66" i="6"/>
  <c r="O66" i="6" s="1"/>
  <c r="N48" i="6"/>
  <c r="O48" i="6" s="1"/>
  <c r="N30" i="6"/>
  <c r="N12" i="6"/>
  <c r="P163" i="6"/>
  <c r="Q163" i="6" s="1"/>
  <c r="P145" i="6"/>
  <c r="Q145" i="6" s="1"/>
  <c r="P127" i="6"/>
  <c r="Q127" i="6" s="1"/>
  <c r="P103" i="6"/>
  <c r="Q103" i="6" s="1"/>
  <c r="P67" i="6"/>
  <c r="Q67" i="6" s="1"/>
  <c r="P31" i="6"/>
  <c r="R163" i="6"/>
  <c r="S163" i="6" s="1"/>
  <c r="R127" i="6"/>
  <c r="S127" i="6" s="1"/>
  <c r="R91" i="6"/>
  <c r="S91" i="6" s="1"/>
  <c r="R55" i="6"/>
  <c r="S55" i="6" s="1"/>
  <c r="R19" i="6"/>
  <c r="R141" i="6"/>
  <c r="S141" i="6" s="1"/>
  <c r="N141" i="6"/>
  <c r="O141" i="6" s="1"/>
  <c r="R105" i="6"/>
  <c r="S105" i="6" s="1"/>
  <c r="P105" i="6"/>
  <c r="Q105" i="6" s="1"/>
  <c r="N105" i="6"/>
  <c r="O105" i="6" s="1"/>
  <c r="R21" i="6"/>
  <c r="P21" i="6"/>
  <c r="N21" i="6"/>
  <c r="P123" i="6"/>
  <c r="Q123" i="6" s="1"/>
  <c r="R147" i="6"/>
  <c r="S147" i="6" s="1"/>
  <c r="N147" i="6"/>
  <c r="O147" i="6" s="1"/>
  <c r="R129" i="6"/>
  <c r="S129" i="6" s="1"/>
  <c r="N129" i="6"/>
  <c r="O129" i="6" s="1"/>
  <c r="R45" i="6"/>
  <c r="S45" i="6" s="1"/>
  <c r="P45" i="6"/>
  <c r="Q45" i="6" s="1"/>
  <c r="N45" i="6"/>
  <c r="O45" i="6" s="1"/>
  <c r="P141" i="6"/>
  <c r="Q141" i="6" s="1"/>
  <c r="R146" i="6"/>
  <c r="S146" i="6" s="1"/>
  <c r="P146" i="6"/>
  <c r="Q146" i="6" s="1"/>
  <c r="R116" i="6"/>
  <c r="S116" i="6" s="1"/>
  <c r="P116" i="6"/>
  <c r="Q116" i="6" s="1"/>
  <c r="R80" i="6"/>
  <c r="S80" i="6" s="1"/>
  <c r="P80" i="6"/>
  <c r="Q80" i="6" s="1"/>
  <c r="R14" i="6"/>
  <c r="L21" i="14" l="1"/>
  <c r="S21" i="6"/>
  <c r="K4" i="14"/>
  <c r="Q4" i="6"/>
  <c r="L42" i="14"/>
  <c r="S42" i="6"/>
  <c r="J39" i="14"/>
  <c r="O39" i="6"/>
  <c r="K15" i="14"/>
  <c r="Q15" i="6"/>
  <c r="AQ45" i="10"/>
  <c r="N22" i="13" s="1"/>
  <c r="L40" i="14"/>
  <c r="S40" i="6"/>
  <c r="L6" i="14"/>
  <c r="S6" i="6"/>
  <c r="K23" i="14"/>
  <c r="Q23" i="6"/>
  <c r="K41" i="14"/>
  <c r="Q41" i="6"/>
  <c r="J38" i="14"/>
  <c r="O38" i="6"/>
  <c r="K32" i="14"/>
  <c r="Q32" i="6"/>
  <c r="AM34" i="10"/>
  <c r="M11" i="13" s="1"/>
  <c r="E58" i="2"/>
  <c r="E69" i="2"/>
  <c r="E15" i="2"/>
  <c r="L4" i="14"/>
  <c r="S4" i="6"/>
  <c r="K34" i="14"/>
  <c r="Q34" i="6"/>
  <c r="J35" i="14"/>
  <c r="O35" i="6"/>
  <c r="L2" i="14"/>
  <c r="S2" i="6"/>
  <c r="L20" i="14"/>
  <c r="S20" i="6"/>
  <c r="J8" i="14"/>
  <c r="O8" i="6"/>
  <c r="E42" i="2"/>
  <c r="E43" i="2"/>
  <c r="E63" i="2"/>
  <c r="E71" i="2"/>
  <c r="E59" i="2"/>
  <c r="E67" i="2"/>
  <c r="E53" i="2"/>
  <c r="E61" i="2"/>
  <c r="E47" i="2"/>
  <c r="E55" i="2"/>
  <c r="E41" i="2"/>
  <c r="J14" i="14"/>
  <c r="O14" i="6"/>
  <c r="K31" i="14"/>
  <c r="Q31" i="6"/>
  <c r="J12" i="14"/>
  <c r="O12" i="6"/>
  <c r="L16" i="14"/>
  <c r="S16" i="6"/>
  <c r="J28" i="14"/>
  <c r="O28" i="6"/>
  <c r="L34" i="14"/>
  <c r="S34" i="6"/>
  <c r="K18" i="14"/>
  <c r="Q18" i="6"/>
  <c r="K3" i="14"/>
  <c r="Q3" i="6"/>
  <c r="K37" i="14"/>
  <c r="Q37" i="6"/>
  <c r="L5" i="14"/>
  <c r="S5" i="6"/>
  <c r="K17" i="14"/>
  <c r="Q17" i="6"/>
  <c r="K35" i="14"/>
  <c r="Q35" i="6"/>
  <c r="L12" i="14"/>
  <c r="S12" i="6"/>
  <c r="L30" i="14"/>
  <c r="S30" i="6"/>
  <c r="L39" i="14"/>
  <c r="S39" i="6"/>
  <c r="J19" i="14"/>
  <c r="O19" i="6"/>
  <c r="J37" i="14"/>
  <c r="O37" i="6"/>
  <c r="J33" i="14"/>
  <c r="O33" i="6"/>
  <c r="AM37" i="10"/>
  <c r="M14" i="13" s="1"/>
  <c r="AM38" i="10"/>
  <c r="M15" i="13" s="1"/>
  <c r="AQ42" i="10"/>
  <c r="N19" i="13" s="1"/>
  <c r="J24" i="14"/>
  <c r="O24" i="6"/>
  <c r="K13" i="14"/>
  <c r="Q13" i="6"/>
  <c r="E36" i="2"/>
  <c r="E64" i="2"/>
  <c r="E37" i="2"/>
  <c r="E23" i="2"/>
  <c r="E31" i="2"/>
  <c r="E17" i="2"/>
  <c r="E25" i="2"/>
  <c r="E19" i="2"/>
  <c r="L14" i="14"/>
  <c r="S14" i="6"/>
  <c r="J16" i="14"/>
  <c r="O16" i="6"/>
  <c r="J5" i="14"/>
  <c r="O5" i="6"/>
  <c r="K2" i="14"/>
  <c r="Q2" i="6"/>
  <c r="AM44" i="10"/>
  <c r="M21" i="13" s="1"/>
  <c r="J6" i="14"/>
  <c r="O6" i="6"/>
  <c r="J2" i="14"/>
  <c r="O2" i="6"/>
  <c r="J17" i="14"/>
  <c r="O17" i="6"/>
  <c r="L41" i="14"/>
  <c r="S41" i="6"/>
  <c r="L7" i="14"/>
  <c r="S7" i="6"/>
  <c r="J10" i="14"/>
  <c r="O10" i="6"/>
  <c r="L3" i="14"/>
  <c r="S3" i="6"/>
  <c r="L17" i="14"/>
  <c r="S17" i="6"/>
  <c r="L35" i="14"/>
  <c r="S35" i="6"/>
  <c r="J9" i="14"/>
  <c r="O9" i="6"/>
  <c r="J43" i="14"/>
  <c r="O43" i="6"/>
  <c r="K26" i="14"/>
  <c r="Q26" i="6"/>
  <c r="K38" i="14"/>
  <c r="Q38" i="6"/>
  <c r="K33" i="14"/>
  <c r="Q33" i="6"/>
  <c r="AM45" i="10"/>
  <c r="M22" i="13" s="1"/>
  <c r="AM27" i="10"/>
  <c r="M4" i="13" s="1"/>
  <c r="J42" i="14"/>
  <c r="O42" i="6"/>
  <c r="E29" i="2"/>
  <c r="E51" i="2"/>
  <c r="E32" i="2"/>
  <c r="E57" i="2"/>
  <c r="E62" i="2"/>
  <c r="E45" i="2"/>
  <c r="E38" i="2"/>
  <c r="E27" i="2"/>
  <c r="E20" i="2"/>
  <c r="E68" i="2"/>
  <c r="E70" i="2"/>
  <c r="L22" i="14"/>
  <c r="S22" i="6"/>
  <c r="J31" i="14"/>
  <c r="O31" i="6"/>
  <c r="E50" i="2"/>
  <c r="E33" i="2"/>
  <c r="E21" i="2"/>
  <c r="E44" i="2"/>
  <c r="E14" i="2"/>
  <c r="K16" i="14"/>
  <c r="Q16" i="6"/>
  <c r="J3" i="14"/>
  <c r="O3" i="6"/>
  <c r="K5" i="14"/>
  <c r="Q5" i="6"/>
  <c r="K30" i="14"/>
  <c r="Q30" i="6"/>
  <c r="K39" i="14"/>
  <c r="Q39" i="6"/>
  <c r="L32" i="14"/>
  <c r="S32" i="6"/>
  <c r="AM41" i="10"/>
  <c r="M18" i="13" s="1"/>
  <c r="AM33" i="10"/>
  <c r="M10" i="13" s="1"/>
  <c r="AM43" i="10"/>
  <c r="M20" i="13" s="1"/>
  <c r="J30" i="14"/>
  <c r="M30" i="14" s="1"/>
  <c r="O30" i="6"/>
  <c r="L25" i="14"/>
  <c r="S25" i="6"/>
  <c r="J29" i="14"/>
  <c r="O29" i="6"/>
  <c r="J21" i="14"/>
  <c r="O21" i="6"/>
  <c r="L10" i="14"/>
  <c r="S10" i="6"/>
  <c r="J22" i="14"/>
  <c r="O22" i="6"/>
  <c r="L28" i="14"/>
  <c r="S28" i="6"/>
  <c r="J40" i="14"/>
  <c r="O40" i="6"/>
  <c r="J27" i="14"/>
  <c r="O27" i="6"/>
  <c r="J11" i="14"/>
  <c r="O11" i="6"/>
  <c r="K29" i="14"/>
  <c r="Q29" i="6"/>
  <c r="K24" i="14"/>
  <c r="Q24" i="6"/>
  <c r="K36" i="14"/>
  <c r="Q36" i="6"/>
  <c r="L9" i="14"/>
  <c r="S9" i="6"/>
  <c r="J7" i="14"/>
  <c r="O7" i="6"/>
  <c r="J25" i="14"/>
  <c r="O25" i="6"/>
  <c r="L8" i="14"/>
  <c r="S8" i="6"/>
  <c r="L26" i="14"/>
  <c r="S26" i="6"/>
  <c r="L38" i="14"/>
  <c r="S38" i="6"/>
  <c r="L33" i="14"/>
  <c r="S33" i="6"/>
  <c r="AM39" i="10"/>
  <c r="M16" i="13" s="1"/>
  <c r="AI34" i="10"/>
  <c r="L11" i="13" s="1"/>
  <c r="AM36" i="10"/>
  <c r="M13" i="13" s="1"/>
  <c r="AX22" i="10"/>
  <c r="BB22" i="10" s="1"/>
  <c r="AY44" i="10" s="1"/>
  <c r="P21" i="13" s="1"/>
  <c r="AQ36" i="10"/>
  <c r="N13" i="13" s="1"/>
  <c r="E28" i="2"/>
  <c r="K10" i="14"/>
  <c r="M10" i="14" s="1"/>
  <c r="Q10" i="6"/>
  <c r="E35" i="2"/>
  <c r="J26" i="14"/>
  <c r="O26" i="6"/>
  <c r="E22" i="2"/>
  <c r="E26" i="2"/>
  <c r="E66" i="2"/>
  <c r="E52" i="2"/>
  <c r="E60" i="2"/>
  <c r="E46" i="2"/>
  <c r="E54" i="2"/>
  <c r="E40" i="2"/>
  <c r="E48" i="2"/>
  <c r="E34" i="2"/>
  <c r="J34" i="14"/>
  <c r="O34" i="6"/>
  <c r="L27" i="14"/>
  <c r="S27" i="6"/>
  <c r="J32" i="14"/>
  <c r="O32" i="6"/>
  <c r="J13" i="14"/>
  <c r="O13" i="6"/>
  <c r="K20" i="14"/>
  <c r="Q20" i="6"/>
  <c r="L15" i="14"/>
  <c r="S15" i="6"/>
  <c r="AM42" i="10"/>
  <c r="M19" i="13" s="1"/>
  <c r="E39" i="2"/>
  <c r="L23" i="14"/>
  <c r="S23" i="6"/>
  <c r="L19" i="14"/>
  <c r="S19" i="6"/>
  <c r="K28" i="14"/>
  <c r="Q28" i="6"/>
  <c r="L18" i="14"/>
  <c r="S18" i="6"/>
  <c r="K21" i="14"/>
  <c r="Q21" i="6"/>
  <c r="J4" i="14"/>
  <c r="O4" i="6"/>
  <c r="K22" i="14"/>
  <c r="Q22" i="6"/>
  <c r="K40" i="14"/>
  <c r="Q40" i="6"/>
  <c r="K42" i="14"/>
  <c r="Q42" i="6"/>
  <c r="K27" i="14"/>
  <c r="Q27" i="6"/>
  <c r="L11" i="14"/>
  <c r="S11" i="6"/>
  <c r="J23" i="14"/>
  <c r="O23" i="6"/>
  <c r="L29" i="14"/>
  <c r="S29" i="6"/>
  <c r="J41" i="14"/>
  <c r="O41" i="6"/>
  <c r="J36" i="14"/>
  <c r="O36" i="6"/>
  <c r="L24" i="14"/>
  <c r="S24" i="6"/>
  <c r="L36" i="14"/>
  <c r="S36" i="6"/>
  <c r="L37" i="14"/>
  <c r="S37" i="6"/>
  <c r="J20" i="14"/>
  <c r="O20" i="6"/>
  <c r="J15" i="14"/>
  <c r="O15" i="6"/>
  <c r="AM40" i="10"/>
  <c r="M17" i="13" s="1"/>
  <c r="AT12" i="10"/>
  <c r="AQ34" i="10" s="1"/>
  <c r="N11" i="13" s="1"/>
  <c r="AM35" i="10"/>
  <c r="M12" i="13" s="1"/>
  <c r="AI44" i="10"/>
  <c r="L21" i="13" s="1"/>
  <c r="E47" i="9"/>
  <c r="E37" i="9"/>
  <c r="K9" i="14"/>
  <c r="Q9" i="6"/>
  <c r="J18" i="14"/>
  <c r="O18" i="6"/>
  <c r="K8" i="14"/>
  <c r="Q8" i="6"/>
  <c r="E13" i="2"/>
  <c r="E56" i="2"/>
  <c r="E65" i="2"/>
  <c r="E30" i="2"/>
  <c r="E16" i="2"/>
  <c r="E24" i="2"/>
  <c r="E18" i="2"/>
  <c r="K14" i="14"/>
  <c r="Q14" i="6"/>
  <c r="E49" i="2"/>
  <c r="E29" i="9"/>
  <c r="M31" i="14" s="1"/>
  <c r="E30" i="9"/>
  <c r="M25" i="14" s="1"/>
  <c r="AT4" i="10"/>
  <c r="AQ26" i="10" s="1"/>
  <c r="AP4" i="10"/>
  <c r="AI26" i="10"/>
  <c r="D31" i="9"/>
  <c r="AL6" i="10" s="1"/>
  <c r="J6" i="10"/>
  <c r="G28" i="10" s="1"/>
  <c r="E5" i="13" s="1"/>
  <c r="G33" i="9"/>
  <c r="C32" i="9"/>
  <c r="AT5" i="10"/>
  <c r="AQ27" i="10" s="1"/>
  <c r="AI27" i="10"/>
  <c r="L4" i="13" s="1"/>
  <c r="AX23" i="10"/>
  <c r="AU45" i="10" s="1"/>
  <c r="O22" i="13" s="1"/>
  <c r="AE45" i="10"/>
  <c r="K22" i="13" s="1"/>
  <c r="AA45" i="10"/>
  <c r="J22" i="13" s="1"/>
  <c r="W45" i="10"/>
  <c r="I22" i="13" s="1"/>
  <c r="O45" i="10"/>
  <c r="G22" i="13" s="1"/>
  <c r="W38" i="10"/>
  <c r="I15" i="13" s="1"/>
  <c r="S38" i="10"/>
  <c r="H15" i="13" s="1"/>
  <c r="O38" i="10"/>
  <c r="G15" i="13" s="1"/>
  <c r="K38" i="10"/>
  <c r="F15" i="13" s="1"/>
  <c r="AA38" i="10"/>
  <c r="J15" i="13" s="1"/>
  <c r="C38" i="10"/>
  <c r="D15" i="13" s="1"/>
  <c r="AE38" i="10"/>
  <c r="K15" i="13" s="1"/>
  <c r="AX21" i="10"/>
  <c r="N20" i="13"/>
  <c r="AX15" i="10"/>
  <c r="N14" i="13"/>
  <c r="AU44" i="10"/>
  <c r="O21" i="13" s="1"/>
  <c r="S45" i="10"/>
  <c r="H22" i="13" s="1"/>
  <c r="BB10" i="10"/>
  <c r="AU32" i="10"/>
  <c r="O9" i="13" s="1"/>
  <c r="K45" i="10"/>
  <c r="F22" i="13" s="1"/>
  <c r="N17" i="13"/>
  <c r="AX18" i="10"/>
  <c r="AY38" i="10"/>
  <c r="P15" i="13" s="1"/>
  <c r="BF16" i="10"/>
  <c r="BB23" i="10"/>
  <c r="BB14" i="10"/>
  <c r="AU36" i="10"/>
  <c r="O13" i="13" s="1"/>
  <c r="AX17" i="10"/>
  <c r="N16" i="13"/>
  <c r="AX11" i="10"/>
  <c r="N10" i="13"/>
  <c r="N18" i="13"/>
  <c r="AX19" i="10"/>
  <c r="BB13" i="10"/>
  <c r="AU35" i="10"/>
  <c r="O12" i="13" s="1"/>
  <c r="BB20" i="10"/>
  <c r="AU42" i="10"/>
  <c r="O19" i="13" s="1"/>
  <c r="M3" i="6"/>
  <c r="M45" i="6" s="1"/>
  <c r="L87" i="6"/>
  <c r="L129" i="6" s="1"/>
  <c r="AM26" i="10" l="1"/>
  <c r="M2" i="14"/>
  <c r="AX12" i="10"/>
  <c r="M9" i="14"/>
  <c r="M23" i="14"/>
  <c r="BF22" i="10"/>
  <c r="BJ22" i="10" s="1"/>
  <c r="M16" i="14"/>
  <c r="M37" i="14"/>
  <c r="M32" i="14"/>
  <c r="M18" i="14"/>
  <c r="M11" i="14"/>
  <c r="M38" i="14"/>
  <c r="M4" i="14"/>
  <c r="M17" i="14"/>
  <c r="M3" i="14"/>
  <c r="M24" i="14"/>
  <c r="M39" i="14"/>
  <c r="D32" i="9"/>
  <c r="AL7" i="10" s="1"/>
  <c r="J7" i="10"/>
  <c r="G29" i="10" s="1"/>
  <c r="E6" i="13" s="1"/>
  <c r="AX5" i="10"/>
  <c r="N4" i="13"/>
  <c r="G34" i="9"/>
  <c r="C34" i="9" s="1"/>
  <c r="C33" i="9"/>
  <c r="AX4" i="10"/>
  <c r="E31" i="9"/>
  <c r="AP6" i="10"/>
  <c r="AT6" i="10"/>
  <c r="AQ28" i="10" s="1"/>
  <c r="AI28" i="10"/>
  <c r="L5" i="13" s="1"/>
  <c r="N15" i="14"/>
  <c r="N43" i="14"/>
  <c r="N22" i="14"/>
  <c r="N29" i="14"/>
  <c r="N8" i="14"/>
  <c r="N36" i="14"/>
  <c r="BC44" i="10"/>
  <c r="Q21" i="13" s="1"/>
  <c r="AU37" i="10"/>
  <c r="O14" i="13" s="1"/>
  <c r="BB15" i="10"/>
  <c r="AY32" i="10"/>
  <c r="P9" i="13" s="1"/>
  <c r="BF10" i="10"/>
  <c r="BB21" i="10"/>
  <c r="AU43" i="10"/>
  <c r="O20" i="13" s="1"/>
  <c r="AU33" i="10"/>
  <c r="O10" i="13" s="1"/>
  <c r="BB11" i="10"/>
  <c r="BF14" i="10"/>
  <c r="AY36" i="10"/>
  <c r="P13" i="13" s="1"/>
  <c r="AU40" i="10"/>
  <c r="O17" i="13" s="1"/>
  <c r="BB18" i="10"/>
  <c r="AU39" i="10"/>
  <c r="O16" i="13" s="1"/>
  <c r="BB17" i="10"/>
  <c r="BF23" i="10"/>
  <c r="AY45" i="10"/>
  <c r="P22" i="13" s="1"/>
  <c r="AY42" i="10"/>
  <c r="P19" i="13" s="1"/>
  <c r="BF20" i="10"/>
  <c r="BF13" i="10"/>
  <c r="AY35" i="10"/>
  <c r="P12" i="13" s="1"/>
  <c r="BN22" i="10"/>
  <c r="BK44" i="10" s="1"/>
  <c r="S21" i="13" s="1"/>
  <c r="BG44" i="10"/>
  <c r="R21" i="13" s="1"/>
  <c r="BB19" i="10"/>
  <c r="AU41" i="10"/>
  <c r="O18" i="13" s="1"/>
  <c r="BJ16" i="10"/>
  <c r="BC38" i="10"/>
  <c r="Q15" i="13" s="1"/>
  <c r="AU34" i="10"/>
  <c r="O11" i="13" s="1"/>
  <c r="BB12" i="10"/>
  <c r="AM28" i="10" l="1"/>
  <c r="M5" i="13" s="1"/>
  <c r="D33" i="9"/>
  <c r="AL8" i="10" s="1"/>
  <c r="J8" i="10"/>
  <c r="G30" i="10" s="1"/>
  <c r="E7" i="13" s="1"/>
  <c r="AP7" i="10"/>
  <c r="AT7" i="10"/>
  <c r="AQ29" i="10" s="1"/>
  <c r="AI29" i="10"/>
  <c r="L6" i="13" s="1"/>
  <c r="AX6" i="10"/>
  <c r="N5" i="13"/>
  <c r="D34" i="9"/>
  <c r="AL9" i="10" s="1"/>
  <c r="J9" i="10"/>
  <c r="G31" i="10" s="1"/>
  <c r="E8" i="13" s="1"/>
  <c r="F9" i="10"/>
  <c r="M19" i="14"/>
  <c r="M40" i="14"/>
  <c r="M12" i="14"/>
  <c r="M33" i="14"/>
  <c r="M5" i="14"/>
  <c r="M26" i="14"/>
  <c r="AU27" i="10"/>
  <c r="O4" i="13" s="1"/>
  <c r="BB5" i="10"/>
  <c r="BB4" i="10"/>
  <c r="AU26" i="10"/>
  <c r="E32" i="9"/>
  <c r="BJ10" i="10"/>
  <c r="BC32" i="10"/>
  <c r="Q9" i="13" s="1"/>
  <c r="AY43" i="10"/>
  <c r="P20" i="13" s="1"/>
  <c r="BF21" i="10"/>
  <c r="BF15" i="10"/>
  <c r="AY37" i="10"/>
  <c r="P14" i="13" s="1"/>
  <c r="BC35" i="10"/>
  <c r="Q12" i="13" s="1"/>
  <c r="BJ13" i="10"/>
  <c r="BN16" i="10"/>
  <c r="BK38" i="10" s="1"/>
  <c r="S15" i="13" s="1"/>
  <c r="BG38" i="10"/>
  <c r="R15" i="13" s="1"/>
  <c r="BC36" i="10"/>
  <c r="Q13" i="13" s="1"/>
  <c r="BJ14" i="10"/>
  <c r="BF17" i="10"/>
  <c r="AY39" i="10"/>
  <c r="P16" i="13" s="1"/>
  <c r="BF11" i="10"/>
  <c r="AY33" i="10"/>
  <c r="P10" i="13" s="1"/>
  <c r="AY41" i="10"/>
  <c r="P18" i="13" s="1"/>
  <c r="BF19" i="10"/>
  <c r="BC45" i="10"/>
  <c r="Q22" i="13" s="1"/>
  <c r="BJ23" i="10"/>
  <c r="BF12" i="10"/>
  <c r="AY34" i="10"/>
  <c r="P11" i="13" s="1"/>
  <c r="BC42" i="10"/>
  <c r="Q19" i="13" s="1"/>
  <c r="BJ20" i="10"/>
  <c r="BF18" i="10"/>
  <c r="AY40" i="10"/>
  <c r="P17" i="13" s="1"/>
  <c r="J22" i="10"/>
  <c r="G44" i="10" s="1"/>
  <c r="E21" i="13" s="1"/>
  <c r="J21" i="10"/>
  <c r="G43" i="10" s="1"/>
  <c r="E20" i="13" s="1"/>
  <c r="J20" i="10"/>
  <c r="G42" i="10" s="1"/>
  <c r="E19" i="13" s="1"/>
  <c r="J19" i="10"/>
  <c r="G41" i="10" s="1"/>
  <c r="E18" i="13" s="1"/>
  <c r="J18" i="10"/>
  <c r="G40" i="10" s="1"/>
  <c r="E17" i="13" s="1"/>
  <c r="J17" i="10"/>
  <c r="G39" i="10" s="1"/>
  <c r="E16" i="13" s="1"/>
  <c r="F17" i="10"/>
  <c r="F18" i="10"/>
  <c r="F19" i="10"/>
  <c r="F20" i="10"/>
  <c r="F21" i="10"/>
  <c r="F22" i="10"/>
  <c r="J3" i="10"/>
  <c r="G25" i="10" s="1"/>
  <c r="E2" i="13" s="1"/>
  <c r="AL3" i="10"/>
  <c r="AI25" i="10" s="1"/>
  <c r="L2" i="13" s="1"/>
  <c r="E3" i="13"/>
  <c r="L3" i="13"/>
  <c r="F6" i="10"/>
  <c r="F7" i="10"/>
  <c r="F8" i="10"/>
  <c r="F15" i="10"/>
  <c r="F14" i="10"/>
  <c r="AM29" i="10" l="1"/>
  <c r="M6" i="13" s="1"/>
  <c r="E33" i="9"/>
  <c r="M14" i="14" s="1"/>
  <c r="E34" i="9"/>
  <c r="N6" i="13"/>
  <c r="AX7" i="10"/>
  <c r="M13" i="14"/>
  <c r="M34" i="14"/>
  <c r="M20" i="14"/>
  <c r="M6" i="14"/>
  <c r="M27" i="14"/>
  <c r="M41" i="14"/>
  <c r="BF5" i="10"/>
  <c r="AY27" i="10"/>
  <c r="P4" i="13" s="1"/>
  <c r="AI31" i="10"/>
  <c r="L8" i="13" s="1"/>
  <c r="AT9" i="10"/>
  <c r="AQ31" i="10" s="1"/>
  <c r="AP9" i="10"/>
  <c r="AU28" i="10"/>
  <c r="O5" i="13" s="1"/>
  <c r="BB6" i="10"/>
  <c r="AY26" i="10"/>
  <c r="BF4" i="10"/>
  <c r="V9" i="10"/>
  <c r="AH9" i="10"/>
  <c r="AD9" i="10"/>
  <c r="N9" i="10"/>
  <c r="R9" i="10" s="1"/>
  <c r="Z9" i="10"/>
  <c r="AP8" i="10"/>
  <c r="AT8" i="10"/>
  <c r="AQ30" i="10" s="1"/>
  <c r="AI30" i="10"/>
  <c r="L7" i="13" s="1"/>
  <c r="BC37" i="10"/>
  <c r="Q14" i="13" s="1"/>
  <c r="BJ15" i="10"/>
  <c r="BG32" i="10"/>
  <c r="R9" i="13" s="1"/>
  <c r="BN10" i="10"/>
  <c r="BK32" i="10" s="1"/>
  <c r="S9" i="13" s="1"/>
  <c r="AD21" i="10"/>
  <c r="AH21" i="10"/>
  <c r="V21" i="10"/>
  <c r="Z21" i="10"/>
  <c r="N21" i="10"/>
  <c r="R21" i="10" s="1"/>
  <c r="AH6" i="10"/>
  <c r="Z6" i="10"/>
  <c r="V6" i="10"/>
  <c r="AD6" i="10"/>
  <c r="N6" i="10"/>
  <c r="R6" i="10" s="1"/>
  <c r="AD22" i="10"/>
  <c r="AH22" i="10"/>
  <c r="V22" i="10"/>
  <c r="Z22" i="10"/>
  <c r="N22" i="10"/>
  <c r="R22" i="10" s="1"/>
  <c r="AH20" i="10"/>
  <c r="V20" i="10"/>
  <c r="Z20" i="10"/>
  <c r="N20" i="10"/>
  <c r="R20" i="10" s="1"/>
  <c r="AD20" i="10"/>
  <c r="AD15" i="10"/>
  <c r="V15" i="10"/>
  <c r="AH15" i="10"/>
  <c r="Z15" i="10"/>
  <c r="N15" i="10"/>
  <c r="R15" i="10" s="1"/>
  <c r="Z19" i="10"/>
  <c r="AD19" i="10"/>
  <c r="AH19" i="10"/>
  <c r="N19" i="10"/>
  <c r="R19" i="10" s="1"/>
  <c r="V19" i="10"/>
  <c r="V8" i="10"/>
  <c r="AH8" i="10"/>
  <c r="AD8" i="10"/>
  <c r="Z8" i="10"/>
  <c r="N8" i="10"/>
  <c r="R8" i="10" s="1"/>
  <c r="AD14" i="10"/>
  <c r="V14" i="10"/>
  <c r="AH14" i="10"/>
  <c r="Z14" i="10"/>
  <c r="N14" i="10"/>
  <c r="R14" i="10" s="1"/>
  <c r="BC43" i="10"/>
  <c r="Q20" i="13" s="1"/>
  <c r="BJ21" i="10"/>
  <c r="AH18" i="10"/>
  <c r="Z18" i="10"/>
  <c r="N18" i="10"/>
  <c r="R18" i="10" s="1"/>
  <c r="V18" i="10"/>
  <c r="AD18" i="10"/>
  <c r="AD7" i="10"/>
  <c r="AH7" i="10"/>
  <c r="N7" i="10"/>
  <c r="R7" i="10" s="1"/>
  <c r="Z7" i="10"/>
  <c r="V7" i="10"/>
  <c r="C39" i="10"/>
  <c r="D16" i="13" s="1"/>
  <c r="Z17" i="10"/>
  <c r="N17" i="10"/>
  <c r="R17" i="10" s="1"/>
  <c r="AH17" i="10"/>
  <c r="AD17" i="10"/>
  <c r="V17" i="10"/>
  <c r="BJ11" i="10"/>
  <c r="BC33" i="10"/>
  <c r="Q10" i="13" s="1"/>
  <c r="BJ18" i="10"/>
  <c r="BC40" i="10"/>
  <c r="Q17" i="13" s="1"/>
  <c r="BJ17" i="10"/>
  <c r="BC39" i="10"/>
  <c r="Q16" i="13" s="1"/>
  <c r="BN20" i="10"/>
  <c r="BK42" i="10" s="1"/>
  <c r="S19" i="13" s="1"/>
  <c r="BG42" i="10"/>
  <c r="R19" i="13" s="1"/>
  <c r="BC41" i="10"/>
  <c r="Q18" i="13" s="1"/>
  <c r="BJ19" i="10"/>
  <c r="BN13" i="10"/>
  <c r="BK35" i="10" s="1"/>
  <c r="S12" i="13" s="1"/>
  <c r="BG35" i="10"/>
  <c r="R12" i="13" s="1"/>
  <c r="BJ12" i="10"/>
  <c r="BC34" i="10"/>
  <c r="Q11" i="13" s="1"/>
  <c r="BG45" i="10"/>
  <c r="R22" i="13" s="1"/>
  <c r="BN23" i="10"/>
  <c r="BK45" i="10" s="1"/>
  <c r="S22" i="13" s="1"/>
  <c r="BN14" i="10"/>
  <c r="BK36" i="10" s="1"/>
  <c r="S13" i="13" s="1"/>
  <c r="BG36" i="10"/>
  <c r="R13" i="13" s="1"/>
  <c r="F5" i="10"/>
  <c r="F4" i="10"/>
  <c r="F3" i="10"/>
  <c r="N3" i="13"/>
  <c r="M3" i="13"/>
  <c r="AT3" i="10"/>
  <c r="AP3" i="10"/>
  <c r="AQ25" i="10" l="1"/>
  <c r="N2" i="13" s="1"/>
  <c r="AM31" i="10"/>
  <c r="M8" i="13" s="1"/>
  <c r="AM30" i="10"/>
  <c r="M7" i="13" s="1"/>
  <c r="AM25" i="10"/>
  <c r="M2" i="13" s="1"/>
  <c r="K39" i="10"/>
  <c r="F16" i="13" s="1"/>
  <c r="M21" i="14"/>
  <c r="M35" i="14"/>
  <c r="M42" i="14"/>
  <c r="M28" i="14"/>
  <c r="M7" i="14"/>
  <c r="BF6" i="10"/>
  <c r="AY28" i="10"/>
  <c r="P5" i="13" s="1"/>
  <c r="BC27" i="10"/>
  <c r="Q4" i="13" s="1"/>
  <c r="BJ5" i="10"/>
  <c r="M43" i="14"/>
  <c r="M36" i="14"/>
  <c r="M22" i="14"/>
  <c r="M8" i="14"/>
  <c r="M29" i="14"/>
  <c r="M15" i="14"/>
  <c r="BC26" i="10"/>
  <c r="BJ4" i="10"/>
  <c r="AX9" i="10"/>
  <c r="N8" i="13"/>
  <c r="C31" i="10"/>
  <c r="D8" i="13" s="1"/>
  <c r="O31" i="10"/>
  <c r="G8" i="13" s="1"/>
  <c r="AA31" i="10"/>
  <c r="J8" i="13" s="1"/>
  <c r="AE31" i="10"/>
  <c r="K8" i="13" s="1"/>
  <c r="W31" i="10"/>
  <c r="I8" i="13" s="1"/>
  <c r="S31" i="10"/>
  <c r="H8" i="13" s="1"/>
  <c r="K31" i="10"/>
  <c r="F8" i="13" s="1"/>
  <c r="AU29" i="10"/>
  <c r="O6" i="13" s="1"/>
  <c r="BB7" i="10"/>
  <c r="N7" i="13"/>
  <c r="AX8" i="10"/>
  <c r="O39" i="10"/>
  <c r="G16" i="13" s="1"/>
  <c r="AA39" i="10"/>
  <c r="J16" i="13" s="1"/>
  <c r="AE42" i="10"/>
  <c r="K19" i="13" s="1"/>
  <c r="AA42" i="10"/>
  <c r="J19" i="13" s="1"/>
  <c r="S42" i="10"/>
  <c r="H19" i="13" s="1"/>
  <c r="K42" i="10"/>
  <c r="F19" i="13" s="1"/>
  <c r="C42" i="10"/>
  <c r="D19" i="13" s="1"/>
  <c r="W42" i="10"/>
  <c r="I19" i="13" s="1"/>
  <c r="O42" i="10"/>
  <c r="G19" i="13" s="1"/>
  <c r="AH5" i="10"/>
  <c r="AD5" i="10"/>
  <c r="Z5" i="10"/>
  <c r="V5" i="10"/>
  <c r="N5" i="10"/>
  <c r="R5" i="10" s="1"/>
  <c r="C29" i="10"/>
  <c r="D6" i="13" s="1"/>
  <c r="S29" i="10"/>
  <c r="H6" i="13" s="1"/>
  <c r="O29" i="10"/>
  <c r="G6" i="13" s="1"/>
  <c r="W29" i="10"/>
  <c r="I6" i="13" s="1"/>
  <c r="K29" i="10"/>
  <c r="F6" i="13" s="1"/>
  <c r="AE29" i="10"/>
  <c r="K6" i="13" s="1"/>
  <c r="AA29" i="10"/>
  <c r="J6" i="13" s="1"/>
  <c r="BN21" i="10"/>
  <c r="BK43" i="10" s="1"/>
  <c r="S20" i="13" s="1"/>
  <c r="BG43" i="10"/>
  <c r="R20" i="13" s="1"/>
  <c r="W39" i="10"/>
  <c r="I16" i="13" s="1"/>
  <c r="C44" i="10"/>
  <c r="D21" i="13" s="1"/>
  <c r="W44" i="10"/>
  <c r="I21" i="13" s="1"/>
  <c r="S44" i="10"/>
  <c r="H21" i="13" s="1"/>
  <c r="AE44" i="10"/>
  <c r="K21" i="13" s="1"/>
  <c r="O44" i="10"/>
  <c r="G21" i="13" s="1"/>
  <c r="K44" i="10"/>
  <c r="F21" i="13" s="1"/>
  <c r="AA44" i="10"/>
  <c r="J21" i="13" s="1"/>
  <c r="C28" i="10"/>
  <c r="D5" i="13" s="1"/>
  <c r="S28" i="10"/>
  <c r="H5" i="13" s="1"/>
  <c r="O28" i="10"/>
  <c r="G5" i="13" s="1"/>
  <c r="W28" i="10"/>
  <c r="I5" i="13" s="1"/>
  <c r="AE28" i="10"/>
  <c r="K5" i="13" s="1"/>
  <c r="AA28" i="10"/>
  <c r="J5" i="13" s="1"/>
  <c r="K28" i="10"/>
  <c r="F5" i="13" s="1"/>
  <c r="C43" i="10"/>
  <c r="D20" i="13" s="1"/>
  <c r="S43" i="10"/>
  <c r="H20" i="13" s="1"/>
  <c r="K43" i="10"/>
  <c r="F20" i="13" s="1"/>
  <c r="AE43" i="10"/>
  <c r="K20" i="13" s="1"/>
  <c r="AA43" i="10"/>
  <c r="J20" i="13" s="1"/>
  <c r="W43" i="10"/>
  <c r="I20" i="13" s="1"/>
  <c r="O43" i="10"/>
  <c r="G20" i="13" s="1"/>
  <c r="AD4" i="10"/>
  <c r="Z4" i="10"/>
  <c r="N4" i="10"/>
  <c r="R4" i="10" s="1"/>
  <c r="V4" i="10"/>
  <c r="AH4" i="10"/>
  <c r="S39" i="10"/>
  <c r="H16" i="13" s="1"/>
  <c r="C37" i="10"/>
  <c r="D14" i="13" s="1"/>
  <c r="S37" i="10"/>
  <c r="H14" i="13" s="1"/>
  <c r="K37" i="10"/>
  <c r="F14" i="13" s="1"/>
  <c r="AE37" i="10"/>
  <c r="K14" i="13" s="1"/>
  <c r="AA37" i="10"/>
  <c r="J14" i="13" s="1"/>
  <c r="W37" i="10"/>
  <c r="I14" i="13" s="1"/>
  <c r="O37" i="10"/>
  <c r="G14" i="13" s="1"/>
  <c r="AE40" i="10"/>
  <c r="K17" i="13" s="1"/>
  <c r="O40" i="10"/>
  <c r="G17" i="13" s="1"/>
  <c r="K40" i="10"/>
  <c r="F17" i="13" s="1"/>
  <c r="S40" i="10"/>
  <c r="H17" i="13" s="1"/>
  <c r="C40" i="10"/>
  <c r="D17" i="13" s="1"/>
  <c r="AA40" i="10"/>
  <c r="J17" i="13" s="1"/>
  <c r="W40" i="10"/>
  <c r="I17" i="13" s="1"/>
  <c r="C36" i="10"/>
  <c r="D13" i="13" s="1"/>
  <c r="AE36" i="10"/>
  <c r="K13" i="13" s="1"/>
  <c r="AA36" i="10"/>
  <c r="J13" i="13" s="1"/>
  <c r="S36" i="10"/>
  <c r="H13" i="13" s="1"/>
  <c r="K36" i="10"/>
  <c r="F13" i="13" s="1"/>
  <c r="W36" i="10"/>
  <c r="I13" i="13" s="1"/>
  <c r="O36" i="10"/>
  <c r="G13" i="13" s="1"/>
  <c r="AE30" i="10"/>
  <c r="K7" i="13" s="1"/>
  <c r="AA30" i="10"/>
  <c r="J7" i="13" s="1"/>
  <c r="S30" i="10"/>
  <c r="H7" i="13" s="1"/>
  <c r="C30" i="10"/>
  <c r="D7" i="13" s="1"/>
  <c r="K30" i="10"/>
  <c r="F7" i="13" s="1"/>
  <c r="O30" i="10"/>
  <c r="G7" i="13" s="1"/>
  <c r="W30" i="10"/>
  <c r="I7" i="13" s="1"/>
  <c r="C41" i="10"/>
  <c r="D18" i="13" s="1"/>
  <c r="W41" i="10"/>
  <c r="I18" i="13" s="1"/>
  <c r="AE41" i="10"/>
  <c r="K18" i="13" s="1"/>
  <c r="O41" i="10"/>
  <c r="G18" i="13" s="1"/>
  <c r="AA41" i="10"/>
  <c r="J18" i="13" s="1"/>
  <c r="K41" i="10"/>
  <c r="F18" i="13" s="1"/>
  <c r="S41" i="10"/>
  <c r="H18" i="13" s="1"/>
  <c r="AE39" i="10"/>
  <c r="K16" i="13" s="1"/>
  <c r="BG37" i="10"/>
  <c r="R14" i="13" s="1"/>
  <c r="BN15" i="10"/>
  <c r="BK37" i="10" s="1"/>
  <c r="S14" i="13" s="1"/>
  <c r="BG39" i="10"/>
  <c r="R16" i="13" s="1"/>
  <c r="BN17" i="10"/>
  <c r="BK39" i="10" s="1"/>
  <c r="S16" i="13" s="1"/>
  <c r="BG34" i="10"/>
  <c r="R11" i="13" s="1"/>
  <c r="BN12" i="10"/>
  <c r="BK34" i="10" s="1"/>
  <c r="S11" i="13" s="1"/>
  <c r="BG40" i="10"/>
  <c r="R17" i="13" s="1"/>
  <c r="BN18" i="10"/>
  <c r="BK40" i="10" s="1"/>
  <c r="S17" i="13" s="1"/>
  <c r="BG33" i="10"/>
  <c r="R10" i="13" s="1"/>
  <c r="BN11" i="10"/>
  <c r="BK33" i="10" s="1"/>
  <c r="S10" i="13" s="1"/>
  <c r="BN19" i="10"/>
  <c r="BK41" i="10" s="1"/>
  <c r="S18" i="13" s="1"/>
  <c r="BG41" i="10"/>
  <c r="R18" i="13" s="1"/>
  <c r="AH3" i="10"/>
  <c r="V3" i="10"/>
  <c r="N3" i="10"/>
  <c r="R3" i="10" s="1"/>
  <c r="AD3" i="10"/>
  <c r="Z3" i="10"/>
  <c r="C25" i="10"/>
  <c r="D2" i="13" s="1"/>
  <c r="O3" i="13"/>
  <c r="AX3" i="10"/>
  <c r="AU25" i="10" s="1"/>
  <c r="O2" i="13" s="1"/>
  <c r="E2" i="2"/>
  <c r="L2" i="2" s="1"/>
  <c r="E3" i="2"/>
  <c r="I3" i="2"/>
  <c r="BG26" i="10" l="1"/>
  <c r="BN4" i="10"/>
  <c r="BK26" i="10" s="1"/>
  <c r="AY29" i="10"/>
  <c r="P6" i="13" s="1"/>
  <c r="BF7" i="10"/>
  <c r="BN5" i="10"/>
  <c r="BK27" i="10" s="1"/>
  <c r="S4" i="13" s="1"/>
  <c r="BG27" i="10"/>
  <c r="R4" i="13" s="1"/>
  <c r="AA25" i="10"/>
  <c r="J2" i="13" s="1"/>
  <c r="BB8" i="10"/>
  <c r="AU30" i="10"/>
  <c r="O7" i="13" s="1"/>
  <c r="BB9" i="10"/>
  <c r="AU31" i="10"/>
  <c r="O8" i="13" s="1"/>
  <c r="BC28" i="10"/>
  <c r="Q5" i="13" s="1"/>
  <c r="BJ6" i="10"/>
  <c r="N16" i="14"/>
  <c r="N30" i="14"/>
  <c r="N37" i="14"/>
  <c r="N2" i="14"/>
  <c r="N9" i="14"/>
  <c r="N23" i="14"/>
  <c r="N33" i="14"/>
  <c r="N12" i="14"/>
  <c r="N5" i="14"/>
  <c r="N40" i="14"/>
  <c r="N26" i="14"/>
  <c r="N19" i="14"/>
  <c r="N41" i="14"/>
  <c r="N34" i="14"/>
  <c r="N27" i="14"/>
  <c r="N20" i="14"/>
  <c r="N13" i="14"/>
  <c r="N6" i="14"/>
  <c r="N17" i="14"/>
  <c r="N3" i="14"/>
  <c r="N38" i="14"/>
  <c r="N24" i="14"/>
  <c r="N10" i="14"/>
  <c r="N31" i="14"/>
  <c r="N25" i="14"/>
  <c r="B5" i="11"/>
  <c r="D5" i="11" s="1"/>
  <c r="N18" i="14"/>
  <c r="N11" i="14"/>
  <c r="N39" i="14"/>
  <c r="N4" i="14"/>
  <c r="N32" i="14"/>
  <c r="N21" i="14"/>
  <c r="N28" i="14"/>
  <c r="N42" i="14"/>
  <c r="N35" i="14"/>
  <c r="N7" i="14"/>
  <c r="N14" i="14"/>
  <c r="G3" i="2"/>
  <c r="H3" i="2"/>
  <c r="C26" i="10"/>
  <c r="D3" i="13" s="1"/>
  <c r="W26" i="10"/>
  <c r="I3" i="13" s="1"/>
  <c r="AE26" i="10"/>
  <c r="K3" i="13" s="1"/>
  <c r="S26" i="10"/>
  <c r="H3" i="13" s="1"/>
  <c r="O26" i="10"/>
  <c r="G3" i="13" s="1"/>
  <c r="K26" i="10"/>
  <c r="F3" i="13" s="1"/>
  <c r="AA26" i="10"/>
  <c r="J3" i="13" s="1"/>
  <c r="W27" i="10"/>
  <c r="I4" i="13" s="1"/>
  <c r="AE27" i="10"/>
  <c r="K4" i="13" s="1"/>
  <c r="C27" i="10"/>
  <c r="D4" i="13" s="1"/>
  <c r="AA27" i="10"/>
  <c r="J4" i="13" s="1"/>
  <c r="S27" i="10"/>
  <c r="H4" i="13" s="1"/>
  <c r="K27" i="10"/>
  <c r="F4" i="13" s="1"/>
  <c r="O27" i="10"/>
  <c r="G4" i="13" s="1"/>
  <c r="AE25" i="10"/>
  <c r="K2" i="13" s="1"/>
  <c r="K25" i="10"/>
  <c r="F2" i="13" s="1"/>
  <c r="S25" i="10"/>
  <c r="H2" i="13" s="1"/>
  <c r="O25" i="10"/>
  <c r="G2" i="13" s="1"/>
  <c r="W25" i="10"/>
  <c r="I2" i="13" s="1"/>
  <c r="BB3" i="10"/>
  <c r="I4" i="2"/>
  <c r="F3" i="2" l="1"/>
  <c r="K3" i="2"/>
  <c r="L3" i="2" s="1"/>
  <c r="AY31" i="10"/>
  <c r="P8" i="13" s="1"/>
  <c r="BF9" i="10"/>
  <c r="BJ7" i="10"/>
  <c r="BC29" i="10"/>
  <c r="Q6" i="13" s="1"/>
  <c r="BG28" i="10"/>
  <c r="R5" i="13" s="1"/>
  <c r="BN6" i="10"/>
  <c r="BK28" i="10" s="1"/>
  <c r="S5" i="13" s="1"/>
  <c r="BF8" i="10"/>
  <c r="AY30" i="10"/>
  <c r="P7" i="13" s="1"/>
  <c r="B6" i="11"/>
  <c r="D6" i="11" s="1"/>
  <c r="C12" i="11" s="1"/>
  <c r="G4" i="2"/>
  <c r="H4" i="2"/>
  <c r="BF3" i="10"/>
  <c r="AY25" i="10"/>
  <c r="P2" i="13" s="1"/>
  <c r="P3" i="13"/>
  <c r="I5" i="2"/>
  <c r="E27" i="5"/>
  <c r="F27" i="5"/>
  <c r="F26" i="5"/>
  <c r="D27" i="5"/>
  <c r="E26" i="5"/>
  <c r="D26" i="5"/>
  <c r="F25" i="5"/>
  <c r="E25" i="5"/>
  <c r="D25" i="5"/>
  <c r="D24" i="5"/>
  <c r="E23" i="5"/>
  <c r="E24" i="5"/>
  <c r="D23" i="5"/>
  <c r="F4" i="2" l="1"/>
  <c r="K4" i="2"/>
  <c r="L4" i="2" s="1"/>
  <c r="BN7" i="10"/>
  <c r="BK29" i="10" s="1"/>
  <c r="S6" i="13" s="1"/>
  <c r="BG29" i="10"/>
  <c r="R6" i="13" s="1"/>
  <c r="BC31" i="10"/>
  <c r="Q8" i="13" s="1"/>
  <c r="BJ9" i="10"/>
  <c r="BJ8" i="10"/>
  <c r="BC30" i="10"/>
  <c r="Q7" i="13" s="1"/>
  <c r="G5" i="2"/>
  <c r="H5" i="2"/>
  <c r="F11" i="10"/>
  <c r="F10" i="10"/>
  <c r="F13" i="10"/>
  <c r="F12" i="10"/>
  <c r="Q3" i="13"/>
  <c r="BJ3" i="10"/>
  <c r="BC25" i="10"/>
  <c r="Q2" i="13" s="1"/>
  <c r="I6" i="2"/>
  <c r="H27" i="5"/>
  <c r="H23" i="5"/>
  <c r="H25" i="5"/>
  <c r="H24" i="5"/>
  <c r="H26" i="5"/>
  <c r="J26" i="5" s="1"/>
  <c r="F5" i="2" l="1"/>
  <c r="K5" i="2"/>
  <c r="L5" i="2" s="1"/>
  <c r="BG30" i="10"/>
  <c r="R7" i="13" s="1"/>
  <c r="BN8" i="10"/>
  <c r="BK30" i="10" s="1"/>
  <c r="S7" i="13" s="1"/>
  <c r="BG31" i="10"/>
  <c r="R8" i="13" s="1"/>
  <c r="BN9" i="10"/>
  <c r="BK31" i="10" s="1"/>
  <c r="S8" i="13" s="1"/>
  <c r="G6" i="2"/>
  <c r="H6" i="2"/>
  <c r="AH12" i="10"/>
  <c r="Z12" i="10"/>
  <c r="N12" i="10"/>
  <c r="R12" i="10" s="1"/>
  <c r="AD12" i="10"/>
  <c r="V12" i="10"/>
  <c r="AH13" i="10"/>
  <c r="V13" i="10"/>
  <c r="N13" i="10"/>
  <c r="R13" i="10" s="1"/>
  <c r="Z13" i="10"/>
  <c r="AD13" i="10"/>
  <c r="AD10" i="10"/>
  <c r="Z10" i="10"/>
  <c r="AH10" i="10"/>
  <c r="V10" i="10"/>
  <c r="N10" i="10"/>
  <c r="R10" i="10" s="1"/>
  <c r="N11" i="10"/>
  <c r="R11" i="10" s="1"/>
  <c r="Z11" i="10"/>
  <c r="AH11" i="10"/>
  <c r="AD11" i="10"/>
  <c r="V11" i="10"/>
  <c r="S3" i="13"/>
  <c r="R3" i="13"/>
  <c r="BN3" i="10"/>
  <c r="BK25" i="10" s="1"/>
  <c r="S2" i="13" s="1"/>
  <c r="BG25" i="10"/>
  <c r="R2" i="13" s="1"/>
  <c r="I7" i="2"/>
  <c r="F6" i="2" l="1"/>
  <c r="K6" i="2"/>
  <c r="L6" i="2" s="1"/>
  <c r="H7" i="2"/>
  <c r="G7" i="2"/>
  <c r="C33" i="10"/>
  <c r="D10" i="13" s="1"/>
  <c r="AE33" i="10"/>
  <c r="K10" i="13" s="1"/>
  <c r="AA33" i="10"/>
  <c r="J10" i="13" s="1"/>
  <c r="S33" i="10"/>
  <c r="H10" i="13" s="1"/>
  <c r="W33" i="10"/>
  <c r="I10" i="13" s="1"/>
  <c r="O33" i="10"/>
  <c r="G10" i="13" s="1"/>
  <c r="K33" i="10"/>
  <c r="F10" i="13" s="1"/>
  <c r="C34" i="10"/>
  <c r="D11" i="13" s="1"/>
  <c r="W34" i="10"/>
  <c r="I11" i="13" s="1"/>
  <c r="O34" i="10"/>
  <c r="G11" i="13" s="1"/>
  <c r="AE34" i="10"/>
  <c r="K11" i="13" s="1"/>
  <c r="K34" i="10"/>
  <c r="F11" i="13" s="1"/>
  <c r="AA34" i="10"/>
  <c r="J11" i="13" s="1"/>
  <c r="S34" i="10"/>
  <c r="H11" i="13" s="1"/>
  <c r="C32" i="10"/>
  <c r="D9" i="13" s="1"/>
  <c r="W32" i="10"/>
  <c r="I9" i="13" s="1"/>
  <c r="AA32" i="10"/>
  <c r="J9" i="13" s="1"/>
  <c r="O32" i="10"/>
  <c r="G9" i="13" s="1"/>
  <c r="K32" i="10"/>
  <c r="F9" i="13" s="1"/>
  <c r="S32" i="10"/>
  <c r="H9" i="13" s="1"/>
  <c r="AE32" i="10"/>
  <c r="K9" i="13" s="1"/>
  <c r="S35" i="10"/>
  <c r="H12" i="13" s="1"/>
  <c r="AE35" i="10"/>
  <c r="K12" i="13" s="1"/>
  <c r="W35" i="10"/>
  <c r="I12" i="13" s="1"/>
  <c r="O35" i="10"/>
  <c r="G12" i="13" s="1"/>
  <c r="AA35" i="10"/>
  <c r="J12" i="13" s="1"/>
  <c r="C35" i="10"/>
  <c r="D12" i="13" s="1"/>
  <c r="K35" i="10"/>
  <c r="F12" i="13" s="1"/>
  <c r="I8" i="2"/>
  <c r="J30" i="4"/>
  <c r="J29" i="4"/>
  <c r="J28" i="4"/>
  <c r="J24" i="4"/>
  <c r="J23" i="4"/>
  <c r="J22" i="4"/>
  <c r="F7" i="2" l="1"/>
  <c r="K7" i="2"/>
  <c r="L7" i="2" s="1"/>
  <c r="H8" i="2"/>
  <c r="G8" i="2"/>
  <c r="I9" i="2"/>
  <c r="F8" i="2" l="1"/>
  <c r="K8" i="2"/>
  <c r="L8" i="2" s="1"/>
  <c r="G9" i="2"/>
  <c r="H9" i="2"/>
  <c r="I10" i="2"/>
  <c r="C5" i="9"/>
  <c r="H3" i="14" s="1"/>
  <c r="E18" i="9"/>
  <c r="C18" i="9"/>
  <c r="E11" i="9"/>
  <c r="C11" i="9"/>
  <c r="D7" i="4"/>
  <c r="D6" i="4"/>
  <c r="P6" i="4" s="1"/>
  <c r="B6" i="4"/>
  <c r="B7" i="4" s="1"/>
  <c r="H6" i="4"/>
  <c r="O13" i="4"/>
  <c r="Q13" i="4"/>
  <c r="N13" i="4"/>
  <c r="C11" i="4"/>
  <c r="B11" i="4"/>
  <c r="C10" i="4"/>
  <c r="O14" i="4" s="1"/>
  <c r="E10" i="4"/>
  <c r="E11" i="4" s="1"/>
  <c r="B10" i="4"/>
  <c r="N14" i="4" s="1"/>
  <c r="J14" i="4"/>
  <c r="J12" i="4"/>
  <c r="P13" i="4" s="1"/>
  <c r="I8" i="4"/>
  <c r="H8" i="4"/>
  <c r="Q4" i="4"/>
  <c r="P4" i="4"/>
  <c r="O4" i="4"/>
  <c r="N4" i="4"/>
  <c r="E5" i="4"/>
  <c r="E6" i="4" s="1"/>
  <c r="E7" i="4" s="1"/>
  <c r="D5" i="4"/>
  <c r="C5" i="4"/>
  <c r="C6" i="4" s="1"/>
  <c r="C7" i="4" s="1"/>
  <c r="B5" i="4"/>
  <c r="F9" i="4"/>
  <c r="F4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E5" i="3"/>
  <c r="E6" i="3"/>
  <c r="E7" i="3"/>
  <c r="E8" i="3"/>
  <c r="E9" i="3"/>
  <c r="E10" i="3"/>
  <c r="E11" i="3"/>
  <c r="E12" i="3"/>
  <c r="E4" i="3"/>
  <c r="D5" i="5"/>
  <c r="D6" i="5"/>
  <c r="D7" i="5"/>
  <c r="D4" i="5"/>
  <c r="E8" i="5"/>
  <c r="R19" i="5" l="1"/>
  <c r="I26" i="6"/>
  <c r="I151" i="6"/>
  <c r="I109" i="6"/>
  <c r="I67" i="6"/>
  <c r="I25" i="6"/>
  <c r="I152" i="6"/>
  <c r="I149" i="6"/>
  <c r="I65" i="6"/>
  <c r="I111" i="6"/>
  <c r="I112" i="6"/>
  <c r="I28" i="6"/>
  <c r="I68" i="6"/>
  <c r="I113" i="6"/>
  <c r="I110" i="6"/>
  <c r="I155" i="6"/>
  <c r="I71" i="6"/>
  <c r="I69" i="6"/>
  <c r="I150" i="6"/>
  <c r="I29" i="6"/>
  <c r="I66" i="6"/>
  <c r="I27" i="6"/>
  <c r="I108" i="6"/>
  <c r="I107" i="6"/>
  <c r="I23" i="6"/>
  <c r="I153" i="6"/>
  <c r="I154" i="6"/>
  <c r="I70" i="6"/>
  <c r="I24" i="6"/>
  <c r="R18" i="5"/>
  <c r="I104" i="6"/>
  <c r="I62" i="6"/>
  <c r="I105" i="6"/>
  <c r="I100" i="6"/>
  <c r="I106" i="6"/>
  <c r="I22" i="6"/>
  <c r="I60" i="6"/>
  <c r="I58" i="6"/>
  <c r="I101" i="6"/>
  <c r="I17" i="6"/>
  <c r="I18" i="6"/>
  <c r="I148" i="6"/>
  <c r="I64" i="6"/>
  <c r="I16" i="6"/>
  <c r="I146" i="6"/>
  <c r="I21" i="6"/>
  <c r="I145" i="6"/>
  <c r="I103" i="6"/>
  <c r="I61" i="6"/>
  <c r="I19" i="6"/>
  <c r="I144" i="6"/>
  <c r="I102" i="6"/>
  <c r="I20" i="6"/>
  <c r="I147" i="6"/>
  <c r="I143" i="6"/>
  <c r="I59" i="6"/>
  <c r="I63" i="6"/>
  <c r="I142" i="6"/>
  <c r="F9" i="2"/>
  <c r="K9" i="2"/>
  <c r="L9" i="2" s="1"/>
  <c r="R17" i="5"/>
  <c r="I9" i="6"/>
  <c r="I57" i="6"/>
  <c r="I94" i="6"/>
  <c r="I10" i="6"/>
  <c r="I54" i="6"/>
  <c r="I139" i="6"/>
  <c r="I55" i="6"/>
  <c r="I99" i="6"/>
  <c r="I98" i="6"/>
  <c r="I138" i="6"/>
  <c r="I12" i="6"/>
  <c r="I53" i="6"/>
  <c r="I140" i="6"/>
  <c r="I15" i="6"/>
  <c r="I14" i="6"/>
  <c r="I95" i="6"/>
  <c r="I11" i="6"/>
  <c r="I51" i="6"/>
  <c r="I137" i="6"/>
  <c r="I97" i="6"/>
  <c r="I13" i="6"/>
  <c r="I56" i="6"/>
  <c r="I135" i="6"/>
  <c r="I93" i="6"/>
  <c r="I96" i="6"/>
  <c r="I136" i="6"/>
  <c r="I52" i="6"/>
  <c r="I141" i="6"/>
  <c r="D8" i="5"/>
  <c r="E9" i="5"/>
  <c r="X8" i="14" s="1"/>
  <c r="X7" i="14"/>
  <c r="R16" i="5"/>
  <c r="I3" i="6"/>
  <c r="I8" i="6"/>
  <c r="I133" i="6"/>
  <c r="I91" i="6"/>
  <c r="I49" i="6"/>
  <c r="I7" i="6"/>
  <c r="I131" i="6"/>
  <c r="I47" i="6"/>
  <c r="I129" i="6"/>
  <c r="I6" i="6"/>
  <c r="I50" i="6"/>
  <c r="I130" i="6"/>
  <c r="I46" i="6"/>
  <c r="I5" i="6"/>
  <c r="I92" i="6"/>
  <c r="I87" i="6"/>
  <c r="I48" i="6"/>
  <c r="I134" i="6"/>
  <c r="I88" i="6"/>
  <c r="I2" i="6"/>
  <c r="I128" i="6"/>
  <c r="I86" i="6"/>
  <c r="I89" i="6"/>
  <c r="I4" i="6"/>
  <c r="I45" i="6"/>
  <c r="I90" i="6"/>
  <c r="I44" i="6"/>
  <c r="I132" i="6"/>
  <c r="H23" i="14"/>
  <c r="H30" i="14"/>
  <c r="H37" i="14"/>
  <c r="I30" i="14"/>
  <c r="I37" i="14"/>
  <c r="I23" i="14"/>
  <c r="H9" i="14"/>
  <c r="H16" i="14"/>
  <c r="I11" i="9"/>
  <c r="I9" i="14"/>
  <c r="I16" i="14"/>
  <c r="G10" i="2"/>
  <c r="H10" i="2"/>
  <c r="C19" i="9"/>
  <c r="C12" i="9"/>
  <c r="G5" i="9"/>
  <c r="K5" i="9" s="1"/>
  <c r="D5" i="9"/>
  <c r="J87" i="6"/>
  <c r="J129" i="6" s="1"/>
  <c r="J93" i="6"/>
  <c r="G11" i="9"/>
  <c r="F12" i="9"/>
  <c r="J12" i="9" s="1"/>
  <c r="L93" i="6"/>
  <c r="M9" i="6"/>
  <c r="J107" i="6"/>
  <c r="G18" i="9"/>
  <c r="F7" i="9"/>
  <c r="J7" i="9" s="1"/>
  <c r="L88" i="6"/>
  <c r="L130" i="6" s="1"/>
  <c r="M4" i="6"/>
  <c r="M46" i="6" s="1"/>
  <c r="L107" i="6"/>
  <c r="I18" i="9"/>
  <c r="M23" i="6" s="1"/>
  <c r="I11" i="2"/>
  <c r="F6" i="9"/>
  <c r="J6" i="9" s="1"/>
  <c r="F19" i="9"/>
  <c r="J19" i="9" s="1"/>
  <c r="D19" i="9"/>
  <c r="D12" i="9"/>
  <c r="F5" i="9"/>
  <c r="J5" i="9" s="1"/>
  <c r="C6" i="9"/>
  <c r="H4" i="14" s="1"/>
  <c r="O6" i="4"/>
  <c r="Q6" i="4"/>
  <c r="Q5" i="4"/>
  <c r="N6" i="4"/>
  <c r="N5" i="4"/>
  <c r="O5" i="4"/>
  <c r="P5" i="4"/>
  <c r="D10" i="4"/>
  <c r="Q14" i="4"/>
  <c r="D9" i="5"/>
  <c r="R21" i="5" s="1"/>
  <c r="R20" i="5" l="1"/>
  <c r="I33" i="6"/>
  <c r="I117" i="6"/>
  <c r="I114" i="6"/>
  <c r="I161" i="6"/>
  <c r="I160" i="6"/>
  <c r="I158" i="6"/>
  <c r="I74" i="6"/>
  <c r="I75" i="6"/>
  <c r="I119" i="6"/>
  <c r="I35" i="6"/>
  <c r="I162" i="6"/>
  <c r="I72" i="6"/>
  <c r="I34" i="6"/>
  <c r="I115" i="6"/>
  <c r="I31" i="6"/>
  <c r="I156" i="6"/>
  <c r="I36" i="6"/>
  <c r="I159" i="6"/>
  <c r="I120" i="6"/>
  <c r="I78" i="6"/>
  <c r="I30" i="6"/>
  <c r="I118" i="6"/>
  <c r="I157" i="6"/>
  <c r="I77" i="6"/>
  <c r="I32" i="6"/>
  <c r="I73" i="6"/>
  <c r="I76" i="6"/>
  <c r="I116" i="6"/>
  <c r="K23" i="6"/>
  <c r="K65" i="6" s="1"/>
  <c r="K18" i="9"/>
  <c r="P30" i="14"/>
  <c r="P35" i="14"/>
  <c r="P33" i="14"/>
  <c r="P34" i="14"/>
  <c r="P36" i="14"/>
  <c r="P31" i="14"/>
  <c r="P32" i="14"/>
  <c r="K11" i="9"/>
  <c r="F10" i="2"/>
  <c r="K10" i="2"/>
  <c r="L10" i="2" s="1"/>
  <c r="P42" i="14"/>
  <c r="P39" i="14"/>
  <c r="P40" i="14"/>
  <c r="P38" i="14"/>
  <c r="P43" i="14"/>
  <c r="V15" i="14" s="1"/>
  <c r="P37" i="14"/>
  <c r="P41" i="14"/>
  <c r="I123" i="6"/>
  <c r="I169" i="6"/>
  <c r="I79" i="6"/>
  <c r="I43" i="6"/>
  <c r="I83" i="6"/>
  <c r="I124" i="6"/>
  <c r="I80" i="6"/>
  <c r="I81" i="6"/>
  <c r="I165" i="6"/>
  <c r="I164" i="6"/>
  <c r="I122" i="6"/>
  <c r="I126" i="6"/>
  <c r="I163" i="6"/>
  <c r="I127" i="6"/>
  <c r="I37" i="6"/>
  <c r="I125" i="6"/>
  <c r="I85" i="6"/>
  <c r="I167" i="6"/>
  <c r="I41" i="6"/>
  <c r="I42" i="6"/>
  <c r="I38" i="6"/>
  <c r="I121" i="6"/>
  <c r="I39" i="6"/>
  <c r="I84" i="6"/>
  <c r="I82" i="6"/>
  <c r="I168" i="6"/>
  <c r="I166" i="6"/>
  <c r="I40" i="6"/>
  <c r="G19" i="9"/>
  <c r="K19" i="9" s="1"/>
  <c r="H31" i="14"/>
  <c r="H38" i="14"/>
  <c r="H24" i="14"/>
  <c r="G12" i="9"/>
  <c r="H17" i="14"/>
  <c r="H10" i="14"/>
  <c r="H11" i="2"/>
  <c r="G11" i="2"/>
  <c r="C13" i="9"/>
  <c r="G6" i="9"/>
  <c r="K6" i="9" s="1"/>
  <c r="C20" i="9"/>
  <c r="J135" i="6"/>
  <c r="J100" i="6"/>
  <c r="J142" i="6" s="1"/>
  <c r="M30" i="6"/>
  <c r="M65" i="6"/>
  <c r="K9" i="6"/>
  <c r="M24" i="6"/>
  <c r="L108" i="6"/>
  <c r="J108" i="6"/>
  <c r="J94" i="6"/>
  <c r="L114" i="6"/>
  <c r="L149" i="6"/>
  <c r="M16" i="6"/>
  <c r="M58" i="6" s="1"/>
  <c r="M51" i="6"/>
  <c r="J88" i="6"/>
  <c r="J130" i="6" s="1"/>
  <c r="L135" i="6"/>
  <c r="L100" i="6"/>
  <c r="L142" i="6" s="1"/>
  <c r="K3" i="6"/>
  <c r="K45" i="6" s="1"/>
  <c r="J114" i="6"/>
  <c r="J149" i="6"/>
  <c r="M5" i="6"/>
  <c r="M47" i="6" s="1"/>
  <c r="L89" i="6"/>
  <c r="L131" i="6" s="1"/>
  <c r="L94" i="6"/>
  <c r="M10" i="6"/>
  <c r="I12" i="2"/>
  <c r="C7" i="9"/>
  <c r="H5" i="14" s="1"/>
  <c r="D6" i="9"/>
  <c r="P14" i="4"/>
  <c r="D11" i="4"/>
  <c r="K30" i="6" l="1"/>
  <c r="F11" i="2"/>
  <c r="K11" i="2"/>
  <c r="L11" i="2" s="1"/>
  <c r="G9" i="14"/>
  <c r="Q9" i="14" s="1"/>
  <c r="G30" i="14"/>
  <c r="Q30" i="14" s="1"/>
  <c r="G37" i="14"/>
  <c r="Q37" i="14" s="1"/>
  <c r="R37" i="14" s="1"/>
  <c r="G2" i="14"/>
  <c r="Q2" i="14" s="1"/>
  <c r="G16" i="14"/>
  <c r="Q16" i="14" s="1"/>
  <c r="R16" i="14" s="1"/>
  <c r="G23" i="14"/>
  <c r="Q23" i="14" s="1"/>
  <c r="R23" i="14" s="1"/>
  <c r="H12" i="9"/>
  <c r="K12" i="9"/>
  <c r="K10" i="6"/>
  <c r="K17" i="6" s="1"/>
  <c r="K59" i="6" s="1"/>
  <c r="G20" i="9"/>
  <c r="K20" i="9" s="1"/>
  <c r="H32" i="14"/>
  <c r="H39" i="14"/>
  <c r="H25" i="14"/>
  <c r="G13" i="9"/>
  <c r="H11" i="14"/>
  <c r="H18" i="14"/>
  <c r="H12" i="2"/>
  <c r="G12" i="2"/>
  <c r="C21" i="9"/>
  <c r="G7" i="9"/>
  <c r="K7" i="9" s="1"/>
  <c r="C14" i="9"/>
  <c r="K4" i="6"/>
  <c r="K46" i="6" s="1"/>
  <c r="J89" i="6"/>
  <c r="J131" i="6" s="1"/>
  <c r="M6" i="6"/>
  <c r="M48" i="6" s="1"/>
  <c r="L90" i="6"/>
  <c r="L132" i="6" s="1"/>
  <c r="F8" i="9"/>
  <c r="J8" i="9" s="1"/>
  <c r="L121" i="6"/>
  <c r="L163" i="6" s="1"/>
  <c r="L156" i="6"/>
  <c r="J109" i="6"/>
  <c r="D20" i="9"/>
  <c r="K37" i="6"/>
  <c r="K79" i="6" s="1"/>
  <c r="K72" i="6"/>
  <c r="J136" i="6"/>
  <c r="J101" i="6"/>
  <c r="J143" i="6" s="1"/>
  <c r="M31" i="6"/>
  <c r="M66" i="6"/>
  <c r="M17" i="6"/>
  <c r="M59" i="6" s="1"/>
  <c r="M52" i="6"/>
  <c r="L115" i="6"/>
  <c r="L150" i="6"/>
  <c r="L101" i="6"/>
  <c r="L143" i="6" s="1"/>
  <c r="L136" i="6"/>
  <c r="J95" i="6"/>
  <c r="D13" i="9"/>
  <c r="L109" i="6"/>
  <c r="M25" i="6"/>
  <c r="F20" i="9"/>
  <c r="J20" i="9" s="1"/>
  <c r="M72" i="6"/>
  <c r="M37" i="6"/>
  <c r="M79" i="6" s="1"/>
  <c r="J156" i="6"/>
  <c r="J121" i="6"/>
  <c r="J163" i="6" s="1"/>
  <c r="M11" i="6"/>
  <c r="L95" i="6"/>
  <c r="F13" i="9"/>
  <c r="J13" i="9" s="1"/>
  <c r="J115" i="6"/>
  <c r="J150" i="6"/>
  <c r="K16" i="6"/>
  <c r="K58" i="6" s="1"/>
  <c r="K51" i="6"/>
  <c r="H19" i="9"/>
  <c r="K24" i="6"/>
  <c r="I13" i="2"/>
  <c r="C8" i="9"/>
  <c r="H6" i="14" s="1"/>
  <c r="D7" i="9"/>
  <c r="M4" i="3"/>
  <c r="M5" i="3"/>
  <c r="M6" i="3"/>
  <c r="M7" i="3"/>
  <c r="M8" i="3"/>
  <c r="M9" i="3"/>
  <c r="M10" i="3"/>
  <c r="M11" i="3"/>
  <c r="M12" i="3"/>
  <c r="K4" i="3"/>
  <c r="K5" i="3"/>
  <c r="K6" i="3"/>
  <c r="K7" i="3"/>
  <c r="K8" i="3"/>
  <c r="K9" i="3"/>
  <c r="K10" i="3"/>
  <c r="K11" i="3"/>
  <c r="K12" i="3"/>
  <c r="I5" i="3"/>
  <c r="I6" i="3"/>
  <c r="I7" i="3"/>
  <c r="I8" i="3"/>
  <c r="I9" i="3"/>
  <c r="I10" i="3"/>
  <c r="I11" i="3"/>
  <c r="I12" i="3"/>
  <c r="I4" i="3"/>
  <c r="G5" i="3"/>
  <c r="G6" i="3"/>
  <c r="G7" i="3"/>
  <c r="G8" i="3"/>
  <c r="G9" i="3"/>
  <c r="G10" i="3"/>
  <c r="G11" i="3"/>
  <c r="G12" i="3"/>
  <c r="G4" i="3"/>
  <c r="F12" i="2" l="1"/>
  <c r="K12" i="2"/>
  <c r="L12" i="2" s="1"/>
  <c r="H13" i="9"/>
  <c r="K13" i="9"/>
  <c r="K52" i="6"/>
  <c r="R30" i="14"/>
  <c r="R9" i="14"/>
  <c r="G21" i="9"/>
  <c r="K21" i="9" s="1"/>
  <c r="H26" i="14"/>
  <c r="H40" i="14"/>
  <c r="H33" i="14"/>
  <c r="G14" i="9"/>
  <c r="H12" i="14"/>
  <c r="H19" i="14"/>
  <c r="H13" i="2"/>
  <c r="G13" i="2"/>
  <c r="G8" i="9"/>
  <c r="K8" i="9" s="1"/>
  <c r="C22" i="9"/>
  <c r="C15" i="9"/>
  <c r="M18" i="6"/>
  <c r="M60" i="6" s="1"/>
  <c r="M53" i="6"/>
  <c r="K11" i="6"/>
  <c r="J116" i="6"/>
  <c r="J151" i="6"/>
  <c r="M67" i="6"/>
  <c r="M32" i="6"/>
  <c r="L151" i="6"/>
  <c r="L116" i="6"/>
  <c r="K5" i="6"/>
  <c r="K47" i="6" s="1"/>
  <c r="J96" i="6"/>
  <c r="D14" i="9"/>
  <c r="J157" i="6"/>
  <c r="J122" i="6"/>
  <c r="J164" i="6" s="1"/>
  <c r="M26" i="6"/>
  <c r="L110" i="6"/>
  <c r="F21" i="9"/>
  <c r="J21" i="9" s="1"/>
  <c r="M73" i="6"/>
  <c r="M38" i="6"/>
  <c r="M80" i="6" s="1"/>
  <c r="M12" i="6"/>
  <c r="L96" i="6"/>
  <c r="F14" i="9"/>
  <c r="J14" i="9" s="1"/>
  <c r="F9" i="9"/>
  <c r="J9" i="9" s="1"/>
  <c r="M7" i="6"/>
  <c r="M49" i="6" s="1"/>
  <c r="L91" i="6"/>
  <c r="L133" i="6" s="1"/>
  <c r="K31" i="6"/>
  <c r="K66" i="6"/>
  <c r="J110" i="6"/>
  <c r="D21" i="9"/>
  <c r="J90" i="6"/>
  <c r="J132" i="6" s="1"/>
  <c r="L102" i="6"/>
  <c r="L144" i="6" s="1"/>
  <c r="L137" i="6"/>
  <c r="J137" i="6"/>
  <c r="J102" i="6"/>
  <c r="J144" i="6" s="1"/>
  <c r="L157" i="6"/>
  <c r="L122" i="6"/>
  <c r="L164" i="6" s="1"/>
  <c r="K25" i="6"/>
  <c r="H20" i="9"/>
  <c r="I14" i="2"/>
  <c r="C9" i="9"/>
  <c r="H7" i="14" s="1"/>
  <c r="D8" i="9"/>
  <c r="F13" i="2" l="1"/>
  <c r="K13" i="2"/>
  <c r="L13" i="2" s="1"/>
  <c r="H14" i="9"/>
  <c r="K14" i="9"/>
  <c r="G22" i="9"/>
  <c r="K22" i="9" s="1"/>
  <c r="H27" i="14"/>
  <c r="H34" i="14"/>
  <c r="H41" i="14"/>
  <c r="G15" i="9"/>
  <c r="H13" i="14"/>
  <c r="H20" i="14"/>
  <c r="H14" i="2"/>
  <c r="G14" i="2"/>
  <c r="C23" i="9"/>
  <c r="C16" i="9"/>
  <c r="G9" i="9"/>
  <c r="K9" i="9" s="1"/>
  <c r="H21" i="9"/>
  <c r="K26" i="6"/>
  <c r="F10" i="9"/>
  <c r="J10" i="9" s="1"/>
  <c r="L92" i="6"/>
  <c r="L134" i="6" s="1"/>
  <c r="M8" i="6"/>
  <c r="M50" i="6" s="1"/>
  <c r="L158" i="6"/>
  <c r="L123" i="6"/>
  <c r="L165" i="6" s="1"/>
  <c r="K53" i="6"/>
  <c r="K18" i="6"/>
  <c r="K60" i="6" s="1"/>
  <c r="J123" i="6"/>
  <c r="J165" i="6" s="1"/>
  <c r="J158" i="6"/>
  <c r="K38" i="6"/>
  <c r="K80" i="6" s="1"/>
  <c r="K73" i="6"/>
  <c r="L103" i="6"/>
  <c r="L145" i="6" s="1"/>
  <c r="L138" i="6"/>
  <c r="L152" i="6"/>
  <c r="L117" i="6"/>
  <c r="K12" i="6"/>
  <c r="J111" i="6"/>
  <c r="D22" i="9"/>
  <c r="M19" i="6"/>
  <c r="M61" i="6" s="1"/>
  <c r="M54" i="6"/>
  <c r="M68" i="6"/>
  <c r="M33" i="6"/>
  <c r="J138" i="6"/>
  <c r="J103" i="6"/>
  <c r="J145" i="6" s="1"/>
  <c r="M39" i="6"/>
  <c r="M81" i="6" s="1"/>
  <c r="M74" i="6"/>
  <c r="K32" i="6"/>
  <c r="K67" i="6"/>
  <c r="K6" i="6"/>
  <c r="K48" i="6" s="1"/>
  <c r="D9" i="9"/>
  <c r="J91" i="6"/>
  <c r="J133" i="6" s="1"/>
  <c r="C10" i="9"/>
  <c r="H8" i="14" s="1"/>
  <c r="J117" i="6"/>
  <c r="J152" i="6"/>
  <c r="L97" i="6"/>
  <c r="M13" i="6"/>
  <c r="F15" i="9"/>
  <c r="J15" i="9" s="1"/>
  <c r="L111" i="6"/>
  <c r="M27" i="6"/>
  <c r="F22" i="9"/>
  <c r="J22" i="9" s="1"/>
  <c r="J97" i="6"/>
  <c r="D15" i="9"/>
  <c r="I15" i="2"/>
  <c r="F14" i="2" l="1"/>
  <c r="K14" i="2"/>
  <c r="L14" i="2" s="1"/>
  <c r="H15" i="9"/>
  <c r="K15" i="9"/>
  <c r="G23" i="9"/>
  <c r="K23" i="9" s="1"/>
  <c r="H35" i="14"/>
  <c r="H28" i="14"/>
  <c r="H42" i="14"/>
  <c r="G16" i="9"/>
  <c r="H21" i="14"/>
  <c r="H14" i="14"/>
  <c r="G15" i="2"/>
  <c r="H15" i="2"/>
  <c r="G10" i="9"/>
  <c r="K10" i="9" s="1"/>
  <c r="C24" i="9"/>
  <c r="C17" i="9"/>
  <c r="L139" i="6"/>
  <c r="L104" i="6"/>
  <c r="L146" i="6" s="1"/>
  <c r="M69" i="6"/>
  <c r="M34" i="6"/>
  <c r="F16" i="9"/>
  <c r="J16" i="9" s="1"/>
  <c r="L98" i="6"/>
  <c r="M14" i="6"/>
  <c r="K54" i="6"/>
  <c r="K19" i="6"/>
  <c r="K61" i="6" s="1"/>
  <c r="L159" i="6"/>
  <c r="L124" i="6"/>
  <c r="L166" i="6" s="1"/>
  <c r="F23" i="9"/>
  <c r="J23" i="9" s="1"/>
  <c r="L112" i="6"/>
  <c r="M28" i="6"/>
  <c r="J124" i="6"/>
  <c r="J166" i="6" s="1"/>
  <c r="J159" i="6"/>
  <c r="K27" i="6"/>
  <c r="H22" i="9"/>
  <c r="J92" i="6"/>
  <c r="J134" i="6" s="1"/>
  <c r="D10" i="9"/>
  <c r="M75" i="6"/>
  <c r="M40" i="6"/>
  <c r="M82" i="6" s="1"/>
  <c r="J118" i="6"/>
  <c r="J153" i="6"/>
  <c r="L153" i="6"/>
  <c r="L118" i="6"/>
  <c r="J139" i="6"/>
  <c r="J104" i="6"/>
  <c r="J146" i="6" s="1"/>
  <c r="K13" i="6"/>
  <c r="D16" i="9"/>
  <c r="J98" i="6"/>
  <c r="M55" i="6"/>
  <c r="M20" i="6"/>
  <c r="M62" i="6" s="1"/>
  <c r="K74" i="6"/>
  <c r="K39" i="6"/>
  <c r="K81" i="6" s="1"/>
  <c r="D23" i="9"/>
  <c r="J112" i="6"/>
  <c r="K33" i="6"/>
  <c r="K68" i="6"/>
  <c r="K7" i="6"/>
  <c r="K49" i="6" s="1"/>
  <c r="I16" i="2"/>
  <c r="H16" i="9" l="1"/>
  <c r="K16" i="9"/>
  <c r="F15" i="2"/>
  <c r="K15" i="2"/>
  <c r="L15" i="2" s="1"/>
  <c r="G24" i="9"/>
  <c r="K24" i="9" s="1"/>
  <c r="H43" i="14"/>
  <c r="H29" i="14"/>
  <c r="H36" i="14"/>
  <c r="G17" i="9"/>
  <c r="H15" i="14"/>
  <c r="H22" i="14"/>
  <c r="G16" i="2"/>
  <c r="H16" i="2"/>
  <c r="J140" i="6"/>
  <c r="J105" i="6"/>
  <c r="J147" i="6" s="1"/>
  <c r="F17" i="9"/>
  <c r="J17" i="9" s="1"/>
  <c r="L99" i="6"/>
  <c r="M15" i="6"/>
  <c r="K14" i="6"/>
  <c r="M35" i="6"/>
  <c r="M70" i="6"/>
  <c r="M76" i="6"/>
  <c r="M41" i="6"/>
  <c r="M83" i="6" s="1"/>
  <c r="K55" i="6"/>
  <c r="K20" i="6"/>
  <c r="K62" i="6" s="1"/>
  <c r="K8" i="6"/>
  <c r="K50" i="6" s="1"/>
  <c r="M29" i="6"/>
  <c r="L113" i="6"/>
  <c r="F24" i="9"/>
  <c r="J24" i="9" s="1"/>
  <c r="K40" i="6"/>
  <c r="K82" i="6" s="1"/>
  <c r="K75" i="6"/>
  <c r="J154" i="6"/>
  <c r="J119" i="6"/>
  <c r="H23" i="9"/>
  <c r="K28" i="6"/>
  <c r="J125" i="6"/>
  <c r="J167" i="6" s="1"/>
  <c r="J160" i="6"/>
  <c r="L119" i="6"/>
  <c r="L154" i="6"/>
  <c r="M56" i="6"/>
  <c r="M21" i="6"/>
  <c r="M63" i="6" s="1"/>
  <c r="L160" i="6"/>
  <c r="L125" i="6"/>
  <c r="L167" i="6" s="1"/>
  <c r="J113" i="6"/>
  <c r="D24" i="9"/>
  <c r="D17" i="9"/>
  <c r="J99" i="6"/>
  <c r="K34" i="6"/>
  <c r="K69" i="6"/>
  <c r="L140" i="6"/>
  <c r="L105" i="6"/>
  <c r="L147" i="6" s="1"/>
  <c r="I17" i="2"/>
  <c r="H17" i="9" l="1"/>
  <c r="K17" i="9"/>
  <c r="F16" i="2"/>
  <c r="K16" i="2"/>
  <c r="L16" i="2" s="1"/>
  <c r="G17" i="2"/>
  <c r="H17" i="2"/>
  <c r="K35" i="6"/>
  <c r="K70" i="6"/>
  <c r="K56" i="6"/>
  <c r="K21" i="6"/>
  <c r="K63" i="6" s="1"/>
  <c r="M36" i="6"/>
  <c r="M71" i="6"/>
  <c r="L106" i="6"/>
  <c r="L148" i="6" s="1"/>
  <c r="L141" i="6"/>
  <c r="M57" i="6"/>
  <c r="M22" i="6"/>
  <c r="M64" i="6" s="1"/>
  <c r="K41" i="6"/>
  <c r="K83" i="6" s="1"/>
  <c r="K76" i="6"/>
  <c r="H24" i="9"/>
  <c r="K29" i="6"/>
  <c r="L126" i="6"/>
  <c r="L168" i="6" s="1"/>
  <c r="L161" i="6"/>
  <c r="K15" i="6"/>
  <c r="M42" i="6"/>
  <c r="M84" i="6" s="1"/>
  <c r="M77" i="6"/>
  <c r="L120" i="6"/>
  <c r="L155" i="6"/>
  <c r="J161" i="6"/>
  <c r="J126" i="6"/>
  <c r="J168" i="6" s="1"/>
  <c r="J120" i="6"/>
  <c r="J155" i="6"/>
  <c r="J106" i="6"/>
  <c r="J148" i="6" s="1"/>
  <c r="J141" i="6"/>
  <c r="I18" i="2"/>
  <c r="F17" i="2" l="1"/>
  <c r="K17" i="2"/>
  <c r="L17" i="2" s="1"/>
  <c r="G18" i="2"/>
  <c r="H18" i="2"/>
  <c r="K22" i="6"/>
  <c r="K64" i="6" s="1"/>
  <c r="K57" i="6"/>
  <c r="M43" i="6"/>
  <c r="M85" i="6" s="1"/>
  <c r="M78" i="6"/>
  <c r="L162" i="6"/>
  <c r="L127" i="6"/>
  <c r="L169" i="6" s="1"/>
  <c r="K71" i="6"/>
  <c r="K36" i="6"/>
  <c r="J162" i="6"/>
  <c r="J127" i="6"/>
  <c r="J169" i="6" s="1"/>
  <c r="K77" i="6"/>
  <c r="K42" i="6"/>
  <c r="K84" i="6" s="1"/>
  <c r="I19" i="2"/>
  <c r="F18" i="2" l="1"/>
  <c r="K18" i="2"/>
  <c r="L18" i="2" s="1"/>
  <c r="H19" i="2"/>
  <c r="G19" i="2"/>
  <c r="K78" i="6"/>
  <c r="K43" i="6"/>
  <c r="K85" i="6" s="1"/>
  <c r="I20" i="2"/>
  <c r="F19" i="2" l="1"/>
  <c r="K19" i="2"/>
  <c r="L19" i="2" s="1"/>
  <c r="G20" i="2"/>
  <c r="H20" i="2"/>
  <c r="I21" i="2"/>
  <c r="F20" i="2" l="1"/>
  <c r="K20" i="2"/>
  <c r="L20" i="2" s="1"/>
  <c r="G21" i="2"/>
  <c r="H21" i="2"/>
  <c r="I22" i="2"/>
  <c r="F21" i="2" l="1"/>
  <c r="K21" i="2"/>
  <c r="L21" i="2" s="1"/>
  <c r="G10" i="14"/>
  <c r="Q10" i="14" s="1"/>
  <c r="G38" i="14"/>
  <c r="Q38" i="14" s="1"/>
  <c r="R38" i="14" s="1"/>
  <c r="G3" i="14"/>
  <c r="Q3" i="14" s="1"/>
  <c r="G24" i="14"/>
  <c r="Q24" i="14" s="1"/>
  <c r="R24" i="14" s="1"/>
  <c r="G31" i="14"/>
  <c r="Q31" i="14" s="1"/>
  <c r="G17" i="14"/>
  <c r="Q17" i="14" s="1"/>
  <c r="G22" i="2"/>
  <c r="H22" i="2"/>
  <c r="I23" i="2"/>
  <c r="R10" i="14" l="1"/>
  <c r="R17" i="14"/>
  <c r="F22" i="2"/>
  <c r="K22" i="2"/>
  <c r="L22" i="2" s="1"/>
  <c r="R31" i="14"/>
  <c r="G23" i="2"/>
  <c r="H23" i="2"/>
  <c r="I24" i="2"/>
  <c r="F23" i="2" l="1"/>
  <c r="K23" i="2"/>
  <c r="L23" i="2" s="1"/>
  <c r="G24" i="2"/>
  <c r="H24" i="2"/>
  <c r="I25" i="2"/>
  <c r="F24" i="2" l="1"/>
  <c r="K24" i="2"/>
  <c r="L24" i="2" s="1"/>
  <c r="H25" i="2"/>
  <c r="G25" i="2"/>
  <c r="I26" i="2"/>
  <c r="F25" i="2" l="1"/>
  <c r="K25" i="2"/>
  <c r="L25" i="2" s="1"/>
  <c r="H26" i="2"/>
  <c r="G26" i="2"/>
  <c r="I27" i="2"/>
  <c r="F26" i="2" l="1"/>
  <c r="K26" i="2"/>
  <c r="L26" i="2" s="1"/>
  <c r="G27" i="2"/>
  <c r="H27" i="2"/>
  <c r="I28" i="2"/>
  <c r="F27" i="2" l="1"/>
  <c r="K27" i="2"/>
  <c r="L27" i="2" s="1"/>
  <c r="G28" i="2"/>
  <c r="H28" i="2"/>
  <c r="I29" i="2"/>
  <c r="F28" i="2" l="1"/>
  <c r="K28" i="2"/>
  <c r="L28" i="2" s="1"/>
  <c r="H29" i="2"/>
  <c r="G29" i="2"/>
  <c r="I30" i="2"/>
  <c r="F29" i="2" l="1"/>
  <c r="K29" i="2"/>
  <c r="L29" i="2" s="1"/>
  <c r="G30" i="2"/>
  <c r="H30" i="2"/>
  <c r="I31" i="2"/>
  <c r="F30" i="2" l="1"/>
  <c r="K30" i="2"/>
  <c r="L30" i="2" s="1"/>
  <c r="H31" i="2"/>
  <c r="G31" i="2"/>
  <c r="I32" i="2"/>
  <c r="F31" i="2" l="1"/>
  <c r="K31" i="2"/>
  <c r="L31" i="2" s="1"/>
  <c r="G11" i="14"/>
  <c r="Q11" i="14" s="1"/>
  <c r="G4" i="14"/>
  <c r="Q4" i="14" s="1"/>
  <c r="G32" i="14"/>
  <c r="Q32" i="14" s="1"/>
  <c r="R32" i="14" s="1"/>
  <c r="G39" i="14"/>
  <c r="Q39" i="14" s="1"/>
  <c r="R39" i="14" s="1"/>
  <c r="G18" i="14"/>
  <c r="Q18" i="14" s="1"/>
  <c r="R18" i="14" s="1"/>
  <c r="G25" i="14"/>
  <c r="Q25" i="14" s="1"/>
  <c r="H32" i="2"/>
  <c r="G32" i="2"/>
  <c r="I33" i="2"/>
  <c r="R11" i="14" l="1"/>
  <c r="F32" i="2"/>
  <c r="K32" i="2"/>
  <c r="L32" i="2" s="1"/>
  <c r="R25" i="14"/>
  <c r="G33" i="2"/>
  <c r="H33" i="2"/>
  <c r="I34" i="2"/>
  <c r="F33" i="2" l="1"/>
  <c r="K33" i="2"/>
  <c r="L33" i="2" s="1"/>
  <c r="G34" i="2"/>
  <c r="H34" i="2"/>
  <c r="I35" i="2"/>
  <c r="F34" i="2" l="1"/>
  <c r="K34" i="2"/>
  <c r="L34" i="2" s="1"/>
  <c r="G35" i="2"/>
  <c r="H35" i="2"/>
  <c r="I36" i="2"/>
  <c r="F35" i="2" l="1"/>
  <c r="K35" i="2"/>
  <c r="L35" i="2" s="1"/>
  <c r="H36" i="2"/>
  <c r="G36" i="2"/>
  <c r="I37" i="2"/>
  <c r="F36" i="2" l="1"/>
  <c r="K36" i="2"/>
  <c r="L36" i="2" s="1"/>
  <c r="H37" i="2"/>
  <c r="G37" i="2"/>
  <c r="I38" i="2"/>
  <c r="F37" i="2" l="1"/>
  <c r="K37" i="2"/>
  <c r="L37" i="2" s="1"/>
  <c r="H38" i="2"/>
  <c r="G38" i="2"/>
  <c r="I39" i="2"/>
  <c r="F38" i="2" l="1"/>
  <c r="K38" i="2"/>
  <c r="L38" i="2" s="1"/>
  <c r="G39" i="2"/>
  <c r="H39" i="2"/>
  <c r="I40" i="2"/>
  <c r="F39" i="2" l="1"/>
  <c r="K39" i="2"/>
  <c r="L39" i="2" s="1"/>
  <c r="H40" i="2"/>
  <c r="G40" i="2"/>
  <c r="I41" i="2"/>
  <c r="F40" i="2" l="1"/>
  <c r="K40" i="2"/>
  <c r="L40" i="2" s="1"/>
  <c r="H41" i="2"/>
  <c r="G41" i="2"/>
  <c r="I42" i="2"/>
  <c r="F41" i="2" l="1"/>
  <c r="K41" i="2"/>
  <c r="L41" i="2" s="1"/>
  <c r="G26" i="14"/>
  <c r="Q26" i="14" s="1"/>
  <c r="G5" i="14"/>
  <c r="Q5" i="14" s="1"/>
  <c r="G40" i="14"/>
  <c r="Q40" i="14" s="1"/>
  <c r="R40" i="14" s="1"/>
  <c r="G19" i="14"/>
  <c r="Q19" i="14" s="1"/>
  <c r="R19" i="14" s="1"/>
  <c r="G33" i="14"/>
  <c r="Q33" i="14" s="1"/>
  <c r="R33" i="14" s="1"/>
  <c r="G12" i="14"/>
  <c r="Q12" i="14" s="1"/>
  <c r="G42" i="2"/>
  <c r="H42" i="2"/>
  <c r="I43" i="2"/>
  <c r="F42" i="2" l="1"/>
  <c r="K42" i="2"/>
  <c r="L42" i="2" s="1"/>
  <c r="R26" i="14"/>
  <c r="R12" i="14"/>
  <c r="H43" i="2"/>
  <c r="G43" i="2"/>
  <c r="I44" i="2"/>
  <c r="F43" i="2" l="1"/>
  <c r="K43" i="2"/>
  <c r="L43" i="2" s="1"/>
  <c r="H44" i="2"/>
  <c r="G44" i="2"/>
  <c r="I45" i="2"/>
  <c r="F44" i="2" l="1"/>
  <c r="K44" i="2"/>
  <c r="L44" i="2" s="1"/>
  <c r="G45" i="2"/>
  <c r="H45" i="2"/>
  <c r="I46" i="2"/>
  <c r="F45" i="2" l="1"/>
  <c r="K45" i="2"/>
  <c r="L45" i="2" s="1"/>
  <c r="G46" i="2"/>
  <c r="H46" i="2"/>
  <c r="I47" i="2"/>
  <c r="F46" i="2" l="1"/>
  <c r="K46" i="2"/>
  <c r="L46" i="2" s="1"/>
  <c r="G47" i="2"/>
  <c r="H47" i="2"/>
  <c r="I48" i="2"/>
  <c r="F47" i="2" l="1"/>
  <c r="K47" i="2"/>
  <c r="L47" i="2" s="1"/>
  <c r="G48" i="2"/>
  <c r="H48" i="2"/>
  <c r="I49" i="2"/>
  <c r="F48" i="2" l="1"/>
  <c r="K48" i="2"/>
  <c r="L48" i="2" s="1"/>
  <c r="H49" i="2"/>
  <c r="G49" i="2"/>
  <c r="I50" i="2"/>
  <c r="F49" i="2" l="1"/>
  <c r="K49" i="2"/>
  <c r="L49" i="2" s="1"/>
  <c r="H50" i="2"/>
  <c r="G50" i="2"/>
  <c r="I51" i="2"/>
  <c r="F50" i="2" l="1"/>
  <c r="K50" i="2"/>
  <c r="L50" i="2" s="1"/>
  <c r="G51" i="2"/>
  <c r="H51" i="2"/>
  <c r="I52" i="2"/>
  <c r="F51" i="2" l="1"/>
  <c r="K51" i="2"/>
  <c r="L51" i="2" s="1"/>
  <c r="G27" i="14"/>
  <c r="Q27" i="14" s="1"/>
  <c r="R27" i="14" s="1"/>
  <c r="G6" i="14"/>
  <c r="Q6" i="14" s="1"/>
  <c r="G41" i="14"/>
  <c r="Q41" i="14" s="1"/>
  <c r="G34" i="14"/>
  <c r="Q34" i="14" s="1"/>
  <c r="R34" i="14" s="1"/>
  <c r="G13" i="14"/>
  <c r="Q13" i="14" s="1"/>
  <c r="G20" i="14"/>
  <c r="Q20" i="14" s="1"/>
  <c r="R20" i="14" s="1"/>
  <c r="H52" i="2"/>
  <c r="G52" i="2"/>
  <c r="I53" i="2"/>
  <c r="R41" i="14" l="1"/>
  <c r="F52" i="2"/>
  <c r="K52" i="2"/>
  <c r="L52" i="2" s="1"/>
  <c r="R13" i="14"/>
  <c r="G53" i="2"/>
  <c r="H53" i="2"/>
  <c r="I54" i="2"/>
  <c r="F53" i="2" l="1"/>
  <c r="K53" i="2"/>
  <c r="L53" i="2" s="1"/>
  <c r="H54" i="2"/>
  <c r="G54" i="2"/>
  <c r="I55" i="2"/>
  <c r="F54" i="2" l="1"/>
  <c r="K54" i="2"/>
  <c r="L54" i="2" s="1"/>
  <c r="H55" i="2"/>
  <c r="G55" i="2"/>
  <c r="I56" i="2"/>
  <c r="F55" i="2" l="1"/>
  <c r="K55" i="2"/>
  <c r="L55" i="2" s="1"/>
  <c r="H56" i="2"/>
  <c r="G56" i="2"/>
  <c r="I57" i="2"/>
  <c r="F56" i="2" l="1"/>
  <c r="K56" i="2"/>
  <c r="L56" i="2" s="1"/>
  <c r="G57" i="2"/>
  <c r="H57" i="2"/>
  <c r="I58" i="2"/>
  <c r="F57" i="2" l="1"/>
  <c r="K57" i="2"/>
  <c r="L57" i="2" s="1"/>
  <c r="G58" i="2"/>
  <c r="H58" i="2"/>
  <c r="I59" i="2"/>
  <c r="F58" i="2" l="1"/>
  <c r="K58" i="2"/>
  <c r="L58" i="2" s="1"/>
  <c r="H59" i="2"/>
  <c r="G59" i="2"/>
  <c r="I60" i="2"/>
  <c r="F59" i="2" l="1"/>
  <c r="K59" i="2"/>
  <c r="L59" i="2" s="1"/>
  <c r="G60" i="2"/>
  <c r="H60" i="2"/>
  <c r="I61" i="2"/>
  <c r="F60" i="2" l="1"/>
  <c r="K60" i="2"/>
  <c r="L60" i="2" s="1"/>
  <c r="I62" i="2"/>
  <c r="H61" i="2"/>
  <c r="G61" i="2"/>
  <c r="F61" i="2" l="1"/>
  <c r="K61" i="2"/>
  <c r="L61" i="2" s="1"/>
  <c r="G42" i="14"/>
  <c r="Q42" i="14" s="1"/>
  <c r="R42" i="14" s="1"/>
  <c r="G7" i="14"/>
  <c r="Q7" i="14" s="1"/>
  <c r="G35" i="14"/>
  <c r="Q35" i="14" s="1"/>
  <c r="R35" i="14" s="1"/>
  <c r="G14" i="14"/>
  <c r="Q14" i="14" s="1"/>
  <c r="R14" i="14" s="1"/>
  <c r="G28" i="14"/>
  <c r="Q28" i="14" s="1"/>
  <c r="G21" i="14"/>
  <c r="Q21" i="14" s="1"/>
  <c r="G62" i="2"/>
  <c r="H62" i="2"/>
  <c r="I63" i="2"/>
  <c r="R21" i="14" l="1"/>
  <c r="F62" i="2"/>
  <c r="K62" i="2"/>
  <c r="L62" i="2" s="1"/>
  <c r="R28" i="14"/>
  <c r="I64" i="2"/>
  <c r="G63" i="2"/>
  <c r="H63" i="2"/>
  <c r="F63" i="2" l="1"/>
  <c r="K63" i="2"/>
  <c r="L63" i="2" s="1"/>
  <c r="I65" i="2"/>
  <c r="H64" i="2"/>
  <c r="G64" i="2"/>
  <c r="F64" i="2" l="1"/>
  <c r="K64" i="2"/>
  <c r="L64" i="2" s="1"/>
  <c r="I66" i="2"/>
  <c r="G65" i="2"/>
  <c r="H65" i="2"/>
  <c r="F65" i="2" l="1"/>
  <c r="K65" i="2"/>
  <c r="L65" i="2" s="1"/>
  <c r="I67" i="2"/>
  <c r="G66" i="2"/>
  <c r="H66" i="2"/>
  <c r="F66" i="2" l="1"/>
  <c r="K66" i="2"/>
  <c r="L66" i="2" s="1"/>
  <c r="I68" i="2"/>
  <c r="H67" i="2"/>
  <c r="G67" i="2"/>
  <c r="F67" i="2" l="1"/>
  <c r="K67" i="2"/>
  <c r="L67" i="2" s="1"/>
  <c r="I69" i="2"/>
  <c r="H69" i="2" s="1"/>
  <c r="G68" i="2"/>
  <c r="H68" i="2"/>
  <c r="F68" i="2" l="1"/>
  <c r="K68" i="2"/>
  <c r="L68" i="2" s="1"/>
  <c r="I70" i="2"/>
  <c r="G69" i="2"/>
  <c r="F69" i="2" l="1"/>
  <c r="K69" i="2"/>
  <c r="L69" i="2" s="1"/>
  <c r="I71" i="2"/>
  <c r="H70" i="2"/>
  <c r="G70" i="2"/>
  <c r="F70" i="2" l="1"/>
  <c r="K70" i="2"/>
  <c r="L70" i="2" s="1"/>
  <c r="G71" i="2"/>
  <c r="H71" i="2"/>
  <c r="F71" i="2" l="1"/>
  <c r="K71" i="2"/>
  <c r="L71" i="2" s="1"/>
  <c r="G15" i="14"/>
  <c r="Q15" i="14" s="1"/>
  <c r="G36" i="14"/>
  <c r="Q36" i="14" s="1"/>
  <c r="R36" i="14" s="1"/>
  <c r="G43" i="14"/>
  <c r="G8" i="14"/>
  <c r="Q8" i="14" s="1"/>
  <c r="G29" i="14"/>
  <c r="Q29" i="14" s="1"/>
  <c r="G22" i="14"/>
  <c r="W16" i="14" l="1"/>
  <c r="Q43" i="14"/>
  <c r="R43" i="14" s="1"/>
  <c r="R15" i="14"/>
  <c r="V16" i="14"/>
  <c r="X16" i="14" s="1"/>
  <c r="X17" i="14" s="1"/>
  <c r="Q22" i="14"/>
  <c r="R22" i="14" s="1"/>
  <c r="R29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1" authorId="0" shapeId="0" xr:uid="{4F74F34C-C6DA-49B6-985A-3B9E9DC29CD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达到强化上限，进行进阶突破的消耗。数量填0为满阶，表示不可升阶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" authorId="0" shapeId="0" xr:uid="{D43F158C-EEAF-41D3-99BA-67EA950D3E1E}">
      <text>
        <r>
          <rPr>
            <b/>
            <sz val="9"/>
            <rFont val="宋体"/>
            <family val="3"/>
            <charset val="134"/>
          </rPr>
          <t>蓝色属性组ID:</t>
        </r>
        <r>
          <rPr>
            <sz val="9"/>
            <rFont val="宋体"/>
            <family val="3"/>
            <charset val="134"/>
          </rPr>
          <t xml:space="preserve">
读取”L　灵饰装备极品属性“表中的ID，在该组ID中根据概率抽取相应数量的N条属性</t>
        </r>
      </text>
    </comment>
    <comment ref="Q1" authorId="0" shapeId="0" xr:uid="{2C4228D2-B2A2-4297-86B4-6761F8AC4A39}">
      <text>
        <r>
          <rPr>
            <b/>
            <sz val="9"/>
            <rFont val="宋体"/>
            <family val="3"/>
            <charset val="134"/>
          </rPr>
          <t>紫色属性组ID:
读取”L　灵饰装备极品属性“表中的ID，在该组ID中根据概率抽取相应数量的N条属性</t>
        </r>
      </text>
    </comment>
    <comment ref="S1" authorId="0" shapeId="0" xr:uid="{17C8842F-3AE7-4DCA-8670-9695461EE10D}">
      <text>
        <r>
          <rPr>
            <b/>
            <sz val="9"/>
            <rFont val="宋体"/>
            <family val="3"/>
            <charset val="134"/>
          </rPr>
          <t>紫色属性组ID:
读取”L　灵饰装备极品属性“表中的ID，在该组ID中根据概率抽取相应数量的N条属性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68577E95-ABFD-4763-88BE-786C015DCA05}">
      <text>
        <r>
          <rPr>
            <b/>
            <sz val="9"/>
            <color indexed="81"/>
            <rFont val="宋体"/>
            <family val="3"/>
            <charset val="134"/>
          </rPr>
          <t xml:space="preserve">属性说明:
填写规则
x,y,z,k
</t>
        </r>
        <r>
          <rPr>
            <sz val="9"/>
            <color indexed="81"/>
            <rFont val="宋体"/>
            <family val="3"/>
            <charset val="134"/>
          </rPr>
          <t>x是得到该种属性的几率，万分比
y是属性数值类型，读取“S 角色属性字段”表对应的属性ID，如防御中3代表防御值，20代表防御加成百分比
z是属性数值的属性评分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" authorId="0" shapeId="0" xr:uid="{168EACA9-93A2-43B9-9DE3-F064DD1BF8D2}">
      <text>
        <r>
          <rPr>
            <b/>
            <sz val="9"/>
            <color indexed="81"/>
            <rFont val="宋体"/>
            <family val="3"/>
            <charset val="134"/>
          </rPr>
          <t xml:space="preserve">属性说明:
填写规则
x,y,z,k
</t>
        </r>
        <r>
          <rPr>
            <sz val="9"/>
            <color indexed="81"/>
            <rFont val="宋体"/>
            <family val="3"/>
            <charset val="134"/>
          </rPr>
          <t>x是得到该种属性的几率，万分比
y是属性数值类型，读取“S 角色属性字段”表对应的属性ID，如防御中3代表防御值，20代表防御加成百分比
z是属性数值的属性评分</t>
        </r>
      </text>
    </comment>
  </commentList>
</comments>
</file>

<file path=xl/sharedStrings.xml><?xml version="1.0" encoding="utf-8"?>
<sst xmlns="http://schemas.openxmlformats.org/spreadsheetml/2006/main" count="440" uniqueCount="274">
  <si>
    <t>强化等级</t>
  </si>
  <si>
    <t>强化经验</t>
  </si>
  <si>
    <t>强化经验累计值</t>
  </si>
  <si>
    <t>生命累计值</t>
  </si>
  <si>
    <t>攻击累计值</t>
  </si>
  <si>
    <t>防御累计值</t>
  </si>
  <si>
    <t>破甲累计值</t>
  </si>
  <si>
    <t>等级</t>
    <phoneticPr fontId="1" type="noConversion"/>
  </si>
  <si>
    <t>累计</t>
    <phoneticPr fontId="1" type="noConversion"/>
  </si>
  <si>
    <t>青云参考</t>
    <phoneticPr fontId="1" type="noConversion"/>
  </si>
  <si>
    <t>消耗</t>
    <phoneticPr fontId="1" type="noConversion"/>
  </si>
  <si>
    <t>生命</t>
  </si>
  <si>
    <t>生命</t>
    <phoneticPr fontId="1" type="noConversion"/>
  </si>
  <si>
    <t>防御</t>
  </si>
  <si>
    <t>防御</t>
    <phoneticPr fontId="1" type="noConversion"/>
  </si>
  <si>
    <t>类型</t>
    <phoneticPr fontId="1" type="noConversion"/>
  </si>
  <si>
    <t>扣除</t>
    <phoneticPr fontId="1" type="noConversion"/>
  </si>
  <si>
    <t>橙色</t>
    <phoneticPr fontId="1" type="noConversion"/>
  </si>
  <si>
    <t>攻击</t>
  </si>
  <si>
    <t>攻击</t>
    <phoneticPr fontId="1" type="noConversion"/>
  </si>
  <si>
    <t>破甲</t>
  </si>
  <si>
    <t>破甲</t>
    <phoneticPr fontId="1" type="noConversion"/>
  </si>
  <si>
    <t>蓝色</t>
    <phoneticPr fontId="1" type="noConversion"/>
  </si>
  <si>
    <t>红色</t>
    <phoneticPr fontId="1" type="noConversion"/>
  </si>
  <si>
    <t>生命累计</t>
    <phoneticPr fontId="1" type="noConversion"/>
  </si>
  <si>
    <t>防御累计</t>
    <phoneticPr fontId="1" type="noConversion"/>
  </si>
  <si>
    <t>攻击累计</t>
    <phoneticPr fontId="1" type="noConversion"/>
  </si>
  <si>
    <t>破甲累计</t>
    <phoneticPr fontId="1" type="noConversion"/>
  </si>
  <si>
    <t>部位</t>
    <phoneticPr fontId="1" type="noConversion"/>
  </si>
  <si>
    <t>分解经验衰减系数</t>
    <phoneticPr fontId="1" type="noConversion"/>
  </si>
  <si>
    <t>分解得经验</t>
    <phoneticPr fontId="1" type="noConversion"/>
  </si>
  <si>
    <t>代表元宝价值</t>
    <phoneticPr fontId="1" type="noConversion"/>
  </si>
  <si>
    <t>经验</t>
    <phoneticPr fontId="1" type="noConversion"/>
  </si>
  <si>
    <t>橙2星</t>
    <phoneticPr fontId="1" type="noConversion"/>
  </si>
  <si>
    <t>蓝</t>
    <phoneticPr fontId="1" type="noConversion"/>
  </si>
  <si>
    <t>橙1阶</t>
  </si>
  <si>
    <t>橙1星</t>
    <phoneticPr fontId="1" type="noConversion"/>
  </si>
  <si>
    <t>红1星</t>
    <phoneticPr fontId="1" type="noConversion"/>
  </si>
  <si>
    <t>红2星</t>
    <phoneticPr fontId="1" type="noConversion"/>
  </si>
  <si>
    <t>红3星</t>
    <phoneticPr fontId="1" type="noConversion"/>
  </si>
  <si>
    <t>紫菱晶</t>
    <phoneticPr fontId="1" type="noConversion"/>
  </si>
  <si>
    <t>·3个橙色2星可以合成一个红色2星</t>
    <phoneticPr fontId="1" type="noConversion"/>
  </si>
  <si>
    <t>·3个红色2星可以合成一个红色3星</t>
    <phoneticPr fontId="1" type="noConversion"/>
  </si>
  <si>
    <t>·橙2星有1条蓝色，1条紫色</t>
    <phoneticPr fontId="1" type="noConversion"/>
  </si>
  <si>
    <r>
      <t>·橙1星有</t>
    </r>
    <r>
      <rPr>
        <sz val="11"/>
        <color theme="1"/>
        <rFont val="等线"/>
        <family val="3"/>
        <charset val="134"/>
        <scheme val="minor"/>
      </rPr>
      <t>2条蓝色</t>
    </r>
    <phoneticPr fontId="1" type="noConversion"/>
  </si>
  <si>
    <t>——&gt;</t>
    <phoneticPr fontId="1" type="noConversion"/>
  </si>
  <si>
    <t>·红1星有2条蓝色，1条紫色</t>
    <phoneticPr fontId="1" type="noConversion"/>
  </si>
  <si>
    <t>·红2星有1条蓝色，2条紫色</t>
    <phoneticPr fontId="1" type="noConversion"/>
  </si>
  <si>
    <t>·红3星有3条紫色</t>
    <phoneticPr fontId="1" type="noConversion"/>
  </si>
  <si>
    <t>品质</t>
  </si>
  <si>
    <t>阶级</t>
    <phoneticPr fontId="1" type="noConversion"/>
  </si>
  <si>
    <t>星级</t>
  </si>
  <si>
    <t>橙色1阶</t>
    <phoneticPr fontId="1" type="noConversion"/>
  </si>
  <si>
    <t>橙色2阶</t>
    <phoneticPr fontId="1" type="noConversion"/>
  </si>
  <si>
    <t>橙色3阶</t>
    <phoneticPr fontId="1" type="noConversion"/>
  </si>
  <si>
    <t>橙色4阶</t>
    <phoneticPr fontId="1" type="noConversion"/>
  </si>
  <si>
    <t>红色1阶</t>
    <phoneticPr fontId="1" type="noConversion"/>
  </si>
  <si>
    <t>红色2阶</t>
    <phoneticPr fontId="1" type="noConversion"/>
  </si>
  <si>
    <t>红色3阶</t>
    <phoneticPr fontId="1" type="noConversion"/>
  </si>
  <si>
    <t>品质</t>
    <phoneticPr fontId="1" type="noConversion"/>
  </si>
  <si>
    <t>效益1</t>
    <phoneticPr fontId="1" type="noConversion"/>
  </si>
  <si>
    <t>效益2</t>
    <phoneticPr fontId="1" type="noConversion"/>
  </si>
  <si>
    <t>基础属性</t>
    <phoneticPr fontId="1" type="noConversion"/>
  </si>
  <si>
    <t>高级属性</t>
    <phoneticPr fontId="1" type="noConversion"/>
  </si>
  <si>
    <t>最终</t>
    <phoneticPr fontId="1" type="noConversion"/>
  </si>
  <si>
    <t>攻击加成</t>
    <phoneticPr fontId="1" type="noConversion"/>
  </si>
  <si>
    <t>破甲加成</t>
    <phoneticPr fontId="1" type="noConversion"/>
  </si>
  <si>
    <t>紫1</t>
    <phoneticPr fontId="1" type="noConversion"/>
  </si>
  <si>
    <t>紫2</t>
    <phoneticPr fontId="1" type="noConversion"/>
  </si>
  <si>
    <t>战力1</t>
    <phoneticPr fontId="1" type="noConversion"/>
  </si>
  <si>
    <t>战力2</t>
    <phoneticPr fontId="1" type="noConversion"/>
  </si>
  <si>
    <t>分类</t>
    <phoneticPr fontId="12" type="noConversion"/>
  </si>
  <si>
    <t>品阶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</si>
  <si>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</si>
  <si>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</si>
  <si>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</si>
  <si>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</si>
  <si>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</si>
  <si>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防御百分比</t>
  </si>
  <si>
    <t>生命百分比</t>
  </si>
  <si>
    <t>攻击百分比</t>
  </si>
  <si>
    <t>破甲百分比</t>
  </si>
  <si>
    <t>命中百分比</t>
  </si>
  <si>
    <t>闪避百分比</t>
  </si>
  <si>
    <t>暴击百分比</t>
  </si>
  <si>
    <t>坚韧百分比</t>
  </si>
  <si>
    <t>乙级</t>
  </si>
  <si>
    <t>蓝1阶</t>
  </si>
  <si>
    <t>红1阶</t>
  </si>
  <si>
    <t>总消耗</t>
    <phoneticPr fontId="1" type="noConversion"/>
  </si>
  <si>
    <t>强化等级</t>
    <phoneticPr fontId="1" type="noConversion"/>
  </si>
  <si>
    <t>强化品阶</t>
    <phoneticPr fontId="1" type="noConversion"/>
  </si>
  <si>
    <t>总产出</t>
    <phoneticPr fontId="1" type="noConversion"/>
  </si>
  <si>
    <t>天数</t>
    <phoneticPr fontId="1" type="noConversion"/>
  </si>
  <si>
    <t>副本产出</t>
    <phoneticPr fontId="1" type="noConversion"/>
  </si>
  <si>
    <t>投入产出</t>
    <phoneticPr fontId="1" type="noConversion"/>
  </si>
  <si>
    <t>元宝价值</t>
    <phoneticPr fontId="1" type="noConversion"/>
  </si>
  <si>
    <t>1个等级消耗</t>
    <phoneticPr fontId="1" type="noConversion"/>
  </si>
  <si>
    <t>4个等级消耗</t>
    <phoneticPr fontId="1" type="noConversion"/>
  </si>
  <si>
    <t>每次扣除</t>
    <phoneticPr fontId="1" type="noConversion"/>
  </si>
  <si>
    <t>每次扣除经验</t>
    <phoneticPr fontId="1" type="noConversion"/>
  </si>
  <si>
    <t>分解经验</t>
    <phoneticPr fontId="1" type="noConversion"/>
  </si>
  <si>
    <t>生命增加</t>
    <phoneticPr fontId="1" type="noConversion"/>
  </si>
  <si>
    <t>防御增加</t>
    <phoneticPr fontId="1" type="noConversion"/>
  </si>
  <si>
    <t>攻击</t>
    <phoneticPr fontId="1" type="noConversion"/>
  </si>
  <si>
    <t>攻击增加</t>
    <phoneticPr fontId="1" type="noConversion"/>
  </si>
  <si>
    <t>破甲</t>
    <phoneticPr fontId="1" type="noConversion"/>
  </si>
  <si>
    <t>破甲增加</t>
    <phoneticPr fontId="1" type="noConversion"/>
  </si>
  <si>
    <t>蓝色属性数量</t>
  </si>
  <si>
    <t>紫色属性数量</t>
  </si>
  <si>
    <t>紫色属性组ID</t>
  </si>
  <si>
    <t>高级紫色属性数量</t>
    <phoneticPr fontId="1" type="noConversion"/>
  </si>
  <si>
    <t>高级紫色属性组ID</t>
    <phoneticPr fontId="1" type="noConversion"/>
  </si>
  <si>
    <t>蓝</t>
    <phoneticPr fontId="1" type="noConversion"/>
  </si>
  <si>
    <t>紫1</t>
    <phoneticPr fontId="1" type="noConversion"/>
  </si>
  <si>
    <t>紫2</t>
    <phoneticPr fontId="1" type="noConversion"/>
  </si>
  <si>
    <t>属性组ID</t>
    <phoneticPr fontId="12" type="noConversion"/>
  </si>
  <si>
    <t>备注</t>
    <phoneticPr fontId="12" type="noConversion"/>
  </si>
  <si>
    <t>防御加成</t>
    <phoneticPr fontId="12" type="noConversion"/>
  </si>
  <si>
    <t>生命加成</t>
    <phoneticPr fontId="12" type="noConversion"/>
  </si>
  <si>
    <t>攻击加成</t>
    <phoneticPr fontId="12" type="noConversion"/>
  </si>
  <si>
    <t>破甲加成</t>
    <phoneticPr fontId="12" type="noConversion"/>
  </si>
  <si>
    <t>命中加成</t>
    <phoneticPr fontId="12" type="noConversion"/>
  </si>
  <si>
    <t>闪避加成</t>
    <phoneticPr fontId="12" type="noConversion"/>
  </si>
  <si>
    <t>暴击加成</t>
    <phoneticPr fontId="12" type="noConversion"/>
  </si>
  <si>
    <t>坚韧加成</t>
    <phoneticPr fontId="12" type="noConversion"/>
  </si>
  <si>
    <t>防御百分比</t>
    <phoneticPr fontId="12" type="noConversion"/>
  </si>
  <si>
    <t>生命百分比</t>
    <phoneticPr fontId="12" type="noConversion"/>
  </si>
  <si>
    <t>攻击百分比</t>
    <phoneticPr fontId="12" type="noConversion"/>
  </si>
  <si>
    <t>破甲百分比</t>
    <phoneticPr fontId="12" type="noConversion"/>
  </si>
  <si>
    <t>命中百分比</t>
    <phoneticPr fontId="12" type="noConversion"/>
  </si>
  <si>
    <t>闪避百分比</t>
    <phoneticPr fontId="12" type="noConversion"/>
  </si>
  <si>
    <t>暴击百分比</t>
    <phoneticPr fontId="12" type="noConversion"/>
  </si>
  <si>
    <t>坚韧百分比</t>
    <phoneticPr fontId="12" type="noConversion"/>
  </si>
  <si>
    <t>201</t>
    <phoneticPr fontId="1" type="noConversion"/>
  </si>
  <si>
    <t>202</t>
  </si>
  <si>
    <t>203</t>
  </si>
  <si>
    <t>204</t>
  </si>
  <si>
    <t>205</t>
  </si>
  <si>
    <t>206</t>
  </si>
  <si>
    <t>301</t>
    <phoneticPr fontId="1" type="noConversion"/>
  </si>
  <si>
    <t>302</t>
  </si>
  <si>
    <t>303</t>
  </si>
  <si>
    <t>304</t>
  </si>
  <si>
    <t>305</t>
  </si>
  <si>
    <t>306</t>
  </si>
  <si>
    <t>401</t>
    <phoneticPr fontId="1" type="noConversion"/>
  </si>
  <si>
    <t>402</t>
  </si>
  <si>
    <t>403</t>
  </si>
  <si>
    <t>404</t>
  </si>
  <si>
    <t>405</t>
  </si>
  <si>
    <t>406</t>
  </si>
  <si>
    <t>1阶-蓝色属性</t>
    <phoneticPr fontId="1" type="noConversion"/>
  </si>
  <si>
    <t>2阶-蓝色属性</t>
  </si>
  <si>
    <t>3阶-蓝色属性</t>
  </si>
  <si>
    <t>4阶-蓝色属性</t>
  </si>
  <si>
    <t>5阶-蓝色属性</t>
  </si>
  <si>
    <t>6阶-蓝色属性</t>
  </si>
  <si>
    <t>1阶-普通紫色属性</t>
    <phoneticPr fontId="1" type="noConversion"/>
  </si>
  <si>
    <t>2阶-普通紫色属性</t>
  </si>
  <si>
    <t>3阶-普通紫色属性</t>
  </si>
  <si>
    <t>4阶-普通紫色属性</t>
  </si>
  <si>
    <t>5阶-普通紫色属性</t>
  </si>
  <si>
    <t>6阶-普通紫色属性</t>
  </si>
  <si>
    <t>1阶-高级紫色属性</t>
    <phoneticPr fontId="1" type="noConversion"/>
  </si>
  <si>
    <t>2阶-高级紫色属性</t>
  </si>
  <si>
    <t>3阶-高级紫色属性</t>
  </si>
  <si>
    <t>4阶-高级紫色属性</t>
  </si>
  <si>
    <t>5阶-高级紫色属性</t>
  </si>
  <si>
    <t>6阶-高级紫色属性</t>
  </si>
  <si>
    <t>2</t>
  </si>
  <si>
    <t>3</t>
  </si>
  <si>
    <t>4</t>
  </si>
  <si>
    <t>5</t>
  </si>
  <si>
    <t>1</t>
    <phoneticPr fontId="1" type="noConversion"/>
  </si>
  <si>
    <t>蓝</t>
    <phoneticPr fontId="1" type="noConversion"/>
  </si>
  <si>
    <t>紫1</t>
    <phoneticPr fontId="1" type="noConversion"/>
  </si>
  <si>
    <t>7</t>
    <phoneticPr fontId="1" type="noConversion"/>
  </si>
  <si>
    <t>207</t>
    <phoneticPr fontId="1" type="noConversion"/>
  </si>
  <si>
    <t>307</t>
    <phoneticPr fontId="1" type="noConversion"/>
  </si>
  <si>
    <t>407</t>
  </si>
  <si>
    <t>7阶-高级紫色属性</t>
  </si>
  <si>
    <t>7阶-普通紫色属性</t>
  </si>
  <si>
    <t>7阶-蓝色属性</t>
  </si>
  <si>
    <t>蓝色属性组ID</t>
    <phoneticPr fontId="1" type="noConversion"/>
  </si>
  <si>
    <t>强化经验</t>
    <phoneticPr fontId="1" type="noConversion"/>
  </si>
  <si>
    <t>强化属性增长</t>
    <phoneticPr fontId="1" type="noConversion"/>
  </si>
  <si>
    <t>进阶基础属性1</t>
    <phoneticPr fontId="1" type="noConversion"/>
  </si>
  <si>
    <t>进阶基础属性2</t>
    <phoneticPr fontId="1" type="noConversion"/>
  </si>
  <si>
    <t>进阶高级属性</t>
    <phoneticPr fontId="1" type="noConversion"/>
  </si>
  <si>
    <t>强化消耗</t>
    <phoneticPr fontId="1" type="noConversion"/>
  </si>
  <si>
    <t>进阶消耗</t>
    <phoneticPr fontId="1" type="noConversion"/>
  </si>
  <si>
    <t>装备原价</t>
    <phoneticPr fontId="1" type="noConversion"/>
  </si>
  <si>
    <t>性价比</t>
    <phoneticPr fontId="1" type="noConversion"/>
  </si>
  <si>
    <t>蓝色进阶消耗</t>
    <phoneticPr fontId="1" type="noConversion"/>
  </si>
  <si>
    <t>星级\品质</t>
    <phoneticPr fontId="1" type="noConversion"/>
  </si>
  <si>
    <t>进阶消耗比</t>
    <phoneticPr fontId="1" type="noConversion"/>
  </si>
  <si>
    <t>原价</t>
    <phoneticPr fontId="1" type="noConversion"/>
  </si>
  <si>
    <t>参数（品质+星级））</t>
    <phoneticPr fontId="1" type="noConversion"/>
  </si>
  <si>
    <t>平均</t>
    <phoneticPr fontId="1" type="noConversion"/>
  </si>
  <si>
    <t>参数2（品质+品阶）</t>
    <phoneticPr fontId="1" type="noConversion"/>
  </si>
  <si>
    <t>装备品质</t>
    <phoneticPr fontId="1" type="noConversion"/>
  </si>
  <si>
    <t>元宝价值</t>
    <phoneticPr fontId="1" type="noConversion"/>
  </si>
  <si>
    <t>1个品阶消耗</t>
    <phoneticPr fontId="1" type="noConversion"/>
  </si>
  <si>
    <t>4个品阶消耗</t>
    <phoneticPr fontId="1" type="noConversion"/>
  </si>
  <si>
    <t>合计：</t>
    <phoneticPr fontId="1" type="noConversion"/>
  </si>
  <si>
    <t>4个装备原价</t>
    <phoneticPr fontId="1" type="noConversion"/>
  </si>
  <si>
    <t>1个装备原价</t>
    <phoneticPr fontId="1" type="noConversion"/>
  </si>
  <si>
    <t>天书数量</t>
    <phoneticPr fontId="1" type="noConversion"/>
  </si>
  <si>
    <r>
      <t>是否vip</t>
    </r>
    <r>
      <rPr>
        <sz val="11"/>
        <color theme="1"/>
        <rFont val="等线"/>
        <family val="3"/>
        <charset val="134"/>
        <scheme val="minor"/>
      </rPr>
      <t>4？</t>
    </r>
    <phoneticPr fontId="1" type="noConversion"/>
  </si>
  <si>
    <t>总产出</t>
    <phoneticPr fontId="1" type="noConversion"/>
  </si>
  <si>
    <t>投入金钱</t>
    <phoneticPr fontId="1" type="noConversion"/>
  </si>
  <si>
    <t>天神数</t>
    <phoneticPr fontId="1" type="noConversion"/>
  </si>
  <si>
    <t>总消耗</t>
    <phoneticPr fontId="1" type="noConversion"/>
  </si>
  <si>
    <t>橙色</t>
    <phoneticPr fontId="1" type="noConversion"/>
  </si>
  <si>
    <t>红色</t>
    <phoneticPr fontId="1" type="noConversion"/>
  </si>
  <si>
    <t>防御加成</t>
    <phoneticPr fontId="1" type="noConversion"/>
  </si>
  <si>
    <t>生命加成</t>
    <phoneticPr fontId="1" type="noConversion"/>
  </si>
  <si>
    <t>暴击伤害</t>
    <phoneticPr fontId="1" type="noConversion"/>
  </si>
  <si>
    <t>人物护甲</t>
    <phoneticPr fontId="1" type="noConversion"/>
  </si>
  <si>
    <t>伤害加深</t>
  </si>
  <si>
    <t>伤害加深</t>
    <phoneticPr fontId="1" type="noConversion"/>
  </si>
  <si>
    <t>红3</t>
    <phoneticPr fontId="1" type="noConversion"/>
  </si>
  <si>
    <t>红2</t>
    <phoneticPr fontId="1" type="noConversion"/>
  </si>
  <si>
    <t>橙2</t>
    <phoneticPr fontId="1" type="noConversion"/>
  </si>
  <si>
    <t>橙1</t>
    <phoneticPr fontId="1" type="noConversion"/>
  </si>
  <si>
    <t>基础1</t>
    <phoneticPr fontId="1" type="noConversion"/>
  </si>
  <si>
    <t>基础2</t>
    <phoneticPr fontId="1" type="noConversion"/>
  </si>
  <si>
    <t>套装分类</t>
    <phoneticPr fontId="12" type="noConversion"/>
  </si>
  <si>
    <t>战灵归属</t>
    <phoneticPr fontId="1" type="noConversion"/>
  </si>
  <si>
    <t>生命</t>
    <phoneticPr fontId="12" type="noConversion"/>
  </si>
  <si>
    <t>攻击</t>
    <phoneticPr fontId="12" type="noConversion"/>
  </si>
  <si>
    <t>防御</t>
    <phoneticPr fontId="12" type="noConversion"/>
  </si>
  <si>
    <t>破甲</t>
    <phoneticPr fontId="12" type="noConversion"/>
  </si>
  <si>
    <t>橙1星套装</t>
    <phoneticPr fontId="12" type="noConversion"/>
  </si>
  <si>
    <t>橙2星套装</t>
    <phoneticPr fontId="12" type="noConversion"/>
  </si>
  <si>
    <t>红2星套装</t>
    <phoneticPr fontId="12" type="noConversion"/>
  </si>
  <si>
    <t>红3星套装</t>
    <phoneticPr fontId="12" type="noConversion"/>
  </si>
  <si>
    <t>10101,10301</t>
    <phoneticPr fontId="1" type="noConversion"/>
  </si>
  <si>
    <t>10201,10401</t>
    <phoneticPr fontId="1" type="noConversion"/>
  </si>
  <si>
    <r>
      <t>1</t>
    </r>
    <r>
      <rPr>
        <sz val="11"/>
        <color theme="1"/>
        <rFont val="等线"/>
        <family val="3"/>
        <charset val="134"/>
        <scheme val="minor"/>
      </rPr>
      <t>.相对于装备本身基础属性：</t>
    </r>
    <phoneticPr fontId="1" type="noConversion"/>
  </si>
  <si>
    <t>伤害减免</t>
  </si>
  <si>
    <t>2.相对于上品质装备：3-1.9-?</t>
    <phoneticPr fontId="1" type="noConversion"/>
  </si>
  <si>
    <t>参数</t>
    <phoneticPr fontId="1" type="noConversion"/>
  </si>
  <si>
    <t>属性1</t>
    <phoneticPr fontId="1" type="noConversion"/>
  </si>
  <si>
    <t>属性2</t>
    <phoneticPr fontId="1" type="noConversion"/>
  </si>
  <si>
    <t>（属性3战力）</t>
    <phoneticPr fontId="1" type="noConversion"/>
  </si>
  <si>
    <t>10301</t>
    <phoneticPr fontId="1" type="noConversion"/>
  </si>
  <si>
    <t>10401</t>
    <phoneticPr fontId="1" type="noConversion"/>
  </si>
  <si>
    <t>总战力</t>
    <phoneticPr fontId="1" type="noConversion"/>
  </si>
  <si>
    <t>累计总战斗力</t>
    <phoneticPr fontId="1" type="noConversion"/>
  </si>
  <si>
    <t>进阶战斗力</t>
    <phoneticPr fontId="1" type="noConversion"/>
  </si>
  <si>
    <t>消耗物品id</t>
    <phoneticPr fontId="1" type="noConversion"/>
  </si>
  <si>
    <t>消耗输出</t>
    <phoneticPr fontId="1" type="noConversion"/>
  </si>
  <si>
    <t>（用于输出）</t>
    <phoneticPr fontId="1" type="noConversion"/>
  </si>
  <si>
    <t>套装组ID</t>
  </si>
  <si>
    <t>输出用</t>
    <phoneticPr fontId="1" type="noConversion"/>
  </si>
  <si>
    <t>301,302</t>
    <phoneticPr fontId="1" type="noConversion"/>
  </si>
  <si>
    <t>101,102</t>
    <phoneticPr fontId="1" type="noConversion"/>
  </si>
  <si>
    <t>201,202</t>
    <phoneticPr fontId="1" type="noConversion"/>
  </si>
  <si>
    <t>401,402</t>
    <phoneticPr fontId="1" type="noConversion"/>
  </si>
  <si>
    <t>10</t>
    <phoneticPr fontId="1" type="noConversion"/>
  </si>
  <si>
    <t>0.5</t>
    <phoneticPr fontId="1" type="noConversion"/>
  </si>
  <si>
    <t>防御</t>
    <phoneticPr fontId="1" type="noConversion"/>
  </si>
  <si>
    <t>生命</t>
    <phoneticPr fontId="1" type="noConversion"/>
  </si>
  <si>
    <t>攻击</t>
    <phoneticPr fontId="1" type="noConversion"/>
  </si>
  <si>
    <t>破甲</t>
    <phoneticPr fontId="1" type="noConversion"/>
  </si>
  <si>
    <t>命中</t>
    <phoneticPr fontId="1" type="noConversion"/>
  </si>
  <si>
    <t>闪避</t>
    <phoneticPr fontId="1" type="noConversion"/>
  </si>
  <si>
    <t>暴击</t>
    <phoneticPr fontId="1" type="noConversion"/>
  </si>
  <si>
    <t>坚韧</t>
    <phoneticPr fontId="1" type="noConversion"/>
  </si>
  <si>
    <t>40</t>
    <phoneticPr fontId="1" type="noConversion"/>
  </si>
  <si>
    <t>80</t>
    <phoneticPr fontId="1" type="noConversion"/>
  </si>
  <si>
    <t>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</si>
</sst>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1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7030A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</font>
    <font>
      <sz val="9"/>
      <color theme="1"/>
      <name val="等线"/>
      <family val="3"/>
      <charset val="134"/>
      <scheme val="minor"/>
    </font>
    <font>
      <sz val="9"/>
      <color rgb="FF7030A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00B05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1" xfId="0" applyBorder="1"/>
    <xf numFmtId="0" fontId="2" fillId="0" borderId="1" xfId="0" applyFont="1" applyBorder="1"/>
    <xf numFmtId="0" fontId="0" fillId="4" borderId="0" xfId="0" applyFill="1"/>
    <xf numFmtId="0" fontId="0" fillId="5" borderId="0" xfId="0" applyFill="1"/>
    <xf numFmtId="0" fontId="5" fillId="5" borderId="0" xfId="0" applyFont="1" applyFill="1"/>
    <xf numFmtId="0" fontId="2" fillId="5" borderId="0" xfId="0" applyFont="1" applyFill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10" fontId="10" fillId="0" borderId="0" xfId="0" applyNumberFormat="1" applyFont="1"/>
    <xf numFmtId="10" fontId="10" fillId="5" borderId="0" xfId="0" applyNumberFormat="1" applyFont="1" applyFill="1"/>
    <xf numFmtId="0" fontId="10" fillId="5" borderId="0" xfId="0" applyFont="1" applyFill="1"/>
    <xf numFmtId="0" fontId="10" fillId="0" borderId="0" xfId="0" applyFont="1"/>
    <xf numFmtId="49" fontId="11" fillId="0" borderId="0" xfId="0" applyNumberFormat="1" applyFont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0" fillId="3" borderId="0" xfId="0" applyFill="1"/>
    <xf numFmtId="49" fontId="11" fillId="3" borderId="1" xfId="0" applyNumberFormat="1" applyFont="1" applyFill="1" applyBorder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9" fillId="3" borderId="0" xfId="0" applyFont="1" applyFill="1"/>
    <xf numFmtId="0" fontId="15" fillId="2" borderId="0" xfId="0" applyFont="1" applyFill="1"/>
    <xf numFmtId="0" fontId="16" fillId="0" borderId="0" xfId="0" applyFont="1"/>
    <xf numFmtId="0" fontId="15" fillId="0" borderId="0" xfId="0" applyFont="1"/>
    <xf numFmtId="176" fontId="15" fillId="0" borderId="0" xfId="0" applyNumberFormat="1" applyFont="1"/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7" fillId="2" borderId="0" xfId="0" applyFont="1" applyFill="1"/>
    <xf numFmtId="0" fontId="9" fillId="2" borderId="0" xfId="0" applyFont="1" applyFill="1"/>
    <xf numFmtId="0" fontId="9" fillId="4" borderId="0" xfId="0" applyFont="1" applyFill="1"/>
    <xf numFmtId="0" fontId="0" fillId="6" borderId="0" xfId="0" applyFill="1"/>
    <xf numFmtId="0" fontId="2" fillId="6" borderId="0" xfId="0" applyFont="1" applyFill="1"/>
    <xf numFmtId="0" fontId="3" fillId="6" borderId="0" xfId="0" applyFont="1" applyFill="1"/>
    <xf numFmtId="0" fontId="4" fillId="6" borderId="0" xfId="0" applyFont="1" applyFill="1" applyAlignment="1">
      <alignment horizontal="center" vertical="center"/>
    </xf>
    <xf numFmtId="0" fontId="5" fillId="6" borderId="0" xfId="0" applyFont="1" applyFill="1"/>
    <xf numFmtId="0" fontId="3" fillId="5" borderId="0" xfId="0" applyFont="1" applyFill="1"/>
    <xf numFmtId="0" fontId="3" fillId="4" borderId="0" xfId="0" applyFont="1" applyFill="1"/>
    <xf numFmtId="10" fontId="16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0" fontId="0" fillId="6" borderId="0" xfId="0" applyNumberFormat="1" applyFill="1"/>
    <xf numFmtId="10" fontId="16" fillId="6" borderId="0" xfId="0" applyNumberFormat="1" applyFont="1" applyFill="1"/>
    <xf numFmtId="49" fontId="11" fillId="6" borderId="0" xfId="0" applyNumberFormat="1" applyFont="1" applyFill="1" applyAlignment="1">
      <alignment horizontal="center" vertical="center"/>
    </xf>
    <xf numFmtId="49" fontId="11" fillId="7" borderId="0" xfId="0" applyNumberFormat="1" applyFont="1" applyFill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workbookViewId="0">
      <selection activeCell="G17" sqref="G17"/>
    </sheetView>
  </sheetViews>
  <sheetFormatPr defaultColWidth="9" defaultRowHeight="14.25" x14ac:dyDescent="0.2"/>
  <cols>
    <col min="2" max="2" width="12.125" customWidth="1"/>
    <col min="3" max="3" width="11.75" customWidth="1"/>
    <col min="4" max="4" width="15.125" customWidth="1"/>
    <col min="5" max="8" width="11" customWidth="1"/>
  </cols>
  <sheetData>
    <row r="1" spans="1:8" x14ac:dyDescent="0.2">
      <c r="A1" t="s">
        <v>0</v>
      </c>
      <c r="B1" s="1" t="s">
        <v>100</v>
      </c>
      <c r="C1" s="1" t="s">
        <v>185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>
        <v>170</v>
      </c>
      <c r="C2">
        <v>150</v>
      </c>
      <c r="D2">
        <v>150</v>
      </c>
      <c r="E2">
        <v>500</v>
      </c>
      <c r="F2">
        <v>25</v>
      </c>
      <c r="G2">
        <v>10</v>
      </c>
      <c r="H2">
        <v>10</v>
      </c>
    </row>
    <row r="3" spans="1:8" x14ac:dyDescent="0.2">
      <c r="A3">
        <v>2</v>
      </c>
      <c r="B3">
        <v>200</v>
      </c>
      <c r="C3">
        <v>200</v>
      </c>
      <c r="D3">
        <v>350</v>
      </c>
      <c r="E3">
        <v>1000</v>
      </c>
      <c r="F3">
        <v>50</v>
      </c>
      <c r="G3">
        <v>20</v>
      </c>
      <c r="H3">
        <v>20</v>
      </c>
    </row>
    <row r="4" spans="1:8" x14ac:dyDescent="0.2">
      <c r="A4">
        <v>3</v>
      </c>
      <c r="B4">
        <v>230</v>
      </c>
      <c r="C4">
        <v>250</v>
      </c>
      <c r="D4">
        <v>600</v>
      </c>
      <c r="E4">
        <v>1500</v>
      </c>
      <c r="F4">
        <v>75</v>
      </c>
      <c r="G4">
        <v>30</v>
      </c>
      <c r="H4">
        <v>30</v>
      </c>
    </row>
    <row r="5" spans="1:8" x14ac:dyDescent="0.2">
      <c r="A5">
        <v>4</v>
      </c>
      <c r="B5">
        <v>260</v>
      </c>
      <c r="C5">
        <v>300</v>
      </c>
      <c r="D5">
        <v>900</v>
      </c>
      <c r="E5">
        <v>2000</v>
      </c>
      <c r="F5">
        <v>100</v>
      </c>
      <c r="G5">
        <v>40</v>
      </c>
      <c r="H5">
        <v>40</v>
      </c>
    </row>
    <row r="6" spans="1:8" x14ac:dyDescent="0.2">
      <c r="A6">
        <v>5</v>
      </c>
      <c r="B6">
        <v>290</v>
      </c>
      <c r="C6">
        <v>350</v>
      </c>
      <c r="D6">
        <v>1250</v>
      </c>
      <c r="E6">
        <v>2500</v>
      </c>
      <c r="F6">
        <v>125</v>
      </c>
      <c r="G6">
        <v>50</v>
      </c>
      <c r="H6">
        <v>50</v>
      </c>
    </row>
    <row r="7" spans="1:8" x14ac:dyDescent="0.2">
      <c r="A7">
        <v>6</v>
      </c>
      <c r="B7">
        <v>320</v>
      </c>
      <c r="C7">
        <v>400</v>
      </c>
      <c r="D7">
        <v>1650</v>
      </c>
      <c r="E7">
        <v>3000</v>
      </c>
      <c r="F7">
        <v>150</v>
      </c>
      <c r="G7">
        <v>60</v>
      </c>
      <c r="H7">
        <v>60</v>
      </c>
    </row>
    <row r="8" spans="1:8" x14ac:dyDescent="0.2">
      <c r="A8">
        <v>7</v>
      </c>
      <c r="B8">
        <v>350</v>
      </c>
      <c r="C8">
        <v>450</v>
      </c>
      <c r="D8">
        <v>2100</v>
      </c>
      <c r="E8">
        <v>3500</v>
      </c>
      <c r="F8">
        <v>175</v>
      </c>
      <c r="G8">
        <v>70</v>
      </c>
      <c r="H8">
        <v>70</v>
      </c>
    </row>
    <row r="9" spans="1:8" x14ac:dyDescent="0.2">
      <c r="A9">
        <v>8</v>
      </c>
      <c r="B9">
        <v>380</v>
      </c>
      <c r="C9">
        <v>500</v>
      </c>
      <c r="D9">
        <v>2600</v>
      </c>
      <c r="E9">
        <v>4000</v>
      </c>
      <c r="F9">
        <v>200</v>
      </c>
      <c r="G9">
        <v>80</v>
      </c>
      <c r="H9">
        <v>80</v>
      </c>
    </row>
    <row r="10" spans="1:8" x14ac:dyDescent="0.2">
      <c r="A10">
        <v>9</v>
      </c>
      <c r="B10">
        <v>410</v>
      </c>
      <c r="C10">
        <v>550</v>
      </c>
      <c r="D10">
        <v>3150</v>
      </c>
      <c r="E10">
        <v>4500</v>
      </c>
      <c r="F10">
        <v>225</v>
      </c>
      <c r="G10">
        <v>90</v>
      </c>
      <c r="H10">
        <v>90</v>
      </c>
    </row>
    <row r="11" spans="1:8" x14ac:dyDescent="0.2">
      <c r="A11">
        <v>10</v>
      </c>
      <c r="B11">
        <v>440</v>
      </c>
      <c r="C11">
        <v>600</v>
      </c>
      <c r="D11">
        <v>3750</v>
      </c>
      <c r="E11">
        <v>5000</v>
      </c>
      <c r="F11">
        <v>250</v>
      </c>
      <c r="G11">
        <v>100</v>
      </c>
      <c r="H11">
        <v>100</v>
      </c>
    </row>
    <row r="12" spans="1:8" x14ac:dyDescent="0.2">
      <c r="A12">
        <v>11</v>
      </c>
      <c r="B12">
        <v>500</v>
      </c>
      <c r="C12">
        <v>700</v>
      </c>
      <c r="D12">
        <v>4450</v>
      </c>
      <c r="E12">
        <v>5500</v>
      </c>
      <c r="F12">
        <v>275</v>
      </c>
      <c r="G12">
        <v>110</v>
      </c>
      <c r="H12">
        <v>110</v>
      </c>
    </row>
    <row r="13" spans="1:8" x14ac:dyDescent="0.2">
      <c r="A13">
        <v>12</v>
      </c>
      <c r="B13">
        <v>560</v>
      </c>
      <c r="C13">
        <v>800</v>
      </c>
      <c r="D13">
        <v>5250</v>
      </c>
      <c r="E13">
        <v>6000</v>
      </c>
      <c r="F13">
        <v>300</v>
      </c>
      <c r="G13">
        <v>120</v>
      </c>
      <c r="H13">
        <v>120</v>
      </c>
    </row>
    <row r="14" spans="1:8" x14ac:dyDescent="0.2">
      <c r="A14">
        <v>13</v>
      </c>
      <c r="B14">
        <v>620</v>
      </c>
      <c r="C14">
        <v>900</v>
      </c>
      <c r="D14">
        <v>6150</v>
      </c>
      <c r="E14">
        <v>6500</v>
      </c>
      <c r="F14">
        <v>325</v>
      </c>
      <c r="G14">
        <v>130</v>
      </c>
      <c r="H14">
        <v>130</v>
      </c>
    </row>
    <row r="15" spans="1:8" x14ac:dyDescent="0.2">
      <c r="A15">
        <v>14</v>
      </c>
      <c r="B15">
        <v>680</v>
      </c>
      <c r="C15">
        <v>1000</v>
      </c>
      <c r="D15">
        <v>7150</v>
      </c>
      <c r="E15">
        <v>7000</v>
      </c>
      <c r="F15">
        <v>350</v>
      </c>
      <c r="G15">
        <v>140</v>
      </c>
      <c r="H15">
        <v>140</v>
      </c>
    </row>
    <row r="16" spans="1:8" x14ac:dyDescent="0.2">
      <c r="A16">
        <v>15</v>
      </c>
      <c r="B16">
        <v>740</v>
      </c>
      <c r="C16">
        <v>1100</v>
      </c>
      <c r="D16">
        <v>8250</v>
      </c>
      <c r="E16">
        <v>7500</v>
      </c>
      <c r="F16">
        <v>375</v>
      </c>
      <c r="G16">
        <v>150</v>
      </c>
      <c r="H16">
        <v>150</v>
      </c>
    </row>
    <row r="17" spans="1:8" x14ac:dyDescent="0.2">
      <c r="A17">
        <v>16</v>
      </c>
      <c r="B17">
        <v>800</v>
      </c>
      <c r="C17">
        <v>1200</v>
      </c>
      <c r="D17">
        <v>9450</v>
      </c>
      <c r="E17">
        <v>8000</v>
      </c>
      <c r="F17">
        <v>400</v>
      </c>
      <c r="G17">
        <v>160</v>
      </c>
      <c r="H17">
        <v>160</v>
      </c>
    </row>
    <row r="18" spans="1:8" x14ac:dyDescent="0.2">
      <c r="A18">
        <v>17</v>
      </c>
      <c r="B18">
        <v>860</v>
      </c>
      <c r="C18">
        <v>1300</v>
      </c>
      <c r="D18">
        <v>10750</v>
      </c>
      <c r="E18">
        <v>8500</v>
      </c>
      <c r="F18">
        <v>425</v>
      </c>
      <c r="G18">
        <v>170</v>
      </c>
      <c r="H18">
        <v>170</v>
      </c>
    </row>
    <row r="19" spans="1:8" x14ac:dyDescent="0.2">
      <c r="A19">
        <v>18</v>
      </c>
      <c r="B19">
        <v>920</v>
      </c>
      <c r="C19">
        <v>1400</v>
      </c>
      <c r="D19">
        <v>12150</v>
      </c>
      <c r="E19">
        <v>9000</v>
      </c>
      <c r="F19">
        <v>450</v>
      </c>
      <c r="G19">
        <v>180</v>
      </c>
      <c r="H19">
        <v>180</v>
      </c>
    </row>
    <row r="20" spans="1:8" x14ac:dyDescent="0.2">
      <c r="A20">
        <v>19</v>
      </c>
      <c r="B20">
        <v>980</v>
      </c>
      <c r="C20">
        <v>1500</v>
      </c>
      <c r="D20">
        <v>13650</v>
      </c>
      <c r="E20">
        <v>9500</v>
      </c>
      <c r="F20">
        <v>475</v>
      </c>
      <c r="G20">
        <v>190</v>
      </c>
      <c r="H20">
        <v>190</v>
      </c>
    </row>
    <row r="21" spans="1:8" x14ac:dyDescent="0.2">
      <c r="A21">
        <v>20</v>
      </c>
      <c r="B21">
        <v>1040</v>
      </c>
      <c r="C21">
        <v>1600</v>
      </c>
      <c r="D21">
        <v>15250</v>
      </c>
      <c r="E21">
        <v>10000</v>
      </c>
      <c r="F21">
        <v>500</v>
      </c>
      <c r="G21">
        <v>200</v>
      </c>
      <c r="H21">
        <v>200</v>
      </c>
    </row>
    <row r="22" spans="1:8" x14ac:dyDescent="0.2">
      <c r="A22">
        <v>21</v>
      </c>
      <c r="B22">
        <v>1160</v>
      </c>
      <c r="C22">
        <v>1800</v>
      </c>
      <c r="D22">
        <v>17050</v>
      </c>
      <c r="E22">
        <v>10500</v>
      </c>
      <c r="F22">
        <v>525</v>
      </c>
      <c r="G22">
        <v>210</v>
      </c>
      <c r="H22">
        <v>210</v>
      </c>
    </row>
    <row r="23" spans="1:8" x14ac:dyDescent="0.2">
      <c r="A23">
        <v>22</v>
      </c>
      <c r="B23">
        <v>1280</v>
      </c>
      <c r="C23">
        <v>2000</v>
      </c>
      <c r="D23">
        <v>19050</v>
      </c>
      <c r="E23">
        <v>11000</v>
      </c>
      <c r="F23">
        <v>550</v>
      </c>
      <c r="G23">
        <v>220</v>
      </c>
      <c r="H23">
        <v>220</v>
      </c>
    </row>
    <row r="24" spans="1:8" x14ac:dyDescent="0.2">
      <c r="A24">
        <v>23</v>
      </c>
      <c r="B24">
        <v>1400</v>
      </c>
      <c r="C24">
        <v>2200</v>
      </c>
      <c r="D24">
        <v>21250</v>
      </c>
      <c r="E24">
        <v>11500</v>
      </c>
      <c r="F24">
        <v>575</v>
      </c>
      <c r="G24">
        <v>230</v>
      </c>
      <c r="H24">
        <v>230</v>
      </c>
    </row>
    <row r="25" spans="1:8" x14ac:dyDescent="0.2">
      <c r="A25">
        <v>24</v>
      </c>
      <c r="B25">
        <v>1520</v>
      </c>
      <c r="C25">
        <v>2400</v>
      </c>
      <c r="D25">
        <v>23650</v>
      </c>
      <c r="E25">
        <v>12000</v>
      </c>
      <c r="F25">
        <v>600</v>
      </c>
      <c r="G25">
        <v>240</v>
      </c>
      <c r="H25">
        <v>240</v>
      </c>
    </row>
    <row r="26" spans="1:8" x14ac:dyDescent="0.2">
      <c r="A26">
        <v>25</v>
      </c>
      <c r="B26">
        <v>1640</v>
      </c>
      <c r="C26">
        <v>2600</v>
      </c>
      <c r="D26">
        <v>26250</v>
      </c>
      <c r="E26">
        <v>12500</v>
      </c>
      <c r="F26">
        <v>625</v>
      </c>
      <c r="G26">
        <v>250</v>
      </c>
      <c r="H26">
        <v>250</v>
      </c>
    </row>
    <row r="27" spans="1:8" x14ac:dyDescent="0.2">
      <c r="A27">
        <v>26</v>
      </c>
      <c r="B27">
        <v>1760</v>
      </c>
      <c r="C27">
        <v>2800</v>
      </c>
      <c r="D27">
        <v>29050</v>
      </c>
      <c r="E27">
        <v>13000</v>
      </c>
      <c r="F27">
        <v>650</v>
      </c>
      <c r="G27">
        <v>260</v>
      </c>
      <c r="H27">
        <v>260</v>
      </c>
    </row>
    <row r="28" spans="1:8" x14ac:dyDescent="0.2">
      <c r="A28">
        <v>27</v>
      </c>
      <c r="B28">
        <v>1880</v>
      </c>
      <c r="C28">
        <v>3000</v>
      </c>
      <c r="D28">
        <v>32050</v>
      </c>
      <c r="E28">
        <v>13500</v>
      </c>
      <c r="F28">
        <v>675</v>
      </c>
      <c r="G28">
        <v>270</v>
      </c>
      <c r="H28">
        <v>270</v>
      </c>
    </row>
    <row r="29" spans="1:8" x14ac:dyDescent="0.2">
      <c r="A29">
        <v>28</v>
      </c>
      <c r="B29">
        <v>2000</v>
      </c>
      <c r="C29">
        <v>3200</v>
      </c>
      <c r="D29">
        <v>35250</v>
      </c>
      <c r="E29">
        <v>14000</v>
      </c>
      <c r="F29">
        <v>700</v>
      </c>
      <c r="G29">
        <v>280</v>
      </c>
      <c r="H29">
        <v>280</v>
      </c>
    </row>
    <row r="30" spans="1:8" x14ac:dyDescent="0.2">
      <c r="A30">
        <v>29</v>
      </c>
      <c r="B30">
        <v>2120</v>
      </c>
      <c r="C30">
        <v>3400</v>
      </c>
      <c r="D30">
        <v>38650</v>
      </c>
      <c r="E30">
        <v>14500</v>
      </c>
      <c r="F30">
        <v>725</v>
      </c>
      <c r="G30">
        <v>290</v>
      </c>
      <c r="H30">
        <v>290</v>
      </c>
    </row>
    <row r="31" spans="1:8" x14ac:dyDescent="0.2">
      <c r="A31">
        <v>30</v>
      </c>
      <c r="B31">
        <v>2240</v>
      </c>
      <c r="C31">
        <v>3600</v>
      </c>
      <c r="D31">
        <v>42250</v>
      </c>
      <c r="E31">
        <v>15000</v>
      </c>
      <c r="F31">
        <v>750</v>
      </c>
      <c r="G31">
        <v>300</v>
      </c>
      <c r="H31">
        <v>300</v>
      </c>
    </row>
    <row r="32" spans="1:8" x14ac:dyDescent="0.2">
      <c r="A32">
        <v>31</v>
      </c>
      <c r="B32">
        <v>2480</v>
      </c>
      <c r="C32">
        <v>4000</v>
      </c>
      <c r="D32">
        <v>46250</v>
      </c>
      <c r="E32">
        <v>15500</v>
      </c>
      <c r="F32">
        <v>775</v>
      </c>
      <c r="G32">
        <v>310</v>
      </c>
      <c r="H32">
        <v>310</v>
      </c>
    </row>
    <row r="33" spans="1:8" x14ac:dyDescent="0.2">
      <c r="A33">
        <v>32</v>
      </c>
      <c r="B33">
        <v>2720</v>
      </c>
      <c r="C33">
        <v>4400</v>
      </c>
      <c r="D33">
        <v>50650</v>
      </c>
      <c r="E33">
        <v>16000</v>
      </c>
      <c r="F33">
        <v>800</v>
      </c>
      <c r="G33">
        <v>320</v>
      </c>
      <c r="H33">
        <v>320</v>
      </c>
    </row>
    <row r="34" spans="1:8" x14ac:dyDescent="0.2">
      <c r="A34">
        <v>33</v>
      </c>
      <c r="B34">
        <v>2960</v>
      </c>
      <c r="C34">
        <v>4800</v>
      </c>
      <c r="D34">
        <v>55450</v>
      </c>
      <c r="E34">
        <v>16500</v>
      </c>
      <c r="F34">
        <v>825</v>
      </c>
      <c r="G34">
        <v>330</v>
      </c>
      <c r="H34">
        <v>330</v>
      </c>
    </row>
    <row r="35" spans="1:8" x14ac:dyDescent="0.2">
      <c r="A35">
        <v>34</v>
      </c>
      <c r="B35">
        <v>3200</v>
      </c>
      <c r="C35">
        <v>5200</v>
      </c>
      <c r="D35">
        <v>60650</v>
      </c>
      <c r="E35">
        <v>17000</v>
      </c>
      <c r="F35">
        <v>850</v>
      </c>
      <c r="G35">
        <v>340</v>
      </c>
      <c r="H35">
        <v>340</v>
      </c>
    </row>
    <row r="36" spans="1:8" x14ac:dyDescent="0.2">
      <c r="A36">
        <v>35</v>
      </c>
      <c r="B36">
        <v>3440</v>
      </c>
      <c r="C36">
        <v>5600</v>
      </c>
      <c r="D36">
        <v>66250</v>
      </c>
      <c r="E36">
        <v>17500</v>
      </c>
      <c r="F36">
        <v>875</v>
      </c>
      <c r="G36">
        <v>350</v>
      </c>
      <c r="H36">
        <v>350</v>
      </c>
    </row>
    <row r="37" spans="1:8" x14ac:dyDescent="0.2">
      <c r="A37">
        <v>36</v>
      </c>
      <c r="B37">
        <v>3680</v>
      </c>
      <c r="C37">
        <v>6000</v>
      </c>
      <c r="D37">
        <v>72250</v>
      </c>
      <c r="E37">
        <v>18000</v>
      </c>
      <c r="F37">
        <v>900</v>
      </c>
      <c r="G37">
        <v>360</v>
      </c>
      <c r="H37">
        <v>360</v>
      </c>
    </row>
    <row r="38" spans="1:8" x14ac:dyDescent="0.2">
      <c r="A38">
        <v>37</v>
      </c>
      <c r="B38">
        <v>3920</v>
      </c>
      <c r="C38">
        <v>6400</v>
      </c>
      <c r="D38">
        <v>78650</v>
      </c>
      <c r="E38">
        <v>18500</v>
      </c>
      <c r="F38">
        <v>925</v>
      </c>
      <c r="G38">
        <v>370</v>
      </c>
      <c r="H38">
        <v>370</v>
      </c>
    </row>
    <row r="39" spans="1:8" x14ac:dyDescent="0.2">
      <c r="A39">
        <v>38</v>
      </c>
      <c r="B39">
        <v>4160</v>
      </c>
      <c r="C39">
        <v>6800</v>
      </c>
      <c r="D39">
        <v>85450</v>
      </c>
      <c r="E39">
        <v>19000</v>
      </c>
      <c r="F39">
        <v>950</v>
      </c>
      <c r="G39">
        <v>380</v>
      </c>
      <c r="H39">
        <v>380</v>
      </c>
    </row>
    <row r="40" spans="1:8" x14ac:dyDescent="0.2">
      <c r="A40">
        <v>39</v>
      </c>
      <c r="B40">
        <v>4400</v>
      </c>
      <c r="C40">
        <v>7200</v>
      </c>
      <c r="D40">
        <v>92650</v>
      </c>
      <c r="E40">
        <v>19500</v>
      </c>
      <c r="F40">
        <v>975</v>
      </c>
      <c r="G40">
        <v>390</v>
      </c>
      <c r="H40">
        <v>390</v>
      </c>
    </row>
    <row r="41" spans="1:8" x14ac:dyDescent="0.2">
      <c r="A41">
        <v>40</v>
      </c>
      <c r="B41">
        <v>4640</v>
      </c>
      <c r="C41">
        <v>7600</v>
      </c>
      <c r="D41">
        <v>100250</v>
      </c>
      <c r="E41">
        <v>20000</v>
      </c>
      <c r="F41">
        <v>1000</v>
      </c>
      <c r="G41">
        <v>400</v>
      </c>
      <c r="H41">
        <v>400</v>
      </c>
    </row>
    <row r="42" spans="1:8" x14ac:dyDescent="0.2">
      <c r="A42">
        <v>41</v>
      </c>
      <c r="B42">
        <v>5120</v>
      </c>
      <c r="C42">
        <v>8400</v>
      </c>
      <c r="D42">
        <v>108650</v>
      </c>
      <c r="E42">
        <v>20500</v>
      </c>
      <c r="F42">
        <v>1025</v>
      </c>
      <c r="G42">
        <v>410</v>
      </c>
      <c r="H42">
        <v>410</v>
      </c>
    </row>
    <row r="43" spans="1:8" x14ac:dyDescent="0.2">
      <c r="A43">
        <v>42</v>
      </c>
      <c r="B43">
        <v>5600</v>
      </c>
      <c r="C43">
        <v>9200</v>
      </c>
      <c r="D43">
        <v>117850</v>
      </c>
      <c r="E43">
        <v>21000</v>
      </c>
      <c r="F43">
        <v>1050</v>
      </c>
      <c r="G43">
        <v>420</v>
      </c>
      <c r="H43">
        <v>420</v>
      </c>
    </row>
    <row r="44" spans="1:8" x14ac:dyDescent="0.2">
      <c r="A44">
        <v>43</v>
      </c>
      <c r="B44">
        <v>6080</v>
      </c>
      <c r="C44">
        <v>10000</v>
      </c>
      <c r="D44">
        <v>127850</v>
      </c>
      <c r="E44">
        <v>21500</v>
      </c>
      <c r="F44">
        <v>1075</v>
      </c>
      <c r="G44">
        <v>430</v>
      </c>
      <c r="H44">
        <v>430</v>
      </c>
    </row>
    <row r="45" spans="1:8" x14ac:dyDescent="0.2">
      <c r="A45">
        <v>44</v>
      </c>
      <c r="B45">
        <v>6560</v>
      </c>
      <c r="C45">
        <v>10800</v>
      </c>
      <c r="D45">
        <v>138650</v>
      </c>
      <c r="E45">
        <v>22000</v>
      </c>
      <c r="F45">
        <v>1100</v>
      </c>
      <c r="G45">
        <v>440</v>
      </c>
      <c r="H45">
        <v>440</v>
      </c>
    </row>
    <row r="46" spans="1:8" x14ac:dyDescent="0.2">
      <c r="A46">
        <v>45</v>
      </c>
      <c r="B46">
        <v>7040</v>
      </c>
      <c r="C46">
        <v>11600</v>
      </c>
      <c r="D46">
        <v>150250</v>
      </c>
      <c r="E46">
        <v>22500</v>
      </c>
      <c r="F46">
        <v>1125</v>
      </c>
      <c r="G46">
        <v>450</v>
      </c>
      <c r="H46">
        <v>450</v>
      </c>
    </row>
    <row r="47" spans="1:8" x14ac:dyDescent="0.2">
      <c r="A47">
        <v>46</v>
      </c>
      <c r="B47">
        <v>7520</v>
      </c>
      <c r="C47">
        <v>12400</v>
      </c>
      <c r="D47">
        <v>162650</v>
      </c>
      <c r="E47">
        <v>23000</v>
      </c>
      <c r="F47">
        <v>1150</v>
      </c>
      <c r="G47">
        <v>460</v>
      </c>
      <c r="H47">
        <v>460</v>
      </c>
    </row>
    <row r="48" spans="1:8" x14ac:dyDescent="0.2">
      <c r="A48">
        <v>47</v>
      </c>
      <c r="B48">
        <v>8000</v>
      </c>
      <c r="C48">
        <v>13200</v>
      </c>
      <c r="D48">
        <v>175850</v>
      </c>
      <c r="E48">
        <v>23500</v>
      </c>
      <c r="F48">
        <v>1175</v>
      </c>
      <c r="G48">
        <v>470</v>
      </c>
      <c r="H48">
        <v>470</v>
      </c>
    </row>
    <row r="49" spans="1:8" x14ac:dyDescent="0.2">
      <c r="A49">
        <v>48</v>
      </c>
      <c r="B49">
        <v>8480</v>
      </c>
      <c r="C49">
        <v>14000</v>
      </c>
      <c r="D49">
        <v>189850</v>
      </c>
      <c r="E49">
        <v>24000</v>
      </c>
      <c r="F49">
        <v>1200</v>
      </c>
      <c r="G49">
        <v>480</v>
      </c>
      <c r="H49">
        <v>480</v>
      </c>
    </row>
    <row r="50" spans="1:8" x14ac:dyDescent="0.2">
      <c r="A50">
        <v>49</v>
      </c>
      <c r="B50">
        <v>8960</v>
      </c>
      <c r="C50">
        <v>14800</v>
      </c>
      <c r="D50">
        <v>204650</v>
      </c>
      <c r="E50">
        <v>24500</v>
      </c>
      <c r="F50">
        <v>1225</v>
      </c>
      <c r="G50">
        <v>490</v>
      </c>
      <c r="H50">
        <v>490</v>
      </c>
    </row>
    <row r="51" spans="1:8" x14ac:dyDescent="0.2">
      <c r="A51">
        <v>50</v>
      </c>
      <c r="B51">
        <v>9440</v>
      </c>
      <c r="C51">
        <v>15600</v>
      </c>
      <c r="D51">
        <v>220250</v>
      </c>
      <c r="E51">
        <v>25000</v>
      </c>
      <c r="F51">
        <v>1250</v>
      </c>
      <c r="G51">
        <v>500</v>
      </c>
      <c r="H51">
        <v>500</v>
      </c>
    </row>
    <row r="52" spans="1:8" x14ac:dyDescent="0.2">
      <c r="A52">
        <v>51</v>
      </c>
      <c r="B52">
        <v>10340</v>
      </c>
      <c r="C52">
        <v>17100</v>
      </c>
      <c r="D52">
        <v>237350</v>
      </c>
      <c r="E52">
        <v>25500</v>
      </c>
      <c r="F52">
        <v>1275</v>
      </c>
      <c r="G52">
        <v>510</v>
      </c>
      <c r="H52">
        <v>510</v>
      </c>
    </row>
    <row r="53" spans="1:8" x14ac:dyDescent="0.2">
      <c r="A53">
        <v>52</v>
      </c>
      <c r="B53">
        <v>11240</v>
      </c>
      <c r="C53">
        <v>18600</v>
      </c>
      <c r="D53">
        <v>255950</v>
      </c>
      <c r="E53">
        <v>26000</v>
      </c>
      <c r="F53">
        <v>1300</v>
      </c>
      <c r="G53">
        <v>520</v>
      </c>
      <c r="H53">
        <v>520</v>
      </c>
    </row>
    <row r="54" spans="1:8" x14ac:dyDescent="0.2">
      <c r="A54">
        <v>53</v>
      </c>
      <c r="B54">
        <v>12140</v>
      </c>
      <c r="C54">
        <v>20100</v>
      </c>
      <c r="D54">
        <v>276050</v>
      </c>
      <c r="E54">
        <v>26500</v>
      </c>
      <c r="F54">
        <v>1325</v>
      </c>
      <c r="G54">
        <v>530</v>
      </c>
      <c r="H54">
        <v>530</v>
      </c>
    </row>
    <row r="55" spans="1:8" x14ac:dyDescent="0.2">
      <c r="A55">
        <v>54</v>
      </c>
      <c r="B55">
        <v>13040</v>
      </c>
      <c r="C55">
        <v>21600</v>
      </c>
      <c r="D55">
        <v>297650</v>
      </c>
      <c r="E55">
        <v>27000</v>
      </c>
      <c r="F55">
        <v>1350</v>
      </c>
      <c r="G55">
        <v>540</v>
      </c>
      <c r="H55">
        <v>540</v>
      </c>
    </row>
    <row r="56" spans="1:8" x14ac:dyDescent="0.2">
      <c r="A56">
        <v>55</v>
      </c>
      <c r="B56">
        <v>13940</v>
      </c>
      <c r="C56">
        <v>23100</v>
      </c>
      <c r="D56">
        <v>320750</v>
      </c>
      <c r="E56">
        <v>27500</v>
      </c>
      <c r="F56">
        <v>1375</v>
      </c>
      <c r="G56">
        <v>550</v>
      </c>
      <c r="H56">
        <v>550</v>
      </c>
    </row>
    <row r="57" spans="1:8" x14ac:dyDescent="0.2">
      <c r="A57">
        <v>56</v>
      </c>
      <c r="B57">
        <v>14840</v>
      </c>
      <c r="C57">
        <v>24600</v>
      </c>
      <c r="D57">
        <v>345350</v>
      </c>
      <c r="E57">
        <v>28000</v>
      </c>
      <c r="F57">
        <v>1400</v>
      </c>
      <c r="G57">
        <v>560</v>
      </c>
      <c r="H57">
        <v>560</v>
      </c>
    </row>
    <row r="58" spans="1:8" x14ac:dyDescent="0.2">
      <c r="A58">
        <v>57</v>
      </c>
      <c r="B58">
        <v>15740</v>
      </c>
      <c r="C58">
        <v>26100</v>
      </c>
      <c r="D58">
        <v>371450</v>
      </c>
      <c r="E58">
        <v>28500</v>
      </c>
      <c r="F58">
        <v>1425</v>
      </c>
      <c r="G58">
        <v>570</v>
      </c>
      <c r="H58">
        <v>570</v>
      </c>
    </row>
    <row r="59" spans="1:8" x14ac:dyDescent="0.2">
      <c r="A59">
        <v>58</v>
      </c>
      <c r="B59">
        <v>16640</v>
      </c>
      <c r="C59">
        <v>27600</v>
      </c>
      <c r="D59">
        <v>399050</v>
      </c>
      <c r="E59">
        <v>29000</v>
      </c>
      <c r="F59">
        <v>1450</v>
      </c>
      <c r="G59">
        <v>580</v>
      </c>
      <c r="H59">
        <v>580</v>
      </c>
    </row>
    <row r="60" spans="1:8" x14ac:dyDescent="0.2">
      <c r="A60">
        <v>59</v>
      </c>
      <c r="B60">
        <v>17540</v>
      </c>
      <c r="C60">
        <v>29100</v>
      </c>
      <c r="D60">
        <v>428150</v>
      </c>
      <c r="E60">
        <v>29500</v>
      </c>
      <c r="F60">
        <v>1475</v>
      </c>
      <c r="G60">
        <v>590</v>
      </c>
      <c r="H60">
        <v>590</v>
      </c>
    </row>
    <row r="61" spans="1:8" x14ac:dyDescent="0.2">
      <c r="A61">
        <v>60</v>
      </c>
      <c r="B61">
        <v>18440</v>
      </c>
      <c r="C61">
        <v>30600</v>
      </c>
      <c r="D61">
        <v>458750</v>
      </c>
      <c r="E61">
        <v>30000</v>
      </c>
      <c r="F61">
        <v>1500</v>
      </c>
      <c r="G61">
        <v>600</v>
      </c>
      <c r="H61">
        <v>600</v>
      </c>
    </row>
    <row r="62" spans="1:8" x14ac:dyDescent="0.2">
      <c r="A62">
        <v>61</v>
      </c>
      <c r="B62">
        <v>19940</v>
      </c>
      <c r="C62">
        <v>33100</v>
      </c>
      <c r="D62">
        <v>491850</v>
      </c>
      <c r="E62">
        <v>30500</v>
      </c>
      <c r="F62">
        <v>1525</v>
      </c>
      <c r="G62">
        <v>610</v>
      </c>
      <c r="H62">
        <v>610</v>
      </c>
    </row>
    <row r="63" spans="1:8" x14ac:dyDescent="0.2">
      <c r="A63">
        <v>62</v>
      </c>
      <c r="B63">
        <v>21440</v>
      </c>
      <c r="C63">
        <v>35600</v>
      </c>
      <c r="D63">
        <v>527450</v>
      </c>
      <c r="E63">
        <v>31000</v>
      </c>
      <c r="F63">
        <v>1550</v>
      </c>
      <c r="G63">
        <v>620</v>
      </c>
      <c r="H63">
        <v>620</v>
      </c>
    </row>
    <row r="64" spans="1:8" x14ac:dyDescent="0.2">
      <c r="A64">
        <v>63</v>
      </c>
      <c r="B64">
        <v>22940</v>
      </c>
      <c r="C64">
        <v>38100</v>
      </c>
      <c r="D64">
        <v>565550</v>
      </c>
      <c r="E64">
        <v>31500</v>
      </c>
      <c r="F64">
        <v>1575</v>
      </c>
      <c r="G64">
        <v>630</v>
      </c>
      <c r="H64">
        <v>630</v>
      </c>
    </row>
    <row r="65" spans="1:8" x14ac:dyDescent="0.2">
      <c r="A65">
        <v>64</v>
      </c>
      <c r="B65">
        <v>24440</v>
      </c>
      <c r="C65">
        <v>40600</v>
      </c>
      <c r="D65">
        <v>606150</v>
      </c>
      <c r="E65">
        <v>32000</v>
      </c>
      <c r="F65">
        <v>1600</v>
      </c>
      <c r="G65">
        <v>640</v>
      </c>
      <c r="H65">
        <v>640</v>
      </c>
    </row>
    <row r="66" spans="1:8" x14ac:dyDescent="0.2">
      <c r="A66">
        <v>65</v>
      </c>
      <c r="B66">
        <v>25940</v>
      </c>
      <c r="C66">
        <v>43100</v>
      </c>
      <c r="D66">
        <v>649250</v>
      </c>
      <c r="E66">
        <v>32500</v>
      </c>
      <c r="F66">
        <v>1625</v>
      </c>
      <c r="G66">
        <v>650</v>
      </c>
      <c r="H66">
        <v>650</v>
      </c>
    </row>
    <row r="67" spans="1:8" x14ac:dyDescent="0.2">
      <c r="A67">
        <v>66</v>
      </c>
      <c r="B67">
        <v>27440</v>
      </c>
      <c r="C67">
        <v>45600</v>
      </c>
      <c r="D67">
        <v>694850</v>
      </c>
      <c r="E67">
        <v>33000</v>
      </c>
      <c r="F67">
        <v>1650</v>
      </c>
      <c r="G67">
        <v>660</v>
      </c>
      <c r="H67">
        <v>660</v>
      </c>
    </row>
    <row r="68" spans="1:8" x14ac:dyDescent="0.2">
      <c r="A68">
        <v>67</v>
      </c>
      <c r="B68">
        <v>28940</v>
      </c>
      <c r="C68">
        <v>48100</v>
      </c>
      <c r="D68">
        <v>742950</v>
      </c>
      <c r="E68">
        <v>33500</v>
      </c>
      <c r="F68">
        <v>1675</v>
      </c>
      <c r="G68">
        <v>670</v>
      </c>
      <c r="H68">
        <v>670</v>
      </c>
    </row>
    <row r="69" spans="1:8" x14ac:dyDescent="0.2">
      <c r="A69">
        <v>68</v>
      </c>
      <c r="B69">
        <v>30440</v>
      </c>
      <c r="C69">
        <v>50600</v>
      </c>
      <c r="D69">
        <v>793550</v>
      </c>
      <c r="E69">
        <v>34000</v>
      </c>
      <c r="F69">
        <v>1700</v>
      </c>
      <c r="G69">
        <v>680</v>
      </c>
      <c r="H69">
        <v>680</v>
      </c>
    </row>
    <row r="70" spans="1:8" x14ac:dyDescent="0.2">
      <c r="A70">
        <v>69</v>
      </c>
      <c r="B70">
        <v>31940</v>
      </c>
      <c r="C70">
        <v>53100</v>
      </c>
      <c r="D70">
        <v>846650</v>
      </c>
      <c r="E70">
        <v>34500</v>
      </c>
      <c r="F70">
        <v>1725</v>
      </c>
      <c r="G70">
        <v>690</v>
      </c>
      <c r="H70">
        <v>690</v>
      </c>
    </row>
    <row r="71" spans="1:8" x14ac:dyDescent="0.2">
      <c r="A71">
        <v>70</v>
      </c>
      <c r="B71">
        <v>33440</v>
      </c>
      <c r="C71">
        <v>55600</v>
      </c>
      <c r="D71">
        <v>902250</v>
      </c>
      <c r="E71">
        <v>35000</v>
      </c>
      <c r="F71">
        <v>1750</v>
      </c>
      <c r="G71">
        <v>700</v>
      </c>
      <c r="H71">
        <v>700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7CF4-73FA-45CE-9775-884F3411CFC2}">
  <dimension ref="A1:L13"/>
  <sheetViews>
    <sheetView workbookViewId="0">
      <selection activeCell="G23" sqref="G23"/>
    </sheetView>
  </sheetViews>
  <sheetFormatPr defaultRowHeight="14.25" x14ac:dyDescent="0.2"/>
  <cols>
    <col min="1" max="1" width="13" customWidth="1"/>
  </cols>
  <sheetData>
    <row r="1" spans="1:12" x14ac:dyDescent="0.2">
      <c r="A1" s="32" t="s">
        <v>89</v>
      </c>
      <c r="I1" s="32" t="s">
        <v>92</v>
      </c>
    </row>
    <row r="2" spans="1:12" x14ac:dyDescent="0.2">
      <c r="A2" s="1" t="s">
        <v>90</v>
      </c>
      <c r="B2">
        <v>30</v>
      </c>
      <c r="I2" s="1" t="s">
        <v>93</v>
      </c>
      <c r="J2" s="34">
        <v>120</v>
      </c>
      <c r="K2" s="1" t="s">
        <v>211</v>
      </c>
      <c r="L2" s="34">
        <v>100</v>
      </c>
    </row>
    <row r="3" spans="1:12" x14ac:dyDescent="0.2">
      <c r="A3" s="1" t="s">
        <v>91</v>
      </c>
      <c r="B3">
        <f>B2/10</f>
        <v>3</v>
      </c>
      <c r="I3" s="1" t="s">
        <v>209</v>
      </c>
      <c r="J3">
        <v>0</v>
      </c>
      <c r="K3" s="1" t="s">
        <v>95</v>
      </c>
      <c r="L3">
        <f>L2*10</f>
        <v>1000</v>
      </c>
    </row>
    <row r="4" spans="1:12" x14ac:dyDescent="0.2">
      <c r="A4" s="1" t="s">
        <v>201</v>
      </c>
      <c r="B4">
        <v>41</v>
      </c>
      <c r="I4" s="1" t="s">
        <v>94</v>
      </c>
      <c r="J4">
        <f>IF(J3=0,J2*相关定价!S2*2,J2*相关定价!S2*3)</f>
        <v>24000</v>
      </c>
    </row>
    <row r="5" spans="1:12" x14ac:dyDescent="0.2">
      <c r="A5" s="1" t="s">
        <v>97</v>
      </c>
      <c r="B5">
        <f>VLOOKUP(B2,强化调整表!A2:E61,5,0)</f>
        <v>42250</v>
      </c>
      <c r="C5" s="1" t="s">
        <v>96</v>
      </c>
      <c r="D5">
        <f>B5/相关定价!D2</f>
        <v>4225</v>
      </c>
      <c r="I5" s="1"/>
    </row>
    <row r="6" spans="1:12" x14ac:dyDescent="0.2">
      <c r="A6" s="1" t="s">
        <v>98</v>
      </c>
      <c r="B6">
        <f>B5*4</f>
        <v>169000</v>
      </c>
      <c r="C6" s="1" t="s">
        <v>96</v>
      </c>
      <c r="D6">
        <f>B6/10</f>
        <v>16900</v>
      </c>
      <c r="I6" s="1" t="s">
        <v>210</v>
      </c>
      <c r="J6">
        <f>J4+L3</f>
        <v>25000</v>
      </c>
    </row>
    <row r="7" spans="1:12" x14ac:dyDescent="0.2">
      <c r="A7" s="1" t="s">
        <v>203</v>
      </c>
      <c r="B7">
        <f>VLOOKUP(B4,性价比!W2:Y8,3,0)*VLOOKUP(B3,性价比!T3:U9,2,0)</f>
        <v>8</v>
      </c>
      <c r="C7" s="1" t="s">
        <v>202</v>
      </c>
      <c r="D7">
        <f>B7*相关定价!E3</f>
        <v>2800</v>
      </c>
    </row>
    <row r="8" spans="1:12" x14ac:dyDescent="0.2">
      <c r="A8" s="1" t="s">
        <v>204</v>
      </c>
      <c r="B8">
        <f>B7*4</f>
        <v>32</v>
      </c>
      <c r="C8" s="1" t="s">
        <v>202</v>
      </c>
      <c r="D8">
        <f>B8*相关定价!E3</f>
        <v>11200</v>
      </c>
    </row>
    <row r="9" spans="1:12" x14ac:dyDescent="0.2">
      <c r="A9" s="1" t="s">
        <v>207</v>
      </c>
      <c r="B9">
        <v>1</v>
      </c>
      <c r="C9" s="1" t="s">
        <v>202</v>
      </c>
      <c r="D9">
        <f>VLOOKUP(B4,性价比!W2:Y8,2,0)*B9</f>
        <v>100</v>
      </c>
    </row>
    <row r="10" spans="1:12" x14ac:dyDescent="0.2">
      <c r="A10" s="1" t="s">
        <v>206</v>
      </c>
      <c r="B10">
        <v>4</v>
      </c>
      <c r="C10" s="1" t="s">
        <v>202</v>
      </c>
      <c r="D10">
        <f>D9*B10</f>
        <v>400</v>
      </c>
    </row>
    <row r="11" spans="1:12" x14ac:dyDescent="0.2">
      <c r="A11" s="1" t="s">
        <v>208</v>
      </c>
    </row>
    <row r="12" spans="1:12" x14ac:dyDescent="0.2">
      <c r="B12" s="1" t="s">
        <v>205</v>
      </c>
      <c r="C12">
        <f>SUM(D5:D10)</f>
        <v>35625</v>
      </c>
    </row>
    <row r="13" spans="1:12" x14ac:dyDescent="0.2">
      <c r="D1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2070-A583-416B-86E8-8809E79E8C7D}">
  <dimension ref="A2:BN45"/>
  <sheetViews>
    <sheetView tabSelected="1" workbookViewId="0">
      <pane ySplit="2" topLeftCell="A18" activePane="bottomLeft" state="frozen"/>
      <selection pane="bottomLeft" activeCell="BM3" sqref="BM3:BM23"/>
    </sheetView>
  </sheetViews>
  <sheetFormatPr defaultRowHeight="14.25" x14ac:dyDescent="0.2"/>
  <cols>
    <col min="1" max="1" width="7.625" customWidth="1"/>
    <col min="2" max="2" width="9.25" customWidth="1"/>
    <col min="3" max="3" width="7.125" style="25" customWidth="1"/>
    <col min="4" max="6" width="7.125" customWidth="1"/>
    <col min="7" max="7" width="4.875" style="25" customWidth="1"/>
    <col min="8" max="8" width="4.875" customWidth="1"/>
    <col min="9" max="9" width="6.75" customWidth="1"/>
    <col min="10" max="10" width="7.375" customWidth="1"/>
    <col min="11" max="11" width="4.875" style="25" customWidth="1"/>
    <col min="12" max="13" width="4.875" customWidth="1"/>
    <col min="14" max="14" width="7.375" customWidth="1"/>
    <col min="15" max="15" width="4.875" style="25" customWidth="1"/>
    <col min="16" max="17" width="4.875" customWidth="1"/>
    <col min="18" max="18" width="6.75" customWidth="1"/>
    <col min="19" max="19" width="4.875" style="25" customWidth="1"/>
    <col min="20" max="21" width="4.875" customWidth="1"/>
    <col min="22" max="22" width="7.125" customWidth="1"/>
    <col min="23" max="23" width="4.875" style="25" customWidth="1"/>
    <col min="24" max="25" width="4.875" customWidth="1"/>
    <col min="26" max="26" width="6.625" customWidth="1"/>
    <col min="27" max="27" width="4.875" style="25" customWidth="1"/>
    <col min="28" max="29" width="4.875" customWidth="1"/>
    <col min="30" max="30" width="7.875" customWidth="1"/>
    <col min="31" max="31" width="4.875" style="25" customWidth="1"/>
    <col min="32" max="33" width="4.875" customWidth="1"/>
    <col min="34" max="34" width="6.5" customWidth="1"/>
    <col min="35" max="35" width="4.875" style="25" customWidth="1"/>
    <col min="36" max="37" width="4.875" customWidth="1"/>
    <col min="38" max="38" width="6.875" customWidth="1"/>
    <col min="39" max="39" width="4.875" style="25" customWidth="1"/>
    <col min="40" max="41" width="4.875" customWidth="1"/>
    <col min="42" max="42" width="6.75" customWidth="1"/>
    <col min="43" max="43" width="4.875" style="25" customWidth="1"/>
    <col min="44" max="45" width="4.875" customWidth="1"/>
    <col min="46" max="46" width="7.25" customWidth="1"/>
    <col min="47" max="47" width="4.875" style="25" customWidth="1"/>
    <col min="48" max="49" width="4.875" customWidth="1"/>
    <col min="50" max="50" width="6.625" customWidth="1"/>
    <col min="51" max="51" width="4.875" style="25" customWidth="1"/>
    <col min="52" max="52" width="4.875" customWidth="1"/>
    <col min="53" max="53" width="6.125" customWidth="1"/>
    <col min="54" max="54" width="6.375" customWidth="1"/>
    <col min="55" max="55" width="4.875" style="25" customWidth="1"/>
    <col min="56" max="57" width="4.875" customWidth="1"/>
    <col min="58" max="58" width="6.625" customWidth="1"/>
    <col min="59" max="59" width="4.875" style="25" customWidth="1"/>
    <col min="60" max="61" width="4.875" customWidth="1"/>
    <col min="62" max="62" width="7.125" customWidth="1"/>
    <col min="63" max="63" width="4.875" style="25" customWidth="1"/>
    <col min="64" max="65" width="4.875" customWidth="1"/>
    <col min="66" max="66" width="7.375" customWidth="1"/>
  </cols>
  <sheetData>
    <row r="2" spans="1:66" x14ac:dyDescent="0.2">
      <c r="A2" s="24" t="s">
        <v>71</v>
      </c>
      <c r="B2" s="24" t="s">
        <v>72</v>
      </c>
      <c r="C2" s="26" t="s">
        <v>263</v>
      </c>
      <c r="D2" s="24" t="s">
        <v>261</v>
      </c>
      <c r="E2" s="24"/>
      <c r="F2" s="24"/>
      <c r="G2" s="26" t="s">
        <v>264</v>
      </c>
      <c r="H2" s="24" t="s">
        <v>262</v>
      </c>
      <c r="I2" s="24"/>
      <c r="J2" s="24"/>
      <c r="K2" s="26" t="s">
        <v>265</v>
      </c>
      <c r="L2" s="24" t="s">
        <v>261</v>
      </c>
      <c r="M2" s="24"/>
      <c r="N2" s="24"/>
      <c r="O2" s="26" t="s">
        <v>266</v>
      </c>
      <c r="P2" s="24" t="s">
        <v>261</v>
      </c>
      <c r="Q2" s="24"/>
      <c r="R2" s="24"/>
      <c r="S2" s="26" t="s">
        <v>267</v>
      </c>
      <c r="T2" s="24" t="s">
        <v>261</v>
      </c>
      <c r="U2" s="24"/>
      <c r="V2" s="24"/>
      <c r="W2" s="26" t="s">
        <v>268</v>
      </c>
      <c r="X2" s="24" t="s">
        <v>261</v>
      </c>
      <c r="Y2" s="24"/>
      <c r="Z2" s="24"/>
      <c r="AA2" s="26" t="s">
        <v>269</v>
      </c>
      <c r="AB2" s="24" t="s">
        <v>261</v>
      </c>
      <c r="AC2" s="24"/>
      <c r="AD2" s="24"/>
      <c r="AE2" s="26" t="s">
        <v>270</v>
      </c>
      <c r="AF2" s="24" t="s">
        <v>261</v>
      </c>
      <c r="AG2" s="24"/>
      <c r="AH2" s="24"/>
      <c r="AI2" s="26" t="s">
        <v>78</v>
      </c>
      <c r="AJ2" s="24" t="s">
        <v>271</v>
      </c>
      <c r="AK2" s="24"/>
      <c r="AL2" s="24"/>
      <c r="AM2" s="26" t="s">
        <v>79</v>
      </c>
      <c r="AN2" s="24" t="s">
        <v>272</v>
      </c>
      <c r="AO2" s="24"/>
      <c r="AP2" s="24"/>
      <c r="AQ2" s="26" t="s">
        <v>80</v>
      </c>
      <c r="AR2" s="24" t="s">
        <v>272</v>
      </c>
      <c r="AS2" s="24"/>
      <c r="AT2" s="24"/>
      <c r="AU2" s="26" t="s">
        <v>81</v>
      </c>
      <c r="AV2" s="24" t="s">
        <v>271</v>
      </c>
      <c r="AW2" s="24"/>
      <c r="AX2" s="24"/>
      <c r="AY2" s="26" t="s">
        <v>82</v>
      </c>
      <c r="AZ2" s="24" t="s">
        <v>273</v>
      </c>
      <c r="BA2" s="24"/>
      <c r="BB2" s="24"/>
      <c r="BC2" s="26" t="s">
        <v>83</v>
      </c>
      <c r="BD2" s="24" t="s">
        <v>273</v>
      </c>
      <c r="BE2" s="24"/>
      <c r="BF2" s="24"/>
      <c r="BG2" s="26" t="s">
        <v>84</v>
      </c>
      <c r="BH2" s="24" t="s">
        <v>273</v>
      </c>
      <c r="BI2" s="24"/>
      <c r="BJ2" s="24"/>
      <c r="BK2" s="26" t="s">
        <v>85</v>
      </c>
      <c r="BL2" s="24" t="s">
        <v>273</v>
      </c>
      <c r="BM2" s="24"/>
      <c r="BN2" s="24"/>
    </row>
    <row r="3" spans="1:66" x14ac:dyDescent="0.2">
      <c r="A3" s="30" t="s">
        <v>34</v>
      </c>
      <c r="B3" s="30">
        <v>1</v>
      </c>
      <c r="C3" s="31">
        <v>625</v>
      </c>
      <c r="D3" s="30">
        <v>3</v>
      </c>
      <c r="E3" s="23">
        <f>F3/$D$2</f>
        <v>85</v>
      </c>
      <c r="F3">
        <f>进阶值!$C28</f>
        <v>850</v>
      </c>
      <c r="G3" s="31">
        <v>625</v>
      </c>
      <c r="H3" s="30">
        <v>1</v>
      </c>
      <c r="I3" s="23">
        <f>J3/$H$2</f>
        <v>1700</v>
      </c>
      <c r="J3">
        <f>进阶值!$C28</f>
        <v>850</v>
      </c>
      <c r="K3" s="31">
        <v>625</v>
      </c>
      <c r="L3" s="30" t="s">
        <v>73</v>
      </c>
      <c r="M3" s="23">
        <f>N3/$L$2</f>
        <v>85</v>
      </c>
      <c r="N3" s="30">
        <f>F3</f>
        <v>850</v>
      </c>
      <c r="O3" s="31">
        <v>625</v>
      </c>
      <c r="P3" s="30">
        <v>4</v>
      </c>
      <c r="Q3" s="23">
        <f>R3/$P$2</f>
        <v>85</v>
      </c>
      <c r="R3" s="30">
        <f>N3</f>
        <v>850</v>
      </c>
      <c r="S3" s="31">
        <v>625</v>
      </c>
      <c r="T3" s="30">
        <v>5</v>
      </c>
      <c r="U3" s="23">
        <f>V3/$T$2</f>
        <v>85</v>
      </c>
      <c r="V3" s="30">
        <f>F3</f>
        <v>850</v>
      </c>
      <c r="W3" s="31">
        <v>625</v>
      </c>
      <c r="X3" s="30">
        <v>6</v>
      </c>
      <c r="Y3" s="23">
        <f>Z3/$X$2</f>
        <v>85</v>
      </c>
      <c r="Z3" s="30">
        <f>F3</f>
        <v>850</v>
      </c>
      <c r="AA3" s="31">
        <v>625</v>
      </c>
      <c r="AB3" s="30">
        <v>7</v>
      </c>
      <c r="AC3" s="23">
        <f>AD3/$AB$2</f>
        <v>85</v>
      </c>
      <c r="AD3" s="30">
        <f>F3</f>
        <v>850</v>
      </c>
      <c r="AE3" s="31">
        <v>625</v>
      </c>
      <c r="AF3" s="30">
        <v>8</v>
      </c>
      <c r="AG3" s="23">
        <f>AH3/$AF$2</f>
        <v>85</v>
      </c>
      <c r="AH3" s="30">
        <f>F3</f>
        <v>850</v>
      </c>
      <c r="AI3" s="31">
        <v>625</v>
      </c>
      <c r="AJ3" s="30">
        <v>20</v>
      </c>
      <c r="AK3" s="30">
        <f>ROUND(AL3/$AJ$2,0)</f>
        <v>26</v>
      </c>
      <c r="AL3" s="30">
        <f>进阶值!D28</f>
        <v>1020</v>
      </c>
      <c r="AM3" s="31">
        <v>625</v>
      </c>
      <c r="AN3" s="30">
        <v>18</v>
      </c>
      <c r="AO3" s="30">
        <f>INT(ROUND(AP3/$AN$2,2))</f>
        <v>12</v>
      </c>
      <c r="AP3" s="30">
        <f>AL3</f>
        <v>1020</v>
      </c>
      <c r="AQ3" s="31">
        <v>625</v>
      </c>
      <c r="AR3" s="30">
        <v>19</v>
      </c>
      <c r="AS3" s="30">
        <f>INT(ROUND(AT3/$AR$2,2))</f>
        <v>12</v>
      </c>
      <c r="AT3" s="30">
        <f>AL3</f>
        <v>1020</v>
      </c>
      <c r="AU3" s="31">
        <v>625</v>
      </c>
      <c r="AV3" s="30">
        <v>21</v>
      </c>
      <c r="AW3" s="30">
        <f>ROUND(AX3/$AV$2,0)</f>
        <v>26</v>
      </c>
      <c r="AX3" s="30">
        <f>AT3</f>
        <v>1020</v>
      </c>
      <c r="AY3" s="31">
        <v>625</v>
      </c>
      <c r="AZ3" s="30">
        <v>22</v>
      </c>
      <c r="BA3" s="23">
        <f>BB3/$AZ$2</f>
        <v>51</v>
      </c>
      <c r="BB3" s="30">
        <f>AX3</f>
        <v>1020</v>
      </c>
      <c r="BC3" s="31">
        <v>625</v>
      </c>
      <c r="BD3" s="30">
        <v>23</v>
      </c>
      <c r="BE3" s="23">
        <f>BF3/$BD$2</f>
        <v>51</v>
      </c>
      <c r="BF3" s="30">
        <f>BB3</f>
        <v>1020</v>
      </c>
      <c r="BG3" s="31">
        <v>625</v>
      </c>
      <c r="BH3" s="30">
        <v>24</v>
      </c>
      <c r="BI3" s="23">
        <f>BJ3/$BH$2</f>
        <v>51</v>
      </c>
      <c r="BJ3" s="30">
        <f>BF3</f>
        <v>1020</v>
      </c>
      <c r="BK3" s="31">
        <v>625</v>
      </c>
      <c r="BL3" s="30">
        <v>25</v>
      </c>
      <c r="BM3" s="23">
        <f>BN3/$BL$2</f>
        <v>51</v>
      </c>
      <c r="BN3" s="30">
        <f>BJ3</f>
        <v>1020</v>
      </c>
    </row>
    <row r="4" spans="1:66" x14ac:dyDescent="0.2">
      <c r="A4" s="23" t="s">
        <v>34</v>
      </c>
      <c r="B4" s="23" t="s">
        <v>73</v>
      </c>
      <c r="C4" s="27">
        <v>625</v>
      </c>
      <c r="D4" s="30">
        <v>3</v>
      </c>
      <c r="E4" s="23">
        <f t="shared" ref="E4:E23" si="0">F4/$D$2</f>
        <v>95</v>
      </c>
      <c r="F4">
        <f>进阶值!$C29</f>
        <v>950</v>
      </c>
      <c r="G4" s="31">
        <v>625</v>
      </c>
      <c r="H4" s="30">
        <v>1</v>
      </c>
      <c r="I4" s="23">
        <f t="shared" ref="I4:I23" si="1">J4/$H$2</f>
        <v>1900</v>
      </c>
      <c r="J4">
        <f>进阶值!$C29</f>
        <v>950</v>
      </c>
      <c r="K4" s="31">
        <v>625</v>
      </c>
      <c r="L4" s="23" t="s">
        <v>73</v>
      </c>
      <c r="M4" s="23">
        <f t="shared" ref="M4:M23" si="2">N4/$L$2</f>
        <v>95</v>
      </c>
      <c r="N4" s="30">
        <f t="shared" ref="N4:N23" si="3">F4</f>
        <v>950</v>
      </c>
      <c r="O4" s="31">
        <v>625</v>
      </c>
      <c r="P4" s="23">
        <v>4</v>
      </c>
      <c r="Q4" s="23">
        <f t="shared" ref="Q4:Q23" si="4">R4/$P$2</f>
        <v>95</v>
      </c>
      <c r="R4" s="30">
        <f t="shared" ref="R4:R23" si="5">N4</f>
        <v>950</v>
      </c>
      <c r="S4" s="31">
        <v>625</v>
      </c>
      <c r="T4" s="30">
        <v>5</v>
      </c>
      <c r="U4" s="23">
        <f t="shared" ref="U4:U23" si="6">V4/$T$2</f>
        <v>95</v>
      </c>
      <c r="V4" s="30">
        <f t="shared" ref="V4:V23" si="7">F4</f>
        <v>950</v>
      </c>
      <c r="W4" s="31">
        <v>625</v>
      </c>
      <c r="X4" s="30">
        <v>6</v>
      </c>
      <c r="Y4" s="23">
        <f t="shared" ref="Y4:Y23" si="8">Z4/$X$2</f>
        <v>95</v>
      </c>
      <c r="Z4" s="30">
        <f t="shared" ref="Z4:Z23" si="9">F4</f>
        <v>950</v>
      </c>
      <c r="AA4" s="31">
        <v>625</v>
      </c>
      <c r="AB4" s="30">
        <v>7</v>
      </c>
      <c r="AC4" s="23">
        <f t="shared" ref="AC4:AC23" si="10">AD4/$AB$2</f>
        <v>95</v>
      </c>
      <c r="AD4" s="30">
        <f t="shared" ref="AD4:AD23" si="11">F4</f>
        <v>950</v>
      </c>
      <c r="AE4" s="31">
        <v>625</v>
      </c>
      <c r="AF4" s="30">
        <v>8</v>
      </c>
      <c r="AG4" s="23">
        <f t="shared" ref="AG4:AG23" si="12">AH4/$AF$2</f>
        <v>95</v>
      </c>
      <c r="AH4" s="30">
        <f t="shared" ref="AH4:AH23" si="13">F4</f>
        <v>950</v>
      </c>
      <c r="AI4" s="31">
        <v>625</v>
      </c>
      <c r="AJ4" s="30">
        <v>20</v>
      </c>
      <c r="AK4" s="30">
        <f t="shared" ref="AK4:AK23" si="14">ROUND(AL4/$AJ$2,0)</f>
        <v>29</v>
      </c>
      <c r="AL4" s="30">
        <f>进阶值!D29</f>
        <v>1140</v>
      </c>
      <c r="AM4" s="31">
        <v>625</v>
      </c>
      <c r="AN4" s="30">
        <v>18</v>
      </c>
      <c r="AO4" s="30">
        <f t="shared" ref="AO4:AO23" si="15">INT(ROUND(AP4/$AN$2,2))</f>
        <v>14</v>
      </c>
      <c r="AP4" s="30">
        <f t="shared" ref="AP4:AP23" si="16">AL4</f>
        <v>1140</v>
      </c>
      <c r="AQ4" s="31">
        <v>625</v>
      </c>
      <c r="AR4" s="30">
        <v>19</v>
      </c>
      <c r="AS4" s="30">
        <f t="shared" ref="AS4:AS23" si="17">INT(ROUND(AT4/$AR$2,2))</f>
        <v>14</v>
      </c>
      <c r="AT4" s="30">
        <f t="shared" ref="AT4:AT23" si="18">AL4</f>
        <v>1140</v>
      </c>
      <c r="AU4" s="31">
        <v>625</v>
      </c>
      <c r="AV4" s="30">
        <v>21</v>
      </c>
      <c r="AW4" s="30">
        <f t="shared" ref="AW4:AW23" si="19">ROUND(AX4/$AV$2,0)</f>
        <v>29</v>
      </c>
      <c r="AX4" s="30">
        <f t="shared" ref="AX4:AX23" si="20">AT4</f>
        <v>1140</v>
      </c>
      <c r="AY4" s="31">
        <v>625</v>
      </c>
      <c r="AZ4" s="30">
        <v>22</v>
      </c>
      <c r="BA4" s="23">
        <f t="shared" ref="BA4:BA23" si="21">BB4/$AZ$2</f>
        <v>57</v>
      </c>
      <c r="BB4" s="30">
        <f t="shared" ref="BB4:BB23" si="22">AX4</f>
        <v>1140</v>
      </c>
      <c r="BC4" s="31">
        <v>625</v>
      </c>
      <c r="BD4" s="30">
        <v>23</v>
      </c>
      <c r="BE4" s="23">
        <f t="shared" ref="BE4:BE23" si="23">BF4/$BD$2</f>
        <v>57</v>
      </c>
      <c r="BF4" s="30">
        <f t="shared" ref="BF4:BF23" si="24">BB4</f>
        <v>1140</v>
      </c>
      <c r="BG4" s="31">
        <v>625</v>
      </c>
      <c r="BH4" s="30">
        <v>24</v>
      </c>
      <c r="BI4" s="23">
        <f t="shared" ref="BI4:BI23" si="25">BJ4/$BH$2</f>
        <v>57</v>
      </c>
      <c r="BJ4" s="30">
        <f t="shared" ref="BJ4:BJ23" si="26">BF4</f>
        <v>1140</v>
      </c>
      <c r="BK4" s="31">
        <v>625</v>
      </c>
      <c r="BL4" s="30">
        <v>25</v>
      </c>
      <c r="BM4" s="23">
        <f t="shared" ref="BM4:BM23" si="27">BN4/$BL$2</f>
        <v>57</v>
      </c>
      <c r="BN4" s="30">
        <f t="shared" ref="BN4:BN23" si="28">BJ4</f>
        <v>1140</v>
      </c>
    </row>
    <row r="5" spans="1:66" x14ac:dyDescent="0.2">
      <c r="A5" s="23" t="s">
        <v>34</v>
      </c>
      <c r="B5" s="23" t="s">
        <v>74</v>
      </c>
      <c r="C5" s="27">
        <v>625</v>
      </c>
      <c r="D5" s="30">
        <v>3</v>
      </c>
      <c r="E5" s="23">
        <f t="shared" si="0"/>
        <v>105</v>
      </c>
      <c r="F5">
        <f>进阶值!$C30</f>
        <v>1050</v>
      </c>
      <c r="G5" s="31">
        <v>625</v>
      </c>
      <c r="H5" s="30">
        <v>1</v>
      </c>
      <c r="I5" s="23">
        <f t="shared" si="1"/>
        <v>2100</v>
      </c>
      <c r="J5">
        <f>进阶值!$C30</f>
        <v>1050</v>
      </c>
      <c r="K5" s="31">
        <v>625</v>
      </c>
      <c r="L5" s="23" t="s">
        <v>73</v>
      </c>
      <c r="M5" s="23">
        <f t="shared" si="2"/>
        <v>105</v>
      </c>
      <c r="N5" s="30">
        <f t="shared" si="3"/>
        <v>1050</v>
      </c>
      <c r="O5" s="31">
        <v>625</v>
      </c>
      <c r="P5" s="23">
        <v>4</v>
      </c>
      <c r="Q5" s="23">
        <f t="shared" si="4"/>
        <v>105</v>
      </c>
      <c r="R5" s="30">
        <f t="shared" si="5"/>
        <v>1050</v>
      </c>
      <c r="S5" s="31">
        <v>625</v>
      </c>
      <c r="T5" s="30">
        <v>5</v>
      </c>
      <c r="U5" s="23">
        <f t="shared" si="6"/>
        <v>105</v>
      </c>
      <c r="V5" s="30">
        <f t="shared" si="7"/>
        <v>1050</v>
      </c>
      <c r="W5" s="31">
        <v>625</v>
      </c>
      <c r="X5" s="30">
        <v>6</v>
      </c>
      <c r="Y5" s="23">
        <f t="shared" si="8"/>
        <v>105</v>
      </c>
      <c r="Z5" s="30">
        <f t="shared" si="9"/>
        <v>1050</v>
      </c>
      <c r="AA5" s="31">
        <v>625</v>
      </c>
      <c r="AB5" s="30">
        <v>7</v>
      </c>
      <c r="AC5" s="23">
        <f t="shared" si="10"/>
        <v>105</v>
      </c>
      <c r="AD5" s="30">
        <f t="shared" si="11"/>
        <v>1050</v>
      </c>
      <c r="AE5" s="31">
        <v>625</v>
      </c>
      <c r="AF5" s="30">
        <v>8</v>
      </c>
      <c r="AG5" s="23">
        <f t="shared" si="12"/>
        <v>105</v>
      </c>
      <c r="AH5" s="30">
        <f t="shared" si="13"/>
        <v>1050</v>
      </c>
      <c r="AI5" s="31">
        <v>625</v>
      </c>
      <c r="AJ5" s="30">
        <v>20</v>
      </c>
      <c r="AK5" s="30">
        <f t="shared" si="14"/>
        <v>32</v>
      </c>
      <c r="AL5" s="30">
        <f>进阶值!D30</f>
        <v>1260</v>
      </c>
      <c r="AM5" s="31">
        <v>625</v>
      </c>
      <c r="AN5" s="30">
        <v>18</v>
      </c>
      <c r="AO5" s="30">
        <f t="shared" si="15"/>
        <v>15</v>
      </c>
      <c r="AP5" s="30">
        <f t="shared" si="16"/>
        <v>1260</v>
      </c>
      <c r="AQ5" s="31">
        <v>625</v>
      </c>
      <c r="AR5" s="30">
        <v>19</v>
      </c>
      <c r="AS5" s="30">
        <f t="shared" si="17"/>
        <v>15</v>
      </c>
      <c r="AT5" s="30">
        <f t="shared" si="18"/>
        <v>1260</v>
      </c>
      <c r="AU5" s="31">
        <v>625</v>
      </c>
      <c r="AV5" s="30">
        <v>21</v>
      </c>
      <c r="AW5" s="30">
        <f t="shared" si="19"/>
        <v>32</v>
      </c>
      <c r="AX5" s="30">
        <f t="shared" si="20"/>
        <v>1260</v>
      </c>
      <c r="AY5" s="31">
        <v>625</v>
      </c>
      <c r="AZ5" s="30">
        <v>22</v>
      </c>
      <c r="BA5" s="23">
        <f t="shared" si="21"/>
        <v>63</v>
      </c>
      <c r="BB5" s="30">
        <f t="shared" si="22"/>
        <v>1260</v>
      </c>
      <c r="BC5" s="31">
        <v>625</v>
      </c>
      <c r="BD5" s="30">
        <v>23</v>
      </c>
      <c r="BE5" s="23">
        <f t="shared" si="23"/>
        <v>63</v>
      </c>
      <c r="BF5" s="30">
        <f t="shared" si="24"/>
        <v>1260</v>
      </c>
      <c r="BG5" s="31">
        <v>625</v>
      </c>
      <c r="BH5" s="30">
        <v>24</v>
      </c>
      <c r="BI5" s="23">
        <f t="shared" si="25"/>
        <v>63</v>
      </c>
      <c r="BJ5" s="30">
        <f t="shared" si="26"/>
        <v>1260</v>
      </c>
      <c r="BK5" s="31">
        <v>625</v>
      </c>
      <c r="BL5" s="30">
        <v>25</v>
      </c>
      <c r="BM5" s="23">
        <f t="shared" si="27"/>
        <v>63</v>
      </c>
      <c r="BN5" s="30">
        <f t="shared" si="28"/>
        <v>1260</v>
      </c>
    </row>
    <row r="6" spans="1:66" x14ac:dyDescent="0.2">
      <c r="A6" s="23" t="s">
        <v>34</v>
      </c>
      <c r="B6" s="23" t="s">
        <v>75</v>
      </c>
      <c r="C6" s="27">
        <v>625</v>
      </c>
      <c r="D6" s="30">
        <v>3</v>
      </c>
      <c r="E6" s="23">
        <f t="shared" si="0"/>
        <v>115</v>
      </c>
      <c r="F6">
        <f>进阶值!$C31</f>
        <v>1150</v>
      </c>
      <c r="G6" s="31">
        <v>625</v>
      </c>
      <c r="H6" s="30">
        <v>1</v>
      </c>
      <c r="I6" s="23">
        <f t="shared" si="1"/>
        <v>2300</v>
      </c>
      <c r="J6">
        <f>进阶值!$C31</f>
        <v>1150</v>
      </c>
      <c r="K6" s="31">
        <v>625</v>
      </c>
      <c r="L6" s="23" t="s">
        <v>73</v>
      </c>
      <c r="M6" s="23">
        <f t="shared" si="2"/>
        <v>115</v>
      </c>
      <c r="N6" s="30">
        <f t="shared" si="3"/>
        <v>1150</v>
      </c>
      <c r="O6" s="31">
        <v>625</v>
      </c>
      <c r="P6" s="23">
        <v>4</v>
      </c>
      <c r="Q6" s="23">
        <f t="shared" si="4"/>
        <v>115</v>
      </c>
      <c r="R6" s="30">
        <f t="shared" si="5"/>
        <v>1150</v>
      </c>
      <c r="S6" s="31">
        <v>625</v>
      </c>
      <c r="T6" s="30">
        <v>5</v>
      </c>
      <c r="U6" s="23">
        <f t="shared" si="6"/>
        <v>115</v>
      </c>
      <c r="V6" s="30">
        <f t="shared" si="7"/>
        <v>1150</v>
      </c>
      <c r="W6" s="31">
        <v>625</v>
      </c>
      <c r="X6" s="30">
        <v>6</v>
      </c>
      <c r="Y6" s="23">
        <f t="shared" si="8"/>
        <v>115</v>
      </c>
      <c r="Z6" s="30">
        <f t="shared" si="9"/>
        <v>1150</v>
      </c>
      <c r="AA6" s="31">
        <v>625</v>
      </c>
      <c r="AB6" s="30">
        <v>7</v>
      </c>
      <c r="AC6" s="23">
        <f t="shared" si="10"/>
        <v>115</v>
      </c>
      <c r="AD6" s="30">
        <f t="shared" si="11"/>
        <v>1150</v>
      </c>
      <c r="AE6" s="31">
        <v>625</v>
      </c>
      <c r="AF6" s="30">
        <v>8</v>
      </c>
      <c r="AG6" s="23">
        <f t="shared" si="12"/>
        <v>115</v>
      </c>
      <c r="AH6" s="30">
        <f t="shared" si="13"/>
        <v>1150</v>
      </c>
      <c r="AI6" s="31">
        <v>625</v>
      </c>
      <c r="AJ6" s="30">
        <v>20</v>
      </c>
      <c r="AK6" s="30">
        <f t="shared" si="14"/>
        <v>35</v>
      </c>
      <c r="AL6" s="30">
        <f>进阶值!D31</f>
        <v>1380</v>
      </c>
      <c r="AM6" s="31">
        <v>625</v>
      </c>
      <c r="AN6" s="30">
        <v>18</v>
      </c>
      <c r="AO6" s="30">
        <f t="shared" si="15"/>
        <v>17</v>
      </c>
      <c r="AP6" s="30">
        <f t="shared" si="16"/>
        <v>1380</v>
      </c>
      <c r="AQ6" s="31">
        <v>625</v>
      </c>
      <c r="AR6" s="30">
        <v>19</v>
      </c>
      <c r="AS6" s="30">
        <f t="shared" si="17"/>
        <v>17</v>
      </c>
      <c r="AT6" s="30">
        <f t="shared" si="18"/>
        <v>1380</v>
      </c>
      <c r="AU6" s="31">
        <v>625</v>
      </c>
      <c r="AV6" s="30">
        <v>21</v>
      </c>
      <c r="AW6" s="30">
        <f t="shared" si="19"/>
        <v>35</v>
      </c>
      <c r="AX6" s="30">
        <f t="shared" si="20"/>
        <v>1380</v>
      </c>
      <c r="AY6" s="31">
        <v>625</v>
      </c>
      <c r="AZ6" s="30">
        <v>22</v>
      </c>
      <c r="BA6" s="23">
        <f t="shared" si="21"/>
        <v>69</v>
      </c>
      <c r="BB6" s="30">
        <f t="shared" si="22"/>
        <v>1380</v>
      </c>
      <c r="BC6" s="31">
        <v>625</v>
      </c>
      <c r="BD6" s="30">
        <v>23</v>
      </c>
      <c r="BE6" s="23">
        <f t="shared" si="23"/>
        <v>69</v>
      </c>
      <c r="BF6" s="30">
        <f t="shared" si="24"/>
        <v>1380</v>
      </c>
      <c r="BG6" s="31">
        <v>625</v>
      </c>
      <c r="BH6" s="30">
        <v>24</v>
      </c>
      <c r="BI6" s="23">
        <f t="shared" si="25"/>
        <v>69</v>
      </c>
      <c r="BJ6" s="30">
        <f t="shared" si="26"/>
        <v>1380</v>
      </c>
      <c r="BK6" s="31">
        <v>625</v>
      </c>
      <c r="BL6" s="30">
        <v>25</v>
      </c>
      <c r="BM6" s="23">
        <f t="shared" si="27"/>
        <v>69</v>
      </c>
      <c r="BN6" s="30">
        <f t="shared" si="28"/>
        <v>1380</v>
      </c>
    </row>
    <row r="7" spans="1:66" x14ac:dyDescent="0.2">
      <c r="A7" s="23" t="s">
        <v>34</v>
      </c>
      <c r="B7" s="23" t="s">
        <v>76</v>
      </c>
      <c r="C7" s="27">
        <v>625</v>
      </c>
      <c r="D7" s="30">
        <v>3</v>
      </c>
      <c r="E7" s="23">
        <f t="shared" si="0"/>
        <v>125</v>
      </c>
      <c r="F7">
        <f>进阶值!$C32</f>
        <v>1250</v>
      </c>
      <c r="G7" s="31">
        <v>625</v>
      </c>
      <c r="H7" s="30">
        <v>1</v>
      </c>
      <c r="I7" s="23">
        <f t="shared" si="1"/>
        <v>2500</v>
      </c>
      <c r="J7">
        <f>进阶值!$C32</f>
        <v>1250</v>
      </c>
      <c r="K7" s="31">
        <v>625</v>
      </c>
      <c r="L7" s="23" t="s">
        <v>73</v>
      </c>
      <c r="M7" s="23">
        <f t="shared" si="2"/>
        <v>125</v>
      </c>
      <c r="N7" s="30">
        <f t="shared" si="3"/>
        <v>1250</v>
      </c>
      <c r="O7" s="31">
        <v>625</v>
      </c>
      <c r="P7" s="23">
        <v>4</v>
      </c>
      <c r="Q7" s="23">
        <f t="shared" si="4"/>
        <v>125</v>
      </c>
      <c r="R7" s="30">
        <f t="shared" si="5"/>
        <v>1250</v>
      </c>
      <c r="S7" s="31">
        <v>625</v>
      </c>
      <c r="T7" s="30">
        <v>5</v>
      </c>
      <c r="U7" s="23">
        <f t="shared" si="6"/>
        <v>125</v>
      </c>
      <c r="V7" s="30">
        <f t="shared" si="7"/>
        <v>1250</v>
      </c>
      <c r="W7" s="31">
        <v>625</v>
      </c>
      <c r="X7" s="30">
        <v>6</v>
      </c>
      <c r="Y7" s="23">
        <f t="shared" si="8"/>
        <v>125</v>
      </c>
      <c r="Z7" s="30">
        <f t="shared" si="9"/>
        <v>1250</v>
      </c>
      <c r="AA7" s="31">
        <v>625</v>
      </c>
      <c r="AB7" s="30">
        <v>7</v>
      </c>
      <c r="AC7" s="23">
        <f t="shared" si="10"/>
        <v>125</v>
      </c>
      <c r="AD7" s="30">
        <f t="shared" si="11"/>
        <v>1250</v>
      </c>
      <c r="AE7" s="31">
        <v>625</v>
      </c>
      <c r="AF7" s="30">
        <v>8</v>
      </c>
      <c r="AG7" s="23">
        <f t="shared" si="12"/>
        <v>125</v>
      </c>
      <c r="AH7" s="30">
        <f t="shared" si="13"/>
        <v>1250</v>
      </c>
      <c r="AI7" s="31">
        <v>625</v>
      </c>
      <c r="AJ7" s="30">
        <v>20</v>
      </c>
      <c r="AK7" s="30">
        <f t="shared" si="14"/>
        <v>38</v>
      </c>
      <c r="AL7" s="30">
        <f>进阶值!D32</f>
        <v>1500</v>
      </c>
      <c r="AM7" s="31">
        <v>625</v>
      </c>
      <c r="AN7" s="30">
        <v>18</v>
      </c>
      <c r="AO7" s="30">
        <f t="shared" si="15"/>
        <v>18</v>
      </c>
      <c r="AP7" s="30">
        <f t="shared" si="16"/>
        <v>1500</v>
      </c>
      <c r="AQ7" s="31">
        <v>625</v>
      </c>
      <c r="AR7" s="30">
        <v>19</v>
      </c>
      <c r="AS7" s="30">
        <f t="shared" si="17"/>
        <v>18</v>
      </c>
      <c r="AT7" s="30">
        <f t="shared" si="18"/>
        <v>1500</v>
      </c>
      <c r="AU7" s="31">
        <v>625</v>
      </c>
      <c r="AV7" s="30">
        <v>21</v>
      </c>
      <c r="AW7" s="30">
        <f t="shared" si="19"/>
        <v>38</v>
      </c>
      <c r="AX7" s="30">
        <f t="shared" si="20"/>
        <v>1500</v>
      </c>
      <c r="AY7" s="31">
        <v>625</v>
      </c>
      <c r="AZ7" s="30">
        <v>22</v>
      </c>
      <c r="BA7" s="23">
        <f t="shared" si="21"/>
        <v>75</v>
      </c>
      <c r="BB7" s="30">
        <f t="shared" si="22"/>
        <v>1500</v>
      </c>
      <c r="BC7" s="31">
        <v>625</v>
      </c>
      <c r="BD7" s="30">
        <v>23</v>
      </c>
      <c r="BE7" s="23">
        <f t="shared" si="23"/>
        <v>75</v>
      </c>
      <c r="BF7" s="30">
        <f t="shared" si="24"/>
        <v>1500</v>
      </c>
      <c r="BG7" s="31">
        <v>625</v>
      </c>
      <c r="BH7" s="30">
        <v>24</v>
      </c>
      <c r="BI7" s="23">
        <f t="shared" si="25"/>
        <v>75</v>
      </c>
      <c r="BJ7" s="30">
        <f t="shared" si="26"/>
        <v>1500</v>
      </c>
      <c r="BK7" s="31">
        <v>625</v>
      </c>
      <c r="BL7" s="30">
        <v>25</v>
      </c>
      <c r="BM7" s="23">
        <f t="shared" si="27"/>
        <v>75</v>
      </c>
      <c r="BN7" s="30">
        <f t="shared" si="28"/>
        <v>1500</v>
      </c>
    </row>
    <row r="8" spans="1:66" x14ac:dyDescent="0.2">
      <c r="A8" s="23" t="s">
        <v>34</v>
      </c>
      <c r="B8" s="23" t="s">
        <v>77</v>
      </c>
      <c r="C8" s="27">
        <v>625</v>
      </c>
      <c r="D8" s="30">
        <v>3</v>
      </c>
      <c r="E8" s="23">
        <f t="shared" si="0"/>
        <v>135</v>
      </c>
      <c r="F8">
        <f>进阶值!$C33</f>
        <v>1350</v>
      </c>
      <c r="G8" s="31">
        <v>625</v>
      </c>
      <c r="H8" s="30">
        <v>1</v>
      </c>
      <c r="I8" s="23">
        <f t="shared" si="1"/>
        <v>2700</v>
      </c>
      <c r="J8">
        <f>进阶值!$C33</f>
        <v>1350</v>
      </c>
      <c r="K8" s="31">
        <v>625</v>
      </c>
      <c r="L8" s="23" t="s">
        <v>73</v>
      </c>
      <c r="M8" s="23">
        <f t="shared" si="2"/>
        <v>135</v>
      </c>
      <c r="N8" s="30">
        <f t="shared" si="3"/>
        <v>1350</v>
      </c>
      <c r="O8" s="31">
        <v>625</v>
      </c>
      <c r="P8" s="23">
        <v>4</v>
      </c>
      <c r="Q8" s="23">
        <f t="shared" si="4"/>
        <v>135</v>
      </c>
      <c r="R8" s="30">
        <f t="shared" si="5"/>
        <v>1350</v>
      </c>
      <c r="S8" s="31">
        <v>625</v>
      </c>
      <c r="T8" s="30">
        <v>5</v>
      </c>
      <c r="U8" s="23">
        <f t="shared" si="6"/>
        <v>135</v>
      </c>
      <c r="V8" s="30">
        <f t="shared" si="7"/>
        <v>1350</v>
      </c>
      <c r="W8" s="31">
        <v>625</v>
      </c>
      <c r="X8" s="30">
        <v>6</v>
      </c>
      <c r="Y8" s="23">
        <f t="shared" si="8"/>
        <v>135</v>
      </c>
      <c r="Z8" s="30">
        <f t="shared" si="9"/>
        <v>1350</v>
      </c>
      <c r="AA8" s="31">
        <v>625</v>
      </c>
      <c r="AB8" s="30">
        <v>7</v>
      </c>
      <c r="AC8" s="23">
        <f t="shared" si="10"/>
        <v>135</v>
      </c>
      <c r="AD8" s="30">
        <f t="shared" si="11"/>
        <v>1350</v>
      </c>
      <c r="AE8" s="31">
        <v>625</v>
      </c>
      <c r="AF8" s="30">
        <v>8</v>
      </c>
      <c r="AG8" s="23">
        <f t="shared" si="12"/>
        <v>135</v>
      </c>
      <c r="AH8" s="30">
        <f t="shared" si="13"/>
        <v>1350</v>
      </c>
      <c r="AI8" s="31">
        <v>625</v>
      </c>
      <c r="AJ8" s="30">
        <v>20</v>
      </c>
      <c r="AK8" s="30">
        <f t="shared" si="14"/>
        <v>41</v>
      </c>
      <c r="AL8" s="30">
        <f>进阶值!D33</f>
        <v>1620</v>
      </c>
      <c r="AM8" s="31">
        <v>625</v>
      </c>
      <c r="AN8" s="30">
        <v>18</v>
      </c>
      <c r="AO8" s="30">
        <f t="shared" si="15"/>
        <v>20</v>
      </c>
      <c r="AP8" s="30">
        <f t="shared" si="16"/>
        <v>1620</v>
      </c>
      <c r="AQ8" s="31">
        <v>625</v>
      </c>
      <c r="AR8" s="30">
        <v>19</v>
      </c>
      <c r="AS8" s="30">
        <f t="shared" si="17"/>
        <v>20</v>
      </c>
      <c r="AT8" s="30">
        <f t="shared" si="18"/>
        <v>1620</v>
      </c>
      <c r="AU8" s="31">
        <v>625</v>
      </c>
      <c r="AV8" s="30">
        <v>21</v>
      </c>
      <c r="AW8" s="30">
        <f t="shared" si="19"/>
        <v>41</v>
      </c>
      <c r="AX8" s="30">
        <f t="shared" si="20"/>
        <v>1620</v>
      </c>
      <c r="AY8" s="31">
        <v>625</v>
      </c>
      <c r="AZ8" s="30">
        <v>22</v>
      </c>
      <c r="BA8" s="23">
        <f t="shared" si="21"/>
        <v>81</v>
      </c>
      <c r="BB8" s="30">
        <f t="shared" si="22"/>
        <v>1620</v>
      </c>
      <c r="BC8" s="31">
        <v>625</v>
      </c>
      <c r="BD8" s="30">
        <v>23</v>
      </c>
      <c r="BE8" s="23">
        <f t="shared" si="23"/>
        <v>81</v>
      </c>
      <c r="BF8" s="30">
        <f t="shared" si="24"/>
        <v>1620</v>
      </c>
      <c r="BG8" s="31">
        <v>625</v>
      </c>
      <c r="BH8" s="30">
        <v>24</v>
      </c>
      <c r="BI8" s="23">
        <f t="shared" si="25"/>
        <v>81</v>
      </c>
      <c r="BJ8" s="30">
        <f t="shared" si="26"/>
        <v>1620</v>
      </c>
      <c r="BK8" s="31">
        <v>625</v>
      </c>
      <c r="BL8" s="30">
        <v>25</v>
      </c>
      <c r="BM8" s="23">
        <f t="shared" si="27"/>
        <v>81</v>
      </c>
      <c r="BN8" s="30">
        <f t="shared" si="28"/>
        <v>1620</v>
      </c>
    </row>
    <row r="9" spans="1:66" x14ac:dyDescent="0.2">
      <c r="A9" s="23" t="s">
        <v>34</v>
      </c>
      <c r="B9" s="23" t="s">
        <v>177</v>
      </c>
      <c r="C9" s="27">
        <v>625</v>
      </c>
      <c r="D9" s="30">
        <v>3</v>
      </c>
      <c r="E9" s="23">
        <f t="shared" si="0"/>
        <v>145</v>
      </c>
      <c r="F9">
        <f>进阶值!$C34</f>
        <v>1450</v>
      </c>
      <c r="G9" s="31">
        <v>625</v>
      </c>
      <c r="H9" s="30">
        <v>1</v>
      </c>
      <c r="I9" s="23">
        <f t="shared" si="1"/>
        <v>2900</v>
      </c>
      <c r="J9">
        <f>进阶值!$C34</f>
        <v>1450</v>
      </c>
      <c r="K9" s="31">
        <v>625</v>
      </c>
      <c r="L9" s="30" t="s">
        <v>170</v>
      </c>
      <c r="M9" s="23">
        <f t="shared" si="2"/>
        <v>145</v>
      </c>
      <c r="N9" s="30">
        <f t="shared" si="3"/>
        <v>1450</v>
      </c>
      <c r="O9" s="31">
        <v>625</v>
      </c>
      <c r="P9" s="30">
        <v>4</v>
      </c>
      <c r="Q9" s="23">
        <f t="shared" si="4"/>
        <v>145</v>
      </c>
      <c r="R9" s="30">
        <f t="shared" si="5"/>
        <v>1450</v>
      </c>
      <c r="S9" s="31">
        <v>625</v>
      </c>
      <c r="T9" s="30">
        <v>5</v>
      </c>
      <c r="U9" s="23">
        <f t="shared" si="6"/>
        <v>145</v>
      </c>
      <c r="V9" s="30">
        <f t="shared" si="7"/>
        <v>1450</v>
      </c>
      <c r="W9" s="31">
        <v>625</v>
      </c>
      <c r="X9" s="30">
        <v>6</v>
      </c>
      <c r="Y9" s="23">
        <f t="shared" si="8"/>
        <v>145</v>
      </c>
      <c r="Z9" s="30">
        <f t="shared" si="9"/>
        <v>1450</v>
      </c>
      <c r="AA9" s="31">
        <v>625</v>
      </c>
      <c r="AB9" s="30">
        <v>7</v>
      </c>
      <c r="AC9" s="23">
        <f t="shared" si="10"/>
        <v>145</v>
      </c>
      <c r="AD9" s="30">
        <f t="shared" si="11"/>
        <v>1450</v>
      </c>
      <c r="AE9" s="31">
        <v>625</v>
      </c>
      <c r="AF9" s="30">
        <v>8</v>
      </c>
      <c r="AG9" s="23">
        <f t="shared" si="12"/>
        <v>145</v>
      </c>
      <c r="AH9" s="30">
        <f t="shared" si="13"/>
        <v>1450</v>
      </c>
      <c r="AI9" s="31">
        <v>625</v>
      </c>
      <c r="AJ9" s="30">
        <v>20</v>
      </c>
      <c r="AK9" s="30">
        <f t="shared" si="14"/>
        <v>44</v>
      </c>
      <c r="AL9" s="30">
        <f>进阶值!D34</f>
        <v>1740</v>
      </c>
      <c r="AM9" s="31">
        <v>625</v>
      </c>
      <c r="AN9" s="30">
        <v>18</v>
      </c>
      <c r="AO9" s="30">
        <f t="shared" si="15"/>
        <v>21</v>
      </c>
      <c r="AP9" s="30">
        <f t="shared" si="16"/>
        <v>1740</v>
      </c>
      <c r="AQ9" s="31">
        <v>625</v>
      </c>
      <c r="AR9" s="30">
        <v>19</v>
      </c>
      <c r="AS9" s="30">
        <f t="shared" si="17"/>
        <v>21</v>
      </c>
      <c r="AT9" s="30">
        <f t="shared" si="18"/>
        <v>1740</v>
      </c>
      <c r="AU9" s="31">
        <v>625</v>
      </c>
      <c r="AV9" s="30">
        <v>21</v>
      </c>
      <c r="AW9" s="30">
        <f t="shared" si="19"/>
        <v>44</v>
      </c>
      <c r="AX9" s="30">
        <f t="shared" si="20"/>
        <v>1740</v>
      </c>
      <c r="AY9" s="31">
        <v>625</v>
      </c>
      <c r="AZ9" s="30">
        <v>22</v>
      </c>
      <c r="BA9" s="23">
        <f t="shared" si="21"/>
        <v>87</v>
      </c>
      <c r="BB9" s="30">
        <f t="shared" si="22"/>
        <v>1740</v>
      </c>
      <c r="BC9" s="31">
        <v>625</v>
      </c>
      <c r="BD9" s="30">
        <v>23</v>
      </c>
      <c r="BE9" s="23">
        <f t="shared" si="23"/>
        <v>87</v>
      </c>
      <c r="BF9" s="30">
        <f t="shared" si="24"/>
        <v>1740</v>
      </c>
      <c r="BG9" s="31">
        <v>625</v>
      </c>
      <c r="BH9" s="30">
        <v>24</v>
      </c>
      <c r="BI9" s="23">
        <f t="shared" si="25"/>
        <v>87</v>
      </c>
      <c r="BJ9" s="30">
        <f t="shared" si="26"/>
        <v>1740</v>
      </c>
      <c r="BK9" s="31">
        <v>625</v>
      </c>
      <c r="BL9" s="30">
        <v>25</v>
      </c>
      <c r="BM9" s="23">
        <f t="shared" si="27"/>
        <v>87</v>
      </c>
      <c r="BN9" s="30">
        <f t="shared" si="28"/>
        <v>1740</v>
      </c>
    </row>
    <row r="10" spans="1:66" x14ac:dyDescent="0.2">
      <c r="A10" s="23" t="s">
        <v>67</v>
      </c>
      <c r="B10" s="23" t="s">
        <v>174</v>
      </c>
      <c r="C10" s="27">
        <v>625</v>
      </c>
      <c r="D10" s="30">
        <v>3</v>
      </c>
      <c r="E10" s="23">
        <f t="shared" si="0"/>
        <v>145</v>
      </c>
      <c r="F10">
        <f>进阶值!$C35</f>
        <v>1450</v>
      </c>
      <c r="G10" s="31">
        <v>625</v>
      </c>
      <c r="H10" s="30">
        <v>1</v>
      </c>
      <c r="I10" s="23">
        <f t="shared" si="1"/>
        <v>2900</v>
      </c>
      <c r="J10">
        <f>进阶值!$C35</f>
        <v>1450</v>
      </c>
      <c r="K10" s="31">
        <v>625</v>
      </c>
      <c r="L10" s="23" t="s">
        <v>170</v>
      </c>
      <c r="M10" s="23">
        <f t="shared" si="2"/>
        <v>145</v>
      </c>
      <c r="N10" s="30">
        <f t="shared" si="3"/>
        <v>1450</v>
      </c>
      <c r="O10" s="31">
        <v>625</v>
      </c>
      <c r="P10" s="23">
        <v>4</v>
      </c>
      <c r="Q10" s="23">
        <f t="shared" si="4"/>
        <v>145</v>
      </c>
      <c r="R10" s="30">
        <f t="shared" si="5"/>
        <v>1450</v>
      </c>
      <c r="S10" s="31">
        <v>625</v>
      </c>
      <c r="T10" s="30">
        <v>5</v>
      </c>
      <c r="U10" s="23">
        <f t="shared" si="6"/>
        <v>145</v>
      </c>
      <c r="V10" s="30">
        <f t="shared" si="7"/>
        <v>1450</v>
      </c>
      <c r="W10" s="31">
        <v>625</v>
      </c>
      <c r="X10" s="30">
        <v>6</v>
      </c>
      <c r="Y10" s="23">
        <f t="shared" si="8"/>
        <v>145</v>
      </c>
      <c r="Z10" s="30">
        <f t="shared" si="9"/>
        <v>1450</v>
      </c>
      <c r="AA10" s="31">
        <v>625</v>
      </c>
      <c r="AB10" s="30">
        <v>7</v>
      </c>
      <c r="AC10" s="23">
        <f t="shared" si="10"/>
        <v>145</v>
      </c>
      <c r="AD10" s="30">
        <f t="shared" si="11"/>
        <v>1450</v>
      </c>
      <c r="AE10" s="31">
        <v>625</v>
      </c>
      <c r="AF10" s="30">
        <v>8</v>
      </c>
      <c r="AG10" s="23">
        <f t="shared" si="12"/>
        <v>145</v>
      </c>
      <c r="AH10" s="30">
        <f t="shared" si="13"/>
        <v>1450</v>
      </c>
      <c r="AI10" s="31">
        <v>625</v>
      </c>
      <c r="AJ10" s="30">
        <v>20</v>
      </c>
      <c r="AK10" s="30">
        <f t="shared" si="14"/>
        <v>44</v>
      </c>
      <c r="AL10" s="30">
        <f>进阶值!D35</f>
        <v>1740</v>
      </c>
      <c r="AM10" s="31">
        <v>625</v>
      </c>
      <c r="AN10" s="30">
        <v>18</v>
      </c>
      <c r="AO10" s="30">
        <f t="shared" si="15"/>
        <v>21</v>
      </c>
      <c r="AP10" s="30">
        <f t="shared" si="16"/>
        <v>1740</v>
      </c>
      <c r="AQ10" s="31">
        <v>625</v>
      </c>
      <c r="AR10" s="30">
        <v>19</v>
      </c>
      <c r="AS10" s="30">
        <f t="shared" si="17"/>
        <v>21</v>
      </c>
      <c r="AT10" s="30">
        <f t="shared" si="18"/>
        <v>1740</v>
      </c>
      <c r="AU10" s="31">
        <v>625</v>
      </c>
      <c r="AV10" s="30">
        <v>21</v>
      </c>
      <c r="AW10" s="30">
        <f t="shared" si="19"/>
        <v>44</v>
      </c>
      <c r="AX10" s="30">
        <f t="shared" si="20"/>
        <v>1740</v>
      </c>
      <c r="AY10" s="31">
        <v>625</v>
      </c>
      <c r="AZ10" s="30">
        <v>22</v>
      </c>
      <c r="BA10" s="23">
        <f t="shared" si="21"/>
        <v>87</v>
      </c>
      <c r="BB10" s="30">
        <f t="shared" si="22"/>
        <v>1740</v>
      </c>
      <c r="BC10" s="31">
        <v>625</v>
      </c>
      <c r="BD10" s="30">
        <v>23</v>
      </c>
      <c r="BE10" s="23">
        <f t="shared" si="23"/>
        <v>87</v>
      </c>
      <c r="BF10" s="30">
        <f t="shared" si="24"/>
        <v>1740</v>
      </c>
      <c r="BG10" s="31">
        <v>625</v>
      </c>
      <c r="BH10" s="30">
        <v>24</v>
      </c>
      <c r="BI10" s="23">
        <f t="shared" si="25"/>
        <v>87</v>
      </c>
      <c r="BJ10" s="30">
        <f t="shared" si="26"/>
        <v>1740</v>
      </c>
      <c r="BK10" s="31">
        <v>625</v>
      </c>
      <c r="BL10" s="30">
        <v>25</v>
      </c>
      <c r="BM10" s="23">
        <f t="shared" si="27"/>
        <v>87</v>
      </c>
      <c r="BN10" s="30">
        <f t="shared" si="28"/>
        <v>1740</v>
      </c>
    </row>
    <row r="11" spans="1:66" x14ac:dyDescent="0.2">
      <c r="A11" s="23" t="s">
        <v>67</v>
      </c>
      <c r="B11" s="23" t="s">
        <v>73</v>
      </c>
      <c r="C11" s="27">
        <v>625</v>
      </c>
      <c r="D11" s="30">
        <v>3</v>
      </c>
      <c r="E11" s="23">
        <f t="shared" si="0"/>
        <v>265</v>
      </c>
      <c r="F11">
        <f>进阶值!$C36</f>
        <v>2650</v>
      </c>
      <c r="G11" s="31">
        <v>625</v>
      </c>
      <c r="H11" s="30">
        <v>1</v>
      </c>
      <c r="I11" s="23">
        <f t="shared" si="1"/>
        <v>5300</v>
      </c>
      <c r="J11">
        <f>进阶值!$C36</f>
        <v>2650</v>
      </c>
      <c r="K11" s="31">
        <v>625</v>
      </c>
      <c r="L11" s="23" t="s">
        <v>170</v>
      </c>
      <c r="M11" s="23">
        <f t="shared" si="2"/>
        <v>265</v>
      </c>
      <c r="N11" s="30">
        <f t="shared" si="3"/>
        <v>2650</v>
      </c>
      <c r="O11" s="31">
        <v>625</v>
      </c>
      <c r="P11" s="23">
        <v>4</v>
      </c>
      <c r="Q11" s="23">
        <f t="shared" si="4"/>
        <v>265</v>
      </c>
      <c r="R11" s="30">
        <f t="shared" si="5"/>
        <v>2650</v>
      </c>
      <c r="S11" s="31">
        <v>625</v>
      </c>
      <c r="T11" s="30">
        <v>5</v>
      </c>
      <c r="U11" s="23">
        <f t="shared" si="6"/>
        <v>265</v>
      </c>
      <c r="V11" s="30">
        <f t="shared" si="7"/>
        <v>2650</v>
      </c>
      <c r="W11" s="31">
        <v>625</v>
      </c>
      <c r="X11" s="30">
        <v>6</v>
      </c>
      <c r="Y11" s="23">
        <f t="shared" si="8"/>
        <v>265</v>
      </c>
      <c r="Z11" s="30">
        <f t="shared" si="9"/>
        <v>2650</v>
      </c>
      <c r="AA11" s="31">
        <v>625</v>
      </c>
      <c r="AB11" s="30">
        <v>7</v>
      </c>
      <c r="AC11" s="23">
        <f t="shared" si="10"/>
        <v>265</v>
      </c>
      <c r="AD11" s="30">
        <f t="shared" si="11"/>
        <v>2650</v>
      </c>
      <c r="AE11" s="31">
        <v>625</v>
      </c>
      <c r="AF11" s="30">
        <v>8</v>
      </c>
      <c r="AG11" s="23">
        <f t="shared" si="12"/>
        <v>265</v>
      </c>
      <c r="AH11" s="30">
        <f t="shared" si="13"/>
        <v>2650</v>
      </c>
      <c r="AI11" s="31">
        <v>625</v>
      </c>
      <c r="AJ11" s="30">
        <v>20</v>
      </c>
      <c r="AK11" s="30">
        <f t="shared" si="14"/>
        <v>80</v>
      </c>
      <c r="AL11" s="30">
        <f>进阶值!D36</f>
        <v>3180</v>
      </c>
      <c r="AM11" s="31">
        <v>625</v>
      </c>
      <c r="AN11" s="30">
        <v>18</v>
      </c>
      <c r="AO11" s="30">
        <f t="shared" si="15"/>
        <v>39</v>
      </c>
      <c r="AP11" s="30">
        <f t="shared" si="16"/>
        <v>3180</v>
      </c>
      <c r="AQ11" s="31">
        <v>625</v>
      </c>
      <c r="AR11" s="30">
        <v>19</v>
      </c>
      <c r="AS11" s="30">
        <f t="shared" si="17"/>
        <v>39</v>
      </c>
      <c r="AT11" s="30">
        <f t="shared" si="18"/>
        <v>3180</v>
      </c>
      <c r="AU11" s="31">
        <v>625</v>
      </c>
      <c r="AV11" s="30">
        <v>21</v>
      </c>
      <c r="AW11" s="30">
        <f t="shared" si="19"/>
        <v>80</v>
      </c>
      <c r="AX11" s="30">
        <f t="shared" si="20"/>
        <v>3180</v>
      </c>
      <c r="AY11" s="31">
        <v>625</v>
      </c>
      <c r="AZ11" s="30">
        <v>22</v>
      </c>
      <c r="BA11" s="23">
        <f t="shared" si="21"/>
        <v>159</v>
      </c>
      <c r="BB11" s="30">
        <f t="shared" si="22"/>
        <v>3180</v>
      </c>
      <c r="BC11" s="31">
        <v>625</v>
      </c>
      <c r="BD11" s="30">
        <v>23</v>
      </c>
      <c r="BE11" s="23">
        <f t="shared" si="23"/>
        <v>159</v>
      </c>
      <c r="BF11" s="30">
        <f t="shared" si="24"/>
        <v>3180</v>
      </c>
      <c r="BG11" s="31">
        <v>625</v>
      </c>
      <c r="BH11" s="30">
        <v>24</v>
      </c>
      <c r="BI11" s="23">
        <f t="shared" si="25"/>
        <v>159</v>
      </c>
      <c r="BJ11" s="30">
        <f t="shared" si="26"/>
        <v>3180</v>
      </c>
      <c r="BK11" s="31">
        <v>625</v>
      </c>
      <c r="BL11" s="30">
        <v>25</v>
      </c>
      <c r="BM11" s="23">
        <f t="shared" si="27"/>
        <v>159</v>
      </c>
      <c r="BN11" s="30">
        <f t="shared" si="28"/>
        <v>3180</v>
      </c>
    </row>
    <row r="12" spans="1:66" x14ac:dyDescent="0.2">
      <c r="A12" s="23" t="s">
        <v>67</v>
      </c>
      <c r="B12" s="23" t="s">
        <v>171</v>
      </c>
      <c r="C12" s="27">
        <v>625</v>
      </c>
      <c r="D12" s="30">
        <v>3</v>
      </c>
      <c r="E12" s="23">
        <f t="shared" si="0"/>
        <v>385</v>
      </c>
      <c r="F12">
        <f>进阶值!$C37</f>
        <v>3850</v>
      </c>
      <c r="G12" s="31">
        <v>625</v>
      </c>
      <c r="H12" s="30">
        <v>1</v>
      </c>
      <c r="I12" s="23">
        <f t="shared" si="1"/>
        <v>7700</v>
      </c>
      <c r="J12">
        <f>进阶值!$C37</f>
        <v>3850</v>
      </c>
      <c r="K12" s="31">
        <v>625</v>
      </c>
      <c r="L12" s="23" t="s">
        <v>170</v>
      </c>
      <c r="M12" s="23">
        <f t="shared" si="2"/>
        <v>385</v>
      </c>
      <c r="N12" s="30">
        <f t="shared" si="3"/>
        <v>3850</v>
      </c>
      <c r="O12" s="31">
        <v>625</v>
      </c>
      <c r="P12" s="23">
        <v>4</v>
      </c>
      <c r="Q12" s="23">
        <f t="shared" si="4"/>
        <v>385</v>
      </c>
      <c r="R12" s="30">
        <f t="shared" si="5"/>
        <v>3850</v>
      </c>
      <c r="S12" s="31">
        <v>625</v>
      </c>
      <c r="T12" s="30">
        <v>5</v>
      </c>
      <c r="U12" s="23">
        <f t="shared" si="6"/>
        <v>385</v>
      </c>
      <c r="V12" s="30">
        <f t="shared" si="7"/>
        <v>3850</v>
      </c>
      <c r="W12" s="31">
        <v>625</v>
      </c>
      <c r="X12" s="30">
        <v>6</v>
      </c>
      <c r="Y12" s="23">
        <f t="shared" si="8"/>
        <v>385</v>
      </c>
      <c r="Z12" s="30">
        <f t="shared" si="9"/>
        <v>3850</v>
      </c>
      <c r="AA12" s="31">
        <v>625</v>
      </c>
      <c r="AB12" s="30">
        <v>7</v>
      </c>
      <c r="AC12" s="23">
        <f t="shared" si="10"/>
        <v>385</v>
      </c>
      <c r="AD12" s="30">
        <f t="shared" si="11"/>
        <v>3850</v>
      </c>
      <c r="AE12" s="31">
        <v>625</v>
      </c>
      <c r="AF12" s="30">
        <v>8</v>
      </c>
      <c r="AG12" s="23">
        <f t="shared" si="12"/>
        <v>385</v>
      </c>
      <c r="AH12" s="30">
        <f t="shared" si="13"/>
        <v>3850</v>
      </c>
      <c r="AI12" s="31">
        <v>625</v>
      </c>
      <c r="AJ12" s="30">
        <v>20</v>
      </c>
      <c r="AK12" s="30">
        <f t="shared" si="14"/>
        <v>116</v>
      </c>
      <c r="AL12" s="30">
        <f>进阶值!D37</f>
        <v>4620</v>
      </c>
      <c r="AM12" s="31">
        <v>625</v>
      </c>
      <c r="AN12" s="30">
        <v>18</v>
      </c>
      <c r="AO12" s="30">
        <f t="shared" si="15"/>
        <v>57</v>
      </c>
      <c r="AP12" s="30">
        <f t="shared" si="16"/>
        <v>4620</v>
      </c>
      <c r="AQ12" s="31">
        <v>625</v>
      </c>
      <c r="AR12" s="30">
        <v>19</v>
      </c>
      <c r="AS12" s="30">
        <f t="shared" si="17"/>
        <v>57</v>
      </c>
      <c r="AT12" s="30">
        <f t="shared" si="18"/>
        <v>4620</v>
      </c>
      <c r="AU12" s="31">
        <v>625</v>
      </c>
      <c r="AV12" s="30">
        <v>21</v>
      </c>
      <c r="AW12" s="30">
        <f t="shared" si="19"/>
        <v>116</v>
      </c>
      <c r="AX12" s="30">
        <f t="shared" si="20"/>
        <v>4620</v>
      </c>
      <c r="AY12" s="31">
        <v>625</v>
      </c>
      <c r="AZ12" s="30">
        <v>22</v>
      </c>
      <c r="BA12" s="23">
        <f t="shared" si="21"/>
        <v>231</v>
      </c>
      <c r="BB12" s="30">
        <f t="shared" si="22"/>
        <v>4620</v>
      </c>
      <c r="BC12" s="31">
        <v>625</v>
      </c>
      <c r="BD12" s="30">
        <v>23</v>
      </c>
      <c r="BE12" s="23">
        <f t="shared" si="23"/>
        <v>231</v>
      </c>
      <c r="BF12" s="30">
        <f t="shared" si="24"/>
        <v>4620</v>
      </c>
      <c r="BG12" s="31">
        <v>625</v>
      </c>
      <c r="BH12" s="30">
        <v>24</v>
      </c>
      <c r="BI12" s="23">
        <f t="shared" si="25"/>
        <v>231</v>
      </c>
      <c r="BJ12" s="30">
        <f t="shared" si="26"/>
        <v>4620</v>
      </c>
      <c r="BK12" s="31">
        <v>625</v>
      </c>
      <c r="BL12" s="30">
        <v>25</v>
      </c>
      <c r="BM12" s="23">
        <f t="shared" si="27"/>
        <v>231</v>
      </c>
      <c r="BN12" s="30">
        <f t="shared" si="28"/>
        <v>4620</v>
      </c>
    </row>
    <row r="13" spans="1:66" x14ac:dyDescent="0.2">
      <c r="A13" s="23" t="s">
        <v>67</v>
      </c>
      <c r="B13" s="23" t="s">
        <v>172</v>
      </c>
      <c r="C13" s="27">
        <v>625</v>
      </c>
      <c r="D13" s="30">
        <v>3</v>
      </c>
      <c r="E13" s="23">
        <f t="shared" si="0"/>
        <v>505</v>
      </c>
      <c r="F13">
        <f>进阶值!$C38</f>
        <v>5050</v>
      </c>
      <c r="G13" s="31">
        <v>625</v>
      </c>
      <c r="H13" s="30">
        <v>1</v>
      </c>
      <c r="I13" s="23">
        <f t="shared" si="1"/>
        <v>10100</v>
      </c>
      <c r="J13">
        <f>进阶值!$C38</f>
        <v>5050</v>
      </c>
      <c r="K13" s="31">
        <v>625</v>
      </c>
      <c r="L13" s="23" t="s">
        <v>170</v>
      </c>
      <c r="M13" s="23">
        <f t="shared" si="2"/>
        <v>505</v>
      </c>
      <c r="N13" s="30">
        <f t="shared" si="3"/>
        <v>5050</v>
      </c>
      <c r="O13" s="31">
        <v>625</v>
      </c>
      <c r="P13" s="23">
        <v>4</v>
      </c>
      <c r="Q13" s="23">
        <f t="shared" si="4"/>
        <v>505</v>
      </c>
      <c r="R13" s="30">
        <f t="shared" si="5"/>
        <v>5050</v>
      </c>
      <c r="S13" s="31">
        <v>625</v>
      </c>
      <c r="T13" s="30">
        <v>5</v>
      </c>
      <c r="U13" s="23">
        <f t="shared" si="6"/>
        <v>505</v>
      </c>
      <c r="V13" s="30">
        <f t="shared" si="7"/>
        <v>5050</v>
      </c>
      <c r="W13" s="31">
        <v>625</v>
      </c>
      <c r="X13" s="30">
        <v>6</v>
      </c>
      <c r="Y13" s="23">
        <f t="shared" si="8"/>
        <v>505</v>
      </c>
      <c r="Z13" s="30">
        <f t="shared" si="9"/>
        <v>5050</v>
      </c>
      <c r="AA13" s="31">
        <v>625</v>
      </c>
      <c r="AB13" s="30">
        <v>7</v>
      </c>
      <c r="AC13" s="23">
        <f t="shared" si="10"/>
        <v>505</v>
      </c>
      <c r="AD13" s="30">
        <f t="shared" si="11"/>
        <v>5050</v>
      </c>
      <c r="AE13" s="31">
        <v>625</v>
      </c>
      <c r="AF13" s="30">
        <v>8</v>
      </c>
      <c r="AG13" s="23">
        <f t="shared" si="12"/>
        <v>505</v>
      </c>
      <c r="AH13" s="30">
        <f t="shared" si="13"/>
        <v>5050</v>
      </c>
      <c r="AI13" s="31">
        <v>625</v>
      </c>
      <c r="AJ13" s="30">
        <v>20</v>
      </c>
      <c r="AK13" s="30">
        <f t="shared" si="14"/>
        <v>152</v>
      </c>
      <c r="AL13" s="30">
        <f>进阶值!D38</f>
        <v>6060</v>
      </c>
      <c r="AM13" s="31">
        <v>625</v>
      </c>
      <c r="AN13" s="30">
        <v>18</v>
      </c>
      <c r="AO13" s="30">
        <f t="shared" si="15"/>
        <v>75</v>
      </c>
      <c r="AP13" s="30">
        <f t="shared" si="16"/>
        <v>6060</v>
      </c>
      <c r="AQ13" s="31">
        <v>625</v>
      </c>
      <c r="AR13" s="30">
        <v>19</v>
      </c>
      <c r="AS13" s="30">
        <f t="shared" si="17"/>
        <v>75</v>
      </c>
      <c r="AT13" s="30">
        <f t="shared" si="18"/>
        <v>6060</v>
      </c>
      <c r="AU13" s="31">
        <v>625</v>
      </c>
      <c r="AV13" s="30">
        <v>21</v>
      </c>
      <c r="AW13" s="30">
        <f t="shared" si="19"/>
        <v>152</v>
      </c>
      <c r="AX13" s="30">
        <f t="shared" si="20"/>
        <v>6060</v>
      </c>
      <c r="AY13" s="31">
        <v>625</v>
      </c>
      <c r="AZ13" s="30">
        <v>22</v>
      </c>
      <c r="BA13" s="23">
        <f t="shared" si="21"/>
        <v>303</v>
      </c>
      <c r="BB13" s="30">
        <f t="shared" si="22"/>
        <v>6060</v>
      </c>
      <c r="BC13" s="31">
        <v>625</v>
      </c>
      <c r="BD13" s="30">
        <v>23</v>
      </c>
      <c r="BE13" s="23">
        <f t="shared" si="23"/>
        <v>303</v>
      </c>
      <c r="BF13" s="30">
        <f t="shared" si="24"/>
        <v>6060</v>
      </c>
      <c r="BG13" s="31">
        <v>625</v>
      </c>
      <c r="BH13" s="30">
        <v>24</v>
      </c>
      <c r="BI13" s="23">
        <f t="shared" si="25"/>
        <v>303</v>
      </c>
      <c r="BJ13" s="30">
        <f t="shared" si="26"/>
        <v>6060</v>
      </c>
      <c r="BK13" s="31">
        <v>625</v>
      </c>
      <c r="BL13" s="30">
        <v>25</v>
      </c>
      <c r="BM13" s="23">
        <f t="shared" si="27"/>
        <v>303</v>
      </c>
      <c r="BN13" s="30">
        <f t="shared" si="28"/>
        <v>6060</v>
      </c>
    </row>
    <row r="14" spans="1:66" x14ac:dyDescent="0.2">
      <c r="A14" s="23" t="s">
        <v>67</v>
      </c>
      <c r="B14" s="23" t="s">
        <v>173</v>
      </c>
      <c r="C14" s="27">
        <v>625</v>
      </c>
      <c r="D14" s="30">
        <v>3</v>
      </c>
      <c r="E14" s="23">
        <f t="shared" si="0"/>
        <v>625</v>
      </c>
      <c r="F14">
        <f>进阶值!$C39</f>
        <v>6250</v>
      </c>
      <c r="G14" s="31">
        <v>625</v>
      </c>
      <c r="H14" s="30">
        <v>1</v>
      </c>
      <c r="I14" s="23">
        <f t="shared" si="1"/>
        <v>12500</v>
      </c>
      <c r="J14">
        <f>进阶值!$C39</f>
        <v>6250</v>
      </c>
      <c r="K14" s="31">
        <v>625</v>
      </c>
      <c r="L14" s="23" t="s">
        <v>170</v>
      </c>
      <c r="M14" s="23">
        <f t="shared" si="2"/>
        <v>625</v>
      </c>
      <c r="N14" s="30">
        <f t="shared" si="3"/>
        <v>6250</v>
      </c>
      <c r="O14" s="31">
        <v>625</v>
      </c>
      <c r="P14" s="23">
        <v>4</v>
      </c>
      <c r="Q14" s="23">
        <f t="shared" si="4"/>
        <v>625</v>
      </c>
      <c r="R14" s="30">
        <f t="shared" si="5"/>
        <v>6250</v>
      </c>
      <c r="S14" s="31">
        <v>625</v>
      </c>
      <c r="T14" s="30">
        <v>5</v>
      </c>
      <c r="U14" s="23">
        <f t="shared" si="6"/>
        <v>625</v>
      </c>
      <c r="V14" s="30">
        <f t="shared" si="7"/>
        <v>6250</v>
      </c>
      <c r="W14" s="31">
        <v>625</v>
      </c>
      <c r="X14" s="30">
        <v>6</v>
      </c>
      <c r="Y14" s="23">
        <f t="shared" si="8"/>
        <v>625</v>
      </c>
      <c r="Z14" s="30">
        <f t="shared" si="9"/>
        <v>6250</v>
      </c>
      <c r="AA14" s="31">
        <v>625</v>
      </c>
      <c r="AB14" s="30">
        <v>7</v>
      </c>
      <c r="AC14" s="23">
        <f t="shared" si="10"/>
        <v>625</v>
      </c>
      <c r="AD14" s="30">
        <f t="shared" si="11"/>
        <v>6250</v>
      </c>
      <c r="AE14" s="31">
        <v>625</v>
      </c>
      <c r="AF14" s="30">
        <v>8</v>
      </c>
      <c r="AG14" s="23">
        <f t="shared" si="12"/>
        <v>625</v>
      </c>
      <c r="AH14" s="30">
        <f t="shared" si="13"/>
        <v>6250</v>
      </c>
      <c r="AI14" s="31">
        <v>625</v>
      </c>
      <c r="AJ14" s="30">
        <v>20</v>
      </c>
      <c r="AK14" s="30">
        <f t="shared" si="14"/>
        <v>188</v>
      </c>
      <c r="AL14" s="30">
        <f>进阶值!D39</f>
        <v>7500</v>
      </c>
      <c r="AM14" s="31">
        <v>625</v>
      </c>
      <c r="AN14" s="30">
        <v>18</v>
      </c>
      <c r="AO14" s="30">
        <f t="shared" si="15"/>
        <v>93</v>
      </c>
      <c r="AP14" s="30">
        <f t="shared" si="16"/>
        <v>7500</v>
      </c>
      <c r="AQ14" s="31">
        <v>625</v>
      </c>
      <c r="AR14" s="30">
        <v>19</v>
      </c>
      <c r="AS14" s="30">
        <f t="shared" si="17"/>
        <v>93</v>
      </c>
      <c r="AT14" s="30">
        <f t="shared" si="18"/>
        <v>7500</v>
      </c>
      <c r="AU14" s="31">
        <v>625</v>
      </c>
      <c r="AV14" s="30">
        <v>21</v>
      </c>
      <c r="AW14" s="30">
        <f t="shared" si="19"/>
        <v>188</v>
      </c>
      <c r="AX14" s="30">
        <f t="shared" si="20"/>
        <v>7500</v>
      </c>
      <c r="AY14" s="31">
        <v>625</v>
      </c>
      <c r="AZ14" s="30">
        <v>22</v>
      </c>
      <c r="BA14" s="23">
        <f t="shared" si="21"/>
        <v>375</v>
      </c>
      <c r="BB14" s="30">
        <f t="shared" si="22"/>
        <v>7500</v>
      </c>
      <c r="BC14" s="31">
        <v>625</v>
      </c>
      <c r="BD14" s="30">
        <v>23</v>
      </c>
      <c r="BE14" s="23">
        <f t="shared" si="23"/>
        <v>375</v>
      </c>
      <c r="BF14" s="30">
        <f t="shared" si="24"/>
        <v>7500</v>
      </c>
      <c r="BG14" s="31">
        <v>625</v>
      </c>
      <c r="BH14" s="30">
        <v>24</v>
      </c>
      <c r="BI14" s="23">
        <f t="shared" si="25"/>
        <v>375</v>
      </c>
      <c r="BJ14" s="30">
        <f t="shared" si="26"/>
        <v>7500</v>
      </c>
      <c r="BK14" s="31">
        <v>625</v>
      </c>
      <c r="BL14" s="30">
        <v>25</v>
      </c>
      <c r="BM14" s="23">
        <f t="shared" si="27"/>
        <v>375</v>
      </c>
      <c r="BN14" s="30">
        <f t="shared" si="28"/>
        <v>7500</v>
      </c>
    </row>
    <row r="15" spans="1:66" x14ac:dyDescent="0.2">
      <c r="A15" s="23" t="s">
        <v>67</v>
      </c>
      <c r="B15" s="23" t="s">
        <v>77</v>
      </c>
      <c r="C15" s="27">
        <v>625</v>
      </c>
      <c r="D15" s="30">
        <v>3</v>
      </c>
      <c r="E15" s="23">
        <f t="shared" si="0"/>
        <v>745</v>
      </c>
      <c r="F15">
        <f>进阶值!$C40</f>
        <v>7450</v>
      </c>
      <c r="G15" s="31">
        <v>625</v>
      </c>
      <c r="H15" s="30">
        <v>1</v>
      </c>
      <c r="I15" s="23">
        <f t="shared" si="1"/>
        <v>14900</v>
      </c>
      <c r="J15">
        <f>进阶值!$C40</f>
        <v>7450</v>
      </c>
      <c r="K15" s="31">
        <v>625</v>
      </c>
      <c r="L15" s="30" t="s">
        <v>170</v>
      </c>
      <c r="M15" s="23">
        <f t="shared" si="2"/>
        <v>745</v>
      </c>
      <c r="N15" s="30">
        <f t="shared" si="3"/>
        <v>7450</v>
      </c>
      <c r="O15" s="31">
        <v>625</v>
      </c>
      <c r="P15" s="30">
        <v>4</v>
      </c>
      <c r="Q15" s="23">
        <f t="shared" si="4"/>
        <v>745</v>
      </c>
      <c r="R15" s="30">
        <f t="shared" si="5"/>
        <v>7450</v>
      </c>
      <c r="S15" s="31">
        <v>625</v>
      </c>
      <c r="T15" s="30">
        <v>5</v>
      </c>
      <c r="U15" s="23">
        <f t="shared" si="6"/>
        <v>745</v>
      </c>
      <c r="V15" s="30">
        <f t="shared" si="7"/>
        <v>7450</v>
      </c>
      <c r="W15" s="31">
        <v>625</v>
      </c>
      <c r="X15" s="30">
        <v>6</v>
      </c>
      <c r="Y15" s="23">
        <f t="shared" si="8"/>
        <v>745</v>
      </c>
      <c r="Z15" s="30">
        <f t="shared" si="9"/>
        <v>7450</v>
      </c>
      <c r="AA15" s="31">
        <v>625</v>
      </c>
      <c r="AB15" s="30">
        <v>7</v>
      </c>
      <c r="AC15" s="23">
        <f t="shared" si="10"/>
        <v>745</v>
      </c>
      <c r="AD15" s="30">
        <f t="shared" si="11"/>
        <v>7450</v>
      </c>
      <c r="AE15" s="31">
        <v>625</v>
      </c>
      <c r="AF15" s="30">
        <v>8</v>
      </c>
      <c r="AG15" s="23">
        <f t="shared" si="12"/>
        <v>745</v>
      </c>
      <c r="AH15" s="30">
        <f t="shared" si="13"/>
        <v>7450</v>
      </c>
      <c r="AI15" s="31">
        <v>625</v>
      </c>
      <c r="AJ15" s="30">
        <v>20</v>
      </c>
      <c r="AK15" s="30">
        <f t="shared" si="14"/>
        <v>224</v>
      </c>
      <c r="AL15" s="30">
        <f>进阶值!D40</f>
        <v>8940</v>
      </c>
      <c r="AM15" s="31">
        <v>625</v>
      </c>
      <c r="AN15" s="30">
        <v>18</v>
      </c>
      <c r="AO15" s="30">
        <f t="shared" si="15"/>
        <v>111</v>
      </c>
      <c r="AP15" s="30">
        <f t="shared" si="16"/>
        <v>8940</v>
      </c>
      <c r="AQ15" s="31">
        <v>625</v>
      </c>
      <c r="AR15" s="30">
        <v>19</v>
      </c>
      <c r="AS15" s="30">
        <f t="shared" si="17"/>
        <v>111</v>
      </c>
      <c r="AT15" s="30">
        <f t="shared" si="18"/>
        <v>8940</v>
      </c>
      <c r="AU15" s="31">
        <v>625</v>
      </c>
      <c r="AV15" s="30">
        <v>21</v>
      </c>
      <c r="AW15" s="30">
        <f t="shared" si="19"/>
        <v>224</v>
      </c>
      <c r="AX15" s="30">
        <f t="shared" si="20"/>
        <v>8940</v>
      </c>
      <c r="AY15" s="31">
        <v>625</v>
      </c>
      <c r="AZ15" s="30">
        <v>22</v>
      </c>
      <c r="BA15" s="23">
        <f t="shared" si="21"/>
        <v>447</v>
      </c>
      <c r="BB15" s="30">
        <f t="shared" si="22"/>
        <v>8940</v>
      </c>
      <c r="BC15" s="31">
        <v>625</v>
      </c>
      <c r="BD15" s="30">
        <v>23</v>
      </c>
      <c r="BE15" s="23">
        <f t="shared" si="23"/>
        <v>447</v>
      </c>
      <c r="BF15" s="30">
        <f t="shared" si="24"/>
        <v>8940</v>
      </c>
      <c r="BG15" s="31">
        <v>625</v>
      </c>
      <c r="BH15" s="30">
        <v>24</v>
      </c>
      <c r="BI15" s="23">
        <f t="shared" si="25"/>
        <v>447</v>
      </c>
      <c r="BJ15" s="30">
        <f t="shared" si="26"/>
        <v>8940</v>
      </c>
      <c r="BK15" s="31">
        <v>625</v>
      </c>
      <c r="BL15" s="30">
        <v>25</v>
      </c>
      <c r="BM15" s="23">
        <f t="shared" si="27"/>
        <v>447</v>
      </c>
      <c r="BN15" s="30">
        <f t="shared" si="28"/>
        <v>8940</v>
      </c>
    </row>
    <row r="16" spans="1:66" x14ac:dyDescent="0.2">
      <c r="A16" s="23" t="s">
        <v>67</v>
      </c>
      <c r="B16" s="23" t="s">
        <v>177</v>
      </c>
      <c r="C16" s="27">
        <v>625</v>
      </c>
      <c r="D16" s="30">
        <v>3</v>
      </c>
      <c r="E16" s="23">
        <f t="shared" si="0"/>
        <v>865</v>
      </c>
      <c r="F16">
        <f>进阶值!$C41</f>
        <v>8650</v>
      </c>
      <c r="G16" s="31">
        <v>625</v>
      </c>
      <c r="H16" s="30">
        <v>1</v>
      </c>
      <c r="I16" s="23">
        <f t="shared" si="1"/>
        <v>17300</v>
      </c>
      <c r="J16">
        <f>进阶值!$C41</f>
        <v>8650</v>
      </c>
      <c r="K16" s="31">
        <v>625</v>
      </c>
      <c r="L16" s="23" t="s">
        <v>170</v>
      </c>
      <c r="M16" s="23">
        <f t="shared" si="2"/>
        <v>865</v>
      </c>
      <c r="N16" s="30">
        <f t="shared" si="3"/>
        <v>8650</v>
      </c>
      <c r="O16" s="31">
        <v>625</v>
      </c>
      <c r="P16" s="23">
        <v>4</v>
      </c>
      <c r="Q16" s="23">
        <f t="shared" si="4"/>
        <v>865</v>
      </c>
      <c r="R16" s="30">
        <f t="shared" si="5"/>
        <v>8650</v>
      </c>
      <c r="S16" s="31">
        <v>625</v>
      </c>
      <c r="T16" s="30">
        <v>5</v>
      </c>
      <c r="U16" s="23">
        <f t="shared" si="6"/>
        <v>865</v>
      </c>
      <c r="V16" s="30">
        <f t="shared" si="7"/>
        <v>8650</v>
      </c>
      <c r="W16" s="31">
        <v>625</v>
      </c>
      <c r="X16" s="30">
        <v>6</v>
      </c>
      <c r="Y16" s="23">
        <f t="shared" si="8"/>
        <v>865</v>
      </c>
      <c r="Z16" s="30">
        <f t="shared" si="9"/>
        <v>8650</v>
      </c>
      <c r="AA16" s="31">
        <v>625</v>
      </c>
      <c r="AB16" s="30">
        <v>7</v>
      </c>
      <c r="AC16" s="23">
        <f t="shared" si="10"/>
        <v>865</v>
      </c>
      <c r="AD16" s="30">
        <f t="shared" si="11"/>
        <v>8650</v>
      </c>
      <c r="AE16" s="31">
        <v>625</v>
      </c>
      <c r="AF16" s="30">
        <v>8</v>
      </c>
      <c r="AG16" s="23">
        <f t="shared" si="12"/>
        <v>865</v>
      </c>
      <c r="AH16" s="30">
        <f t="shared" si="13"/>
        <v>8650</v>
      </c>
      <c r="AI16" s="31">
        <v>625</v>
      </c>
      <c r="AJ16" s="30">
        <v>20</v>
      </c>
      <c r="AK16" s="30">
        <f t="shared" si="14"/>
        <v>260</v>
      </c>
      <c r="AL16" s="30">
        <f>进阶值!D41</f>
        <v>10380</v>
      </c>
      <c r="AM16" s="31">
        <v>625</v>
      </c>
      <c r="AN16" s="30">
        <v>18</v>
      </c>
      <c r="AO16" s="30">
        <f t="shared" si="15"/>
        <v>129</v>
      </c>
      <c r="AP16" s="30">
        <f t="shared" si="16"/>
        <v>10380</v>
      </c>
      <c r="AQ16" s="31">
        <v>625</v>
      </c>
      <c r="AR16" s="30">
        <v>19</v>
      </c>
      <c r="AS16" s="30">
        <f t="shared" si="17"/>
        <v>129</v>
      </c>
      <c r="AT16" s="30">
        <f t="shared" si="18"/>
        <v>10380</v>
      </c>
      <c r="AU16" s="31">
        <v>625</v>
      </c>
      <c r="AV16" s="30">
        <v>21</v>
      </c>
      <c r="AW16" s="30">
        <f t="shared" si="19"/>
        <v>260</v>
      </c>
      <c r="AX16" s="30">
        <f t="shared" si="20"/>
        <v>10380</v>
      </c>
      <c r="AY16" s="31">
        <v>625</v>
      </c>
      <c r="AZ16" s="30">
        <v>22</v>
      </c>
      <c r="BA16" s="23">
        <f t="shared" si="21"/>
        <v>519</v>
      </c>
      <c r="BB16" s="30">
        <f t="shared" si="22"/>
        <v>10380</v>
      </c>
      <c r="BC16" s="31">
        <v>625</v>
      </c>
      <c r="BD16" s="30">
        <v>23</v>
      </c>
      <c r="BE16" s="23">
        <f t="shared" si="23"/>
        <v>519</v>
      </c>
      <c r="BF16" s="30">
        <f t="shared" si="24"/>
        <v>10380</v>
      </c>
      <c r="BG16" s="31">
        <v>625</v>
      </c>
      <c r="BH16" s="30">
        <v>24</v>
      </c>
      <c r="BI16" s="23">
        <f t="shared" si="25"/>
        <v>519</v>
      </c>
      <c r="BJ16" s="30">
        <f t="shared" si="26"/>
        <v>10380</v>
      </c>
      <c r="BK16" s="31">
        <v>625</v>
      </c>
      <c r="BL16" s="30">
        <v>25</v>
      </c>
      <c r="BM16" s="23">
        <f t="shared" si="27"/>
        <v>519</v>
      </c>
      <c r="BN16" s="30">
        <f t="shared" si="28"/>
        <v>10380</v>
      </c>
    </row>
    <row r="17" spans="1:66" x14ac:dyDescent="0.2">
      <c r="A17" s="23" t="s">
        <v>68</v>
      </c>
      <c r="B17" s="23" t="s">
        <v>174</v>
      </c>
      <c r="C17" s="27">
        <v>625</v>
      </c>
      <c r="D17" s="30">
        <v>3</v>
      </c>
      <c r="E17" s="23">
        <f t="shared" si="0"/>
        <v>280</v>
      </c>
      <c r="F17">
        <f>进阶值!$C42</f>
        <v>2800</v>
      </c>
      <c r="G17" s="31">
        <v>625</v>
      </c>
      <c r="H17" s="30">
        <v>1</v>
      </c>
      <c r="I17" s="23">
        <f t="shared" si="1"/>
        <v>5600</v>
      </c>
      <c r="J17">
        <f>进阶值!$C42</f>
        <v>2800</v>
      </c>
      <c r="K17" s="31">
        <v>625</v>
      </c>
      <c r="L17" s="23" t="s">
        <v>170</v>
      </c>
      <c r="M17" s="23">
        <f t="shared" si="2"/>
        <v>280</v>
      </c>
      <c r="N17" s="30">
        <f t="shared" si="3"/>
        <v>2800</v>
      </c>
      <c r="O17" s="31">
        <v>625</v>
      </c>
      <c r="P17" s="23">
        <v>4</v>
      </c>
      <c r="Q17" s="23">
        <f t="shared" si="4"/>
        <v>280</v>
      </c>
      <c r="R17" s="30">
        <f t="shared" si="5"/>
        <v>2800</v>
      </c>
      <c r="S17" s="31">
        <v>625</v>
      </c>
      <c r="T17" s="30">
        <v>5</v>
      </c>
      <c r="U17" s="23">
        <f t="shared" si="6"/>
        <v>280</v>
      </c>
      <c r="V17" s="30">
        <f t="shared" si="7"/>
        <v>2800</v>
      </c>
      <c r="W17" s="31">
        <v>625</v>
      </c>
      <c r="X17" s="30">
        <v>6</v>
      </c>
      <c r="Y17" s="23">
        <f t="shared" si="8"/>
        <v>280</v>
      </c>
      <c r="Z17" s="30">
        <f t="shared" si="9"/>
        <v>2800</v>
      </c>
      <c r="AA17" s="31">
        <v>625</v>
      </c>
      <c r="AB17" s="30">
        <v>7</v>
      </c>
      <c r="AC17" s="23">
        <f t="shared" si="10"/>
        <v>280</v>
      </c>
      <c r="AD17" s="30">
        <f t="shared" si="11"/>
        <v>2800</v>
      </c>
      <c r="AE17" s="31">
        <v>625</v>
      </c>
      <c r="AF17" s="30">
        <v>8</v>
      </c>
      <c r="AG17" s="23">
        <f t="shared" si="12"/>
        <v>280</v>
      </c>
      <c r="AH17" s="30">
        <f t="shared" si="13"/>
        <v>2800</v>
      </c>
      <c r="AI17" s="31">
        <v>625</v>
      </c>
      <c r="AJ17" s="30">
        <v>20</v>
      </c>
      <c r="AK17" s="30">
        <f t="shared" si="14"/>
        <v>84</v>
      </c>
      <c r="AL17" s="30">
        <f>进阶值!D42</f>
        <v>3360</v>
      </c>
      <c r="AM17" s="31">
        <v>625</v>
      </c>
      <c r="AN17" s="30">
        <v>18</v>
      </c>
      <c r="AO17" s="30">
        <f t="shared" si="15"/>
        <v>42</v>
      </c>
      <c r="AP17" s="30">
        <f t="shared" si="16"/>
        <v>3360</v>
      </c>
      <c r="AQ17" s="31">
        <v>625</v>
      </c>
      <c r="AR17" s="30">
        <v>19</v>
      </c>
      <c r="AS17" s="30">
        <f t="shared" si="17"/>
        <v>42</v>
      </c>
      <c r="AT17" s="30">
        <f t="shared" si="18"/>
        <v>3360</v>
      </c>
      <c r="AU17" s="31">
        <v>625</v>
      </c>
      <c r="AV17" s="30">
        <v>21</v>
      </c>
      <c r="AW17" s="30">
        <f t="shared" si="19"/>
        <v>84</v>
      </c>
      <c r="AX17" s="30">
        <f t="shared" si="20"/>
        <v>3360</v>
      </c>
      <c r="AY17" s="31">
        <v>625</v>
      </c>
      <c r="AZ17" s="30">
        <v>22</v>
      </c>
      <c r="BA17" s="23">
        <f t="shared" si="21"/>
        <v>168</v>
      </c>
      <c r="BB17" s="30">
        <f t="shared" si="22"/>
        <v>3360</v>
      </c>
      <c r="BC17" s="31">
        <v>625</v>
      </c>
      <c r="BD17" s="30">
        <v>23</v>
      </c>
      <c r="BE17" s="23">
        <f t="shared" si="23"/>
        <v>168</v>
      </c>
      <c r="BF17" s="30">
        <f t="shared" si="24"/>
        <v>3360</v>
      </c>
      <c r="BG17" s="31">
        <v>625</v>
      </c>
      <c r="BH17" s="30">
        <v>24</v>
      </c>
      <c r="BI17" s="23">
        <f t="shared" si="25"/>
        <v>168</v>
      </c>
      <c r="BJ17" s="30">
        <f t="shared" si="26"/>
        <v>3360</v>
      </c>
      <c r="BK17" s="31">
        <v>625</v>
      </c>
      <c r="BL17" s="30">
        <v>25</v>
      </c>
      <c r="BM17" s="23">
        <f t="shared" si="27"/>
        <v>168</v>
      </c>
      <c r="BN17" s="30">
        <f t="shared" si="28"/>
        <v>3360</v>
      </c>
    </row>
    <row r="18" spans="1:66" x14ac:dyDescent="0.2">
      <c r="A18" s="23" t="s">
        <v>68</v>
      </c>
      <c r="B18" s="23" t="s">
        <v>73</v>
      </c>
      <c r="C18" s="27">
        <v>625</v>
      </c>
      <c r="D18" s="30">
        <v>3</v>
      </c>
      <c r="E18" s="23">
        <f t="shared" si="0"/>
        <v>460</v>
      </c>
      <c r="F18">
        <f>进阶值!$C43</f>
        <v>4600</v>
      </c>
      <c r="G18" s="31">
        <v>625</v>
      </c>
      <c r="H18" s="30">
        <v>1</v>
      </c>
      <c r="I18" s="23">
        <f t="shared" si="1"/>
        <v>9200</v>
      </c>
      <c r="J18">
        <f>进阶值!$C43</f>
        <v>4600</v>
      </c>
      <c r="K18" s="31">
        <v>625</v>
      </c>
      <c r="L18" s="23" t="s">
        <v>170</v>
      </c>
      <c r="M18" s="23">
        <f t="shared" si="2"/>
        <v>460</v>
      </c>
      <c r="N18" s="30">
        <f t="shared" si="3"/>
        <v>4600</v>
      </c>
      <c r="O18" s="31">
        <v>625</v>
      </c>
      <c r="P18" s="23">
        <v>4</v>
      </c>
      <c r="Q18" s="23">
        <f t="shared" si="4"/>
        <v>460</v>
      </c>
      <c r="R18" s="30">
        <f t="shared" si="5"/>
        <v>4600</v>
      </c>
      <c r="S18" s="31">
        <v>625</v>
      </c>
      <c r="T18" s="30">
        <v>5</v>
      </c>
      <c r="U18" s="23">
        <f t="shared" si="6"/>
        <v>460</v>
      </c>
      <c r="V18" s="30">
        <f t="shared" si="7"/>
        <v>4600</v>
      </c>
      <c r="W18" s="31">
        <v>625</v>
      </c>
      <c r="X18" s="30">
        <v>6</v>
      </c>
      <c r="Y18" s="23">
        <f t="shared" si="8"/>
        <v>460</v>
      </c>
      <c r="Z18" s="30">
        <f t="shared" si="9"/>
        <v>4600</v>
      </c>
      <c r="AA18" s="31">
        <v>625</v>
      </c>
      <c r="AB18" s="30">
        <v>7</v>
      </c>
      <c r="AC18" s="23">
        <f t="shared" si="10"/>
        <v>460</v>
      </c>
      <c r="AD18" s="30">
        <f t="shared" si="11"/>
        <v>4600</v>
      </c>
      <c r="AE18" s="31">
        <v>625</v>
      </c>
      <c r="AF18" s="30">
        <v>8</v>
      </c>
      <c r="AG18" s="23">
        <f t="shared" si="12"/>
        <v>460</v>
      </c>
      <c r="AH18" s="30">
        <f t="shared" si="13"/>
        <v>4600</v>
      </c>
      <c r="AI18" s="31">
        <v>625</v>
      </c>
      <c r="AJ18" s="30">
        <v>20</v>
      </c>
      <c r="AK18" s="30">
        <f t="shared" si="14"/>
        <v>138</v>
      </c>
      <c r="AL18" s="30">
        <f>进阶值!D43</f>
        <v>5520</v>
      </c>
      <c r="AM18" s="31">
        <v>625</v>
      </c>
      <c r="AN18" s="30">
        <v>18</v>
      </c>
      <c r="AO18" s="30">
        <f t="shared" si="15"/>
        <v>69</v>
      </c>
      <c r="AP18" s="30">
        <f t="shared" si="16"/>
        <v>5520</v>
      </c>
      <c r="AQ18" s="31">
        <v>625</v>
      </c>
      <c r="AR18" s="30">
        <v>19</v>
      </c>
      <c r="AS18" s="30">
        <f t="shared" si="17"/>
        <v>69</v>
      </c>
      <c r="AT18" s="30">
        <f t="shared" si="18"/>
        <v>5520</v>
      </c>
      <c r="AU18" s="31">
        <v>625</v>
      </c>
      <c r="AV18" s="30">
        <v>21</v>
      </c>
      <c r="AW18" s="30">
        <f t="shared" si="19"/>
        <v>138</v>
      </c>
      <c r="AX18" s="30">
        <f t="shared" si="20"/>
        <v>5520</v>
      </c>
      <c r="AY18" s="31">
        <v>625</v>
      </c>
      <c r="AZ18" s="30">
        <v>22</v>
      </c>
      <c r="BA18" s="23">
        <f t="shared" si="21"/>
        <v>276</v>
      </c>
      <c r="BB18" s="30">
        <f t="shared" si="22"/>
        <v>5520</v>
      </c>
      <c r="BC18" s="31">
        <v>625</v>
      </c>
      <c r="BD18" s="30">
        <v>23</v>
      </c>
      <c r="BE18" s="23">
        <f t="shared" si="23"/>
        <v>276</v>
      </c>
      <c r="BF18" s="30">
        <f t="shared" si="24"/>
        <v>5520</v>
      </c>
      <c r="BG18" s="31">
        <v>625</v>
      </c>
      <c r="BH18" s="30">
        <v>24</v>
      </c>
      <c r="BI18" s="23">
        <f t="shared" si="25"/>
        <v>276</v>
      </c>
      <c r="BJ18" s="30">
        <f t="shared" si="26"/>
        <v>5520</v>
      </c>
      <c r="BK18" s="31">
        <v>625</v>
      </c>
      <c r="BL18" s="30">
        <v>25</v>
      </c>
      <c r="BM18" s="23">
        <f t="shared" si="27"/>
        <v>276</v>
      </c>
      <c r="BN18" s="30">
        <f t="shared" si="28"/>
        <v>5520</v>
      </c>
    </row>
    <row r="19" spans="1:66" x14ac:dyDescent="0.2">
      <c r="A19" s="23" t="s">
        <v>68</v>
      </c>
      <c r="B19" s="23" t="s">
        <v>74</v>
      </c>
      <c r="C19" s="27">
        <v>625</v>
      </c>
      <c r="D19" s="30">
        <v>3</v>
      </c>
      <c r="E19" s="23">
        <f t="shared" si="0"/>
        <v>640</v>
      </c>
      <c r="F19">
        <f>进阶值!$C44</f>
        <v>6400</v>
      </c>
      <c r="G19" s="31">
        <v>625</v>
      </c>
      <c r="H19" s="30">
        <v>1</v>
      </c>
      <c r="I19" s="23">
        <f t="shared" si="1"/>
        <v>12800</v>
      </c>
      <c r="J19">
        <f>进阶值!$C44</f>
        <v>6400</v>
      </c>
      <c r="K19" s="31">
        <v>625</v>
      </c>
      <c r="L19" s="23" t="s">
        <v>170</v>
      </c>
      <c r="M19" s="23">
        <f t="shared" si="2"/>
        <v>640</v>
      </c>
      <c r="N19" s="30">
        <f t="shared" si="3"/>
        <v>6400</v>
      </c>
      <c r="O19" s="31">
        <v>625</v>
      </c>
      <c r="P19" s="23">
        <v>4</v>
      </c>
      <c r="Q19" s="23">
        <f t="shared" si="4"/>
        <v>640</v>
      </c>
      <c r="R19" s="30">
        <f t="shared" si="5"/>
        <v>6400</v>
      </c>
      <c r="S19" s="31">
        <v>625</v>
      </c>
      <c r="T19" s="30">
        <v>5</v>
      </c>
      <c r="U19" s="23">
        <f t="shared" si="6"/>
        <v>640</v>
      </c>
      <c r="V19" s="30">
        <f t="shared" si="7"/>
        <v>6400</v>
      </c>
      <c r="W19" s="31">
        <v>625</v>
      </c>
      <c r="X19" s="30">
        <v>6</v>
      </c>
      <c r="Y19" s="23">
        <f t="shared" si="8"/>
        <v>640</v>
      </c>
      <c r="Z19" s="30">
        <f t="shared" si="9"/>
        <v>6400</v>
      </c>
      <c r="AA19" s="31">
        <v>625</v>
      </c>
      <c r="AB19" s="30">
        <v>7</v>
      </c>
      <c r="AC19" s="23">
        <f t="shared" si="10"/>
        <v>640</v>
      </c>
      <c r="AD19" s="30">
        <f t="shared" si="11"/>
        <v>6400</v>
      </c>
      <c r="AE19" s="31">
        <v>625</v>
      </c>
      <c r="AF19" s="30">
        <v>8</v>
      </c>
      <c r="AG19" s="23">
        <f t="shared" si="12"/>
        <v>640</v>
      </c>
      <c r="AH19" s="30">
        <f t="shared" si="13"/>
        <v>6400</v>
      </c>
      <c r="AI19" s="31">
        <v>625</v>
      </c>
      <c r="AJ19" s="30">
        <v>20</v>
      </c>
      <c r="AK19" s="30">
        <f t="shared" si="14"/>
        <v>192</v>
      </c>
      <c r="AL19" s="30">
        <f>进阶值!D44</f>
        <v>7680</v>
      </c>
      <c r="AM19" s="31">
        <v>625</v>
      </c>
      <c r="AN19" s="30">
        <v>18</v>
      </c>
      <c r="AO19" s="30">
        <f t="shared" si="15"/>
        <v>96</v>
      </c>
      <c r="AP19" s="30">
        <f t="shared" si="16"/>
        <v>7680</v>
      </c>
      <c r="AQ19" s="31">
        <v>625</v>
      </c>
      <c r="AR19" s="30">
        <v>19</v>
      </c>
      <c r="AS19" s="30">
        <f t="shared" si="17"/>
        <v>96</v>
      </c>
      <c r="AT19" s="30">
        <f t="shared" si="18"/>
        <v>7680</v>
      </c>
      <c r="AU19" s="31">
        <v>625</v>
      </c>
      <c r="AV19" s="30">
        <v>21</v>
      </c>
      <c r="AW19" s="30">
        <f t="shared" si="19"/>
        <v>192</v>
      </c>
      <c r="AX19" s="30">
        <f t="shared" si="20"/>
        <v>7680</v>
      </c>
      <c r="AY19" s="31">
        <v>625</v>
      </c>
      <c r="AZ19" s="30">
        <v>22</v>
      </c>
      <c r="BA19" s="23">
        <f t="shared" si="21"/>
        <v>384</v>
      </c>
      <c r="BB19" s="30">
        <f t="shared" si="22"/>
        <v>7680</v>
      </c>
      <c r="BC19" s="31">
        <v>625</v>
      </c>
      <c r="BD19" s="30">
        <v>23</v>
      </c>
      <c r="BE19" s="23">
        <f t="shared" si="23"/>
        <v>384</v>
      </c>
      <c r="BF19" s="30">
        <f t="shared" si="24"/>
        <v>7680</v>
      </c>
      <c r="BG19" s="31">
        <v>625</v>
      </c>
      <c r="BH19" s="30">
        <v>24</v>
      </c>
      <c r="BI19" s="23">
        <f t="shared" si="25"/>
        <v>384</v>
      </c>
      <c r="BJ19" s="30">
        <f t="shared" si="26"/>
        <v>7680</v>
      </c>
      <c r="BK19" s="31">
        <v>625</v>
      </c>
      <c r="BL19" s="30">
        <v>25</v>
      </c>
      <c r="BM19" s="23">
        <f t="shared" si="27"/>
        <v>384</v>
      </c>
      <c r="BN19" s="30">
        <f t="shared" si="28"/>
        <v>7680</v>
      </c>
    </row>
    <row r="20" spans="1:66" x14ac:dyDescent="0.2">
      <c r="A20" s="23" t="s">
        <v>68</v>
      </c>
      <c r="B20" s="23" t="s">
        <v>75</v>
      </c>
      <c r="C20" s="27">
        <v>625</v>
      </c>
      <c r="D20" s="30">
        <v>3</v>
      </c>
      <c r="E20" s="23">
        <f t="shared" si="0"/>
        <v>820</v>
      </c>
      <c r="F20">
        <f>进阶值!$C45</f>
        <v>8200</v>
      </c>
      <c r="G20" s="31">
        <v>625</v>
      </c>
      <c r="H20" s="30">
        <v>1</v>
      </c>
      <c r="I20" s="23">
        <f t="shared" si="1"/>
        <v>16400</v>
      </c>
      <c r="J20">
        <f>进阶值!$C45</f>
        <v>8200</v>
      </c>
      <c r="K20" s="31">
        <v>625</v>
      </c>
      <c r="L20" s="23" t="s">
        <v>170</v>
      </c>
      <c r="M20" s="23">
        <f t="shared" si="2"/>
        <v>820</v>
      </c>
      <c r="N20" s="30">
        <f t="shared" si="3"/>
        <v>8200</v>
      </c>
      <c r="O20" s="31">
        <v>625</v>
      </c>
      <c r="P20" s="23">
        <v>4</v>
      </c>
      <c r="Q20" s="23">
        <f t="shared" si="4"/>
        <v>820</v>
      </c>
      <c r="R20" s="30">
        <f t="shared" si="5"/>
        <v>8200</v>
      </c>
      <c r="S20" s="31">
        <v>625</v>
      </c>
      <c r="T20" s="30">
        <v>5</v>
      </c>
      <c r="U20" s="23">
        <f t="shared" si="6"/>
        <v>820</v>
      </c>
      <c r="V20" s="30">
        <f t="shared" si="7"/>
        <v>8200</v>
      </c>
      <c r="W20" s="31">
        <v>625</v>
      </c>
      <c r="X20" s="30">
        <v>6</v>
      </c>
      <c r="Y20" s="23">
        <f t="shared" si="8"/>
        <v>820</v>
      </c>
      <c r="Z20" s="30">
        <f t="shared" si="9"/>
        <v>8200</v>
      </c>
      <c r="AA20" s="31">
        <v>625</v>
      </c>
      <c r="AB20" s="30">
        <v>7</v>
      </c>
      <c r="AC20" s="23">
        <f t="shared" si="10"/>
        <v>820</v>
      </c>
      <c r="AD20" s="30">
        <f t="shared" si="11"/>
        <v>8200</v>
      </c>
      <c r="AE20" s="31">
        <v>625</v>
      </c>
      <c r="AF20" s="30">
        <v>8</v>
      </c>
      <c r="AG20" s="23">
        <f t="shared" si="12"/>
        <v>820</v>
      </c>
      <c r="AH20" s="30">
        <f t="shared" si="13"/>
        <v>8200</v>
      </c>
      <c r="AI20" s="31">
        <v>625</v>
      </c>
      <c r="AJ20" s="30">
        <v>20</v>
      </c>
      <c r="AK20" s="30">
        <f t="shared" si="14"/>
        <v>246</v>
      </c>
      <c r="AL20" s="30">
        <f>进阶值!D45</f>
        <v>9840</v>
      </c>
      <c r="AM20" s="31">
        <v>625</v>
      </c>
      <c r="AN20" s="30">
        <v>18</v>
      </c>
      <c r="AO20" s="30">
        <f t="shared" si="15"/>
        <v>123</v>
      </c>
      <c r="AP20" s="30">
        <f t="shared" si="16"/>
        <v>9840</v>
      </c>
      <c r="AQ20" s="31">
        <v>625</v>
      </c>
      <c r="AR20" s="30">
        <v>19</v>
      </c>
      <c r="AS20" s="30">
        <f t="shared" si="17"/>
        <v>123</v>
      </c>
      <c r="AT20" s="30">
        <f t="shared" si="18"/>
        <v>9840</v>
      </c>
      <c r="AU20" s="31">
        <v>625</v>
      </c>
      <c r="AV20" s="30">
        <v>21</v>
      </c>
      <c r="AW20" s="30">
        <f t="shared" si="19"/>
        <v>246</v>
      </c>
      <c r="AX20" s="30">
        <f t="shared" si="20"/>
        <v>9840</v>
      </c>
      <c r="AY20" s="31">
        <v>625</v>
      </c>
      <c r="AZ20" s="30">
        <v>22</v>
      </c>
      <c r="BA20" s="23">
        <f t="shared" si="21"/>
        <v>492</v>
      </c>
      <c r="BB20" s="30">
        <f t="shared" si="22"/>
        <v>9840</v>
      </c>
      <c r="BC20" s="31">
        <v>625</v>
      </c>
      <c r="BD20" s="30">
        <v>23</v>
      </c>
      <c r="BE20" s="23">
        <f t="shared" si="23"/>
        <v>492</v>
      </c>
      <c r="BF20" s="30">
        <f t="shared" si="24"/>
        <v>9840</v>
      </c>
      <c r="BG20" s="31">
        <v>625</v>
      </c>
      <c r="BH20" s="30">
        <v>24</v>
      </c>
      <c r="BI20" s="23">
        <f t="shared" si="25"/>
        <v>492</v>
      </c>
      <c r="BJ20" s="30">
        <f t="shared" si="26"/>
        <v>9840</v>
      </c>
      <c r="BK20" s="31">
        <v>625</v>
      </c>
      <c r="BL20" s="30">
        <v>25</v>
      </c>
      <c r="BM20" s="23">
        <f t="shared" si="27"/>
        <v>492</v>
      </c>
      <c r="BN20" s="30">
        <f t="shared" si="28"/>
        <v>9840</v>
      </c>
    </row>
    <row r="21" spans="1:66" x14ac:dyDescent="0.2">
      <c r="A21" s="23" t="s">
        <v>68</v>
      </c>
      <c r="B21" s="23" t="s">
        <v>76</v>
      </c>
      <c r="C21" s="27">
        <v>625</v>
      </c>
      <c r="D21" s="30">
        <v>3</v>
      </c>
      <c r="E21" s="23">
        <f t="shared" si="0"/>
        <v>1000</v>
      </c>
      <c r="F21">
        <f>进阶值!$C46</f>
        <v>10000</v>
      </c>
      <c r="G21" s="31">
        <v>625</v>
      </c>
      <c r="H21" s="30">
        <v>1</v>
      </c>
      <c r="I21" s="23">
        <f t="shared" si="1"/>
        <v>20000</v>
      </c>
      <c r="J21">
        <f>进阶值!$C46</f>
        <v>10000</v>
      </c>
      <c r="K21" s="31">
        <v>625</v>
      </c>
      <c r="L21" s="30" t="s">
        <v>170</v>
      </c>
      <c r="M21" s="23">
        <f t="shared" si="2"/>
        <v>1000</v>
      </c>
      <c r="N21" s="30">
        <f t="shared" si="3"/>
        <v>10000</v>
      </c>
      <c r="O21" s="31">
        <v>625</v>
      </c>
      <c r="P21" s="30">
        <v>4</v>
      </c>
      <c r="Q21" s="23">
        <f t="shared" si="4"/>
        <v>1000</v>
      </c>
      <c r="R21" s="30">
        <f t="shared" si="5"/>
        <v>10000</v>
      </c>
      <c r="S21" s="31">
        <v>625</v>
      </c>
      <c r="T21" s="30">
        <v>5</v>
      </c>
      <c r="U21" s="23">
        <f t="shared" si="6"/>
        <v>1000</v>
      </c>
      <c r="V21" s="30">
        <f t="shared" si="7"/>
        <v>10000</v>
      </c>
      <c r="W21" s="31">
        <v>625</v>
      </c>
      <c r="X21" s="30">
        <v>6</v>
      </c>
      <c r="Y21" s="23">
        <f t="shared" si="8"/>
        <v>1000</v>
      </c>
      <c r="Z21" s="30">
        <f t="shared" si="9"/>
        <v>10000</v>
      </c>
      <c r="AA21" s="31">
        <v>625</v>
      </c>
      <c r="AB21" s="30">
        <v>7</v>
      </c>
      <c r="AC21" s="23">
        <f t="shared" si="10"/>
        <v>1000</v>
      </c>
      <c r="AD21" s="30">
        <f t="shared" si="11"/>
        <v>10000</v>
      </c>
      <c r="AE21" s="31">
        <v>625</v>
      </c>
      <c r="AF21" s="30">
        <v>8</v>
      </c>
      <c r="AG21" s="23">
        <f t="shared" si="12"/>
        <v>1000</v>
      </c>
      <c r="AH21" s="30">
        <f t="shared" si="13"/>
        <v>10000</v>
      </c>
      <c r="AI21" s="31">
        <v>625</v>
      </c>
      <c r="AJ21" s="30">
        <v>20</v>
      </c>
      <c r="AK21" s="30">
        <f t="shared" si="14"/>
        <v>300</v>
      </c>
      <c r="AL21" s="30">
        <f>进阶值!D46</f>
        <v>12000</v>
      </c>
      <c r="AM21" s="31">
        <v>625</v>
      </c>
      <c r="AN21" s="30">
        <v>18</v>
      </c>
      <c r="AO21" s="30">
        <f t="shared" si="15"/>
        <v>150</v>
      </c>
      <c r="AP21" s="30">
        <f t="shared" si="16"/>
        <v>12000</v>
      </c>
      <c r="AQ21" s="31">
        <v>625</v>
      </c>
      <c r="AR21" s="30">
        <v>19</v>
      </c>
      <c r="AS21" s="30">
        <f t="shared" si="17"/>
        <v>150</v>
      </c>
      <c r="AT21" s="30">
        <f t="shared" si="18"/>
        <v>12000</v>
      </c>
      <c r="AU21" s="31">
        <v>625</v>
      </c>
      <c r="AV21" s="30">
        <v>21</v>
      </c>
      <c r="AW21" s="30">
        <f t="shared" si="19"/>
        <v>300</v>
      </c>
      <c r="AX21" s="30">
        <f t="shared" si="20"/>
        <v>12000</v>
      </c>
      <c r="AY21" s="31">
        <v>625</v>
      </c>
      <c r="AZ21" s="30">
        <v>22</v>
      </c>
      <c r="BA21" s="23">
        <f t="shared" si="21"/>
        <v>600</v>
      </c>
      <c r="BB21" s="30">
        <f t="shared" si="22"/>
        <v>12000</v>
      </c>
      <c r="BC21" s="31">
        <v>625</v>
      </c>
      <c r="BD21" s="30">
        <v>23</v>
      </c>
      <c r="BE21" s="23">
        <f t="shared" si="23"/>
        <v>600</v>
      </c>
      <c r="BF21" s="30">
        <f t="shared" si="24"/>
        <v>12000</v>
      </c>
      <c r="BG21" s="31">
        <v>625</v>
      </c>
      <c r="BH21" s="30">
        <v>24</v>
      </c>
      <c r="BI21" s="23">
        <f t="shared" si="25"/>
        <v>600</v>
      </c>
      <c r="BJ21" s="30">
        <f t="shared" si="26"/>
        <v>12000</v>
      </c>
      <c r="BK21" s="31">
        <v>625</v>
      </c>
      <c r="BL21" s="30">
        <v>25</v>
      </c>
      <c r="BM21" s="23">
        <f t="shared" si="27"/>
        <v>600</v>
      </c>
      <c r="BN21" s="30">
        <f t="shared" si="28"/>
        <v>12000</v>
      </c>
    </row>
    <row r="22" spans="1:66" x14ac:dyDescent="0.2">
      <c r="A22" s="23" t="s">
        <v>68</v>
      </c>
      <c r="B22" s="23" t="s">
        <v>77</v>
      </c>
      <c r="C22" s="27">
        <v>625</v>
      </c>
      <c r="D22" s="30">
        <v>3</v>
      </c>
      <c r="E22" s="23">
        <f t="shared" si="0"/>
        <v>1180</v>
      </c>
      <c r="F22">
        <f>进阶值!$C47</f>
        <v>11800</v>
      </c>
      <c r="G22" s="31">
        <v>625</v>
      </c>
      <c r="H22" s="30">
        <v>1</v>
      </c>
      <c r="I22" s="23">
        <f t="shared" si="1"/>
        <v>23600</v>
      </c>
      <c r="J22">
        <f>进阶值!$C47</f>
        <v>11800</v>
      </c>
      <c r="K22" s="31">
        <v>625</v>
      </c>
      <c r="L22" s="23" t="s">
        <v>170</v>
      </c>
      <c r="M22" s="23">
        <f t="shared" si="2"/>
        <v>1180</v>
      </c>
      <c r="N22" s="30">
        <f t="shared" si="3"/>
        <v>11800</v>
      </c>
      <c r="O22" s="31">
        <v>625</v>
      </c>
      <c r="P22" s="23">
        <v>4</v>
      </c>
      <c r="Q22" s="23">
        <f t="shared" si="4"/>
        <v>1180</v>
      </c>
      <c r="R22" s="30">
        <f t="shared" si="5"/>
        <v>11800</v>
      </c>
      <c r="S22" s="31">
        <v>625</v>
      </c>
      <c r="T22" s="30">
        <v>5</v>
      </c>
      <c r="U22" s="23">
        <f t="shared" si="6"/>
        <v>1180</v>
      </c>
      <c r="V22" s="30">
        <f t="shared" si="7"/>
        <v>11800</v>
      </c>
      <c r="W22" s="31">
        <v>625</v>
      </c>
      <c r="X22" s="30">
        <v>6</v>
      </c>
      <c r="Y22" s="23">
        <f t="shared" si="8"/>
        <v>1180</v>
      </c>
      <c r="Z22" s="30">
        <f t="shared" si="9"/>
        <v>11800</v>
      </c>
      <c r="AA22" s="31">
        <v>625</v>
      </c>
      <c r="AB22" s="30">
        <v>7</v>
      </c>
      <c r="AC22" s="23">
        <f t="shared" si="10"/>
        <v>1180</v>
      </c>
      <c r="AD22" s="30">
        <f t="shared" si="11"/>
        <v>11800</v>
      </c>
      <c r="AE22" s="31">
        <v>625</v>
      </c>
      <c r="AF22" s="30">
        <v>8</v>
      </c>
      <c r="AG22" s="23">
        <f t="shared" si="12"/>
        <v>1180</v>
      </c>
      <c r="AH22" s="30">
        <f t="shared" si="13"/>
        <v>11800</v>
      </c>
      <c r="AI22" s="31">
        <v>625</v>
      </c>
      <c r="AJ22" s="30">
        <v>20</v>
      </c>
      <c r="AK22" s="30">
        <f t="shared" si="14"/>
        <v>354</v>
      </c>
      <c r="AL22" s="30">
        <f>进阶值!D47</f>
        <v>14160</v>
      </c>
      <c r="AM22" s="31">
        <v>625</v>
      </c>
      <c r="AN22" s="30">
        <v>18</v>
      </c>
      <c r="AO22" s="30">
        <f t="shared" si="15"/>
        <v>177</v>
      </c>
      <c r="AP22" s="30">
        <f t="shared" si="16"/>
        <v>14160</v>
      </c>
      <c r="AQ22" s="31">
        <v>625</v>
      </c>
      <c r="AR22" s="30">
        <v>19</v>
      </c>
      <c r="AS22" s="30">
        <f t="shared" si="17"/>
        <v>177</v>
      </c>
      <c r="AT22" s="30">
        <f t="shared" si="18"/>
        <v>14160</v>
      </c>
      <c r="AU22" s="31">
        <v>625</v>
      </c>
      <c r="AV22" s="30">
        <v>21</v>
      </c>
      <c r="AW22" s="30">
        <f t="shared" si="19"/>
        <v>354</v>
      </c>
      <c r="AX22" s="30">
        <f t="shared" si="20"/>
        <v>14160</v>
      </c>
      <c r="AY22" s="31">
        <v>625</v>
      </c>
      <c r="AZ22" s="30">
        <v>22</v>
      </c>
      <c r="BA22" s="23">
        <f t="shared" si="21"/>
        <v>708</v>
      </c>
      <c r="BB22" s="30">
        <f t="shared" si="22"/>
        <v>14160</v>
      </c>
      <c r="BC22" s="31">
        <v>625</v>
      </c>
      <c r="BD22" s="30">
        <v>23</v>
      </c>
      <c r="BE22" s="23">
        <f t="shared" si="23"/>
        <v>708</v>
      </c>
      <c r="BF22" s="30">
        <f t="shared" si="24"/>
        <v>14160</v>
      </c>
      <c r="BG22" s="31">
        <v>625</v>
      </c>
      <c r="BH22" s="30">
        <v>24</v>
      </c>
      <c r="BI22" s="23">
        <f t="shared" si="25"/>
        <v>708</v>
      </c>
      <c r="BJ22" s="30">
        <f t="shared" si="26"/>
        <v>14160</v>
      </c>
      <c r="BK22" s="31">
        <v>625</v>
      </c>
      <c r="BL22" s="30">
        <v>25</v>
      </c>
      <c r="BM22" s="23">
        <f t="shared" si="27"/>
        <v>708</v>
      </c>
      <c r="BN22" s="30">
        <f t="shared" si="28"/>
        <v>14160</v>
      </c>
    </row>
    <row r="23" spans="1:66" x14ac:dyDescent="0.2">
      <c r="A23" s="23" t="s">
        <v>68</v>
      </c>
      <c r="B23" s="23" t="s">
        <v>177</v>
      </c>
      <c r="C23" s="27">
        <v>625</v>
      </c>
      <c r="D23" s="30">
        <v>3</v>
      </c>
      <c r="E23" s="23">
        <f t="shared" si="0"/>
        <v>1360</v>
      </c>
      <c r="F23">
        <f>进阶值!$C48</f>
        <v>13600</v>
      </c>
      <c r="G23" s="31">
        <v>625</v>
      </c>
      <c r="H23" s="30">
        <v>1</v>
      </c>
      <c r="I23" s="23">
        <f t="shared" si="1"/>
        <v>27200</v>
      </c>
      <c r="J23">
        <f>进阶值!$C48</f>
        <v>13600</v>
      </c>
      <c r="K23" s="31">
        <v>625</v>
      </c>
      <c r="L23" s="23" t="s">
        <v>170</v>
      </c>
      <c r="M23" s="23">
        <f t="shared" si="2"/>
        <v>1360</v>
      </c>
      <c r="N23" s="30">
        <f t="shared" si="3"/>
        <v>13600</v>
      </c>
      <c r="O23" s="31">
        <v>625</v>
      </c>
      <c r="P23" s="23">
        <v>4</v>
      </c>
      <c r="Q23" s="23">
        <f t="shared" si="4"/>
        <v>1360</v>
      </c>
      <c r="R23" s="30">
        <f t="shared" si="5"/>
        <v>13600</v>
      </c>
      <c r="S23" s="31">
        <v>625</v>
      </c>
      <c r="T23" s="30">
        <v>5</v>
      </c>
      <c r="U23" s="23">
        <f t="shared" si="6"/>
        <v>1360</v>
      </c>
      <c r="V23" s="30">
        <f t="shared" si="7"/>
        <v>13600</v>
      </c>
      <c r="W23" s="31">
        <v>625</v>
      </c>
      <c r="X23" s="30">
        <v>6</v>
      </c>
      <c r="Y23" s="23">
        <f t="shared" si="8"/>
        <v>1360</v>
      </c>
      <c r="Z23" s="30">
        <f t="shared" si="9"/>
        <v>13600</v>
      </c>
      <c r="AA23" s="31">
        <v>625</v>
      </c>
      <c r="AB23" s="30">
        <v>7</v>
      </c>
      <c r="AC23" s="23">
        <f t="shared" si="10"/>
        <v>1360</v>
      </c>
      <c r="AD23" s="30">
        <f t="shared" si="11"/>
        <v>13600</v>
      </c>
      <c r="AE23" s="31">
        <v>625</v>
      </c>
      <c r="AF23" s="30">
        <v>8</v>
      </c>
      <c r="AG23" s="23">
        <f t="shared" si="12"/>
        <v>1360</v>
      </c>
      <c r="AH23" s="30">
        <f t="shared" si="13"/>
        <v>13600</v>
      </c>
      <c r="AI23" s="31">
        <v>625</v>
      </c>
      <c r="AJ23" s="30">
        <v>20</v>
      </c>
      <c r="AK23" s="30">
        <f t="shared" si="14"/>
        <v>408</v>
      </c>
      <c r="AL23" s="30">
        <f>进阶值!D48</f>
        <v>16320</v>
      </c>
      <c r="AM23" s="31">
        <v>625</v>
      </c>
      <c r="AN23" s="30">
        <v>18</v>
      </c>
      <c r="AO23" s="30">
        <f t="shared" si="15"/>
        <v>204</v>
      </c>
      <c r="AP23" s="30">
        <f t="shared" si="16"/>
        <v>16320</v>
      </c>
      <c r="AQ23" s="31">
        <v>625</v>
      </c>
      <c r="AR23" s="30">
        <v>19</v>
      </c>
      <c r="AS23" s="30">
        <f t="shared" si="17"/>
        <v>204</v>
      </c>
      <c r="AT23" s="30">
        <f t="shared" si="18"/>
        <v>16320</v>
      </c>
      <c r="AU23" s="31">
        <v>625</v>
      </c>
      <c r="AV23" s="30">
        <v>21</v>
      </c>
      <c r="AW23" s="30">
        <f t="shared" si="19"/>
        <v>408</v>
      </c>
      <c r="AX23" s="30">
        <f t="shared" si="20"/>
        <v>16320</v>
      </c>
      <c r="AY23" s="31">
        <v>625</v>
      </c>
      <c r="AZ23" s="30">
        <v>22</v>
      </c>
      <c r="BA23" s="23">
        <f t="shared" si="21"/>
        <v>816</v>
      </c>
      <c r="BB23" s="30">
        <f t="shared" si="22"/>
        <v>16320</v>
      </c>
      <c r="BC23" s="31">
        <v>625</v>
      </c>
      <c r="BD23" s="30">
        <v>23</v>
      </c>
      <c r="BE23" s="23">
        <f t="shared" si="23"/>
        <v>816</v>
      </c>
      <c r="BF23" s="30">
        <f t="shared" si="24"/>
        <v>16320</v>
      </c>
      <c r="BG23" s="31">
        <v>625</v>
      </c>
      <c r="BH23" s="30">
        <v>24</v>
      </c>
      <c r="BI23" s="23">
        <f t="shared" si="25"/>
        <v>816</v>
      </c>
      <c r="BJ23" s="30">
        <f t="shared" si="26"/>
        <v>16320</v>
      </c>
      <c r="BK23" s="31">
        <v>625</v>
      </c>
      <c r="BL23" s="30">
        <v>25</v>
      </c>
      <c r="BM23" s="23">
        <f t="shared" si="27"/>
        <v>816</v>
      </c>
      <c r="BN23" s="30">
        <f t="shared" si="28"/>
        <v>16320</v>
      </c>
    </row>
    <row r="24" spans="1:66" x14ac:dyDescent="0.2">
      <c r="A24" s="28"/>
      <c r="B24" s="28"/>
      <c r="D24" s="28"/>
    </row>
    <row r="25" spans="1:66" x14ac:dyDescent="0.2">
      <c r="A25" s="30" t="s">
        <v>34</v>
      </c>
      <c r="B25" s="28"/>
      <c r="C25" s="25" t="str">
        <f>C3&amp;","&amp;D3&amp;","&amp;E3&amp;","&amp;F3</f>
        <v>625,3,85,850</v>
      </c>
      <c r="D25" s="28"/>
      <c r="G25" s="25" t="str">
        <f>G3&amp;","&amp;H3&amp;","&amp;I3&amp;","&amp;J3</f>
        <v>625,1,1700,850</v>
      </c>
      <c r="K25" s="25" t="str">
        <f>K3&amp;","&amp;L3&amp;","&amp;M3&amp;","&amp;N3</f>
        <v>625,2,85,850</v>
      </c>
      <c r="O25" s="25" t="str">
        <f>O3&amp;","&amp;P3&amp;","&amp;Q3&amp;","&amp;R3</f>
        <v>625,4,85,850</v>
      </c>
      <c r="S25" s="25" t="str">
        <f>S3&amp;","&amp;T3&amp;","&amp;U3&amp;","&amp;V3</f>
        <v>625,5,85,850</v>
      </c>
      <c r="W25" s="25" t="str">
        <f>W3&amp;","&amp;X3&amp;","&amp;Y3&amp;","&amp;Z3</f>
        <v>625,6,85,850</v>
      </c>
      <c r="AA25" s="25" t="str">
        <f>AA3&amp;","&amp;AB3&amp;","&amp;AC3&amp;","&amp;AD3</f>
        <v>625,7,85,850</v>
      </c>
      <c r="AE25" s="25" t="str">
        <f>AE3&amp;","&amp;AF3&amp;","&amp;AG3&amp;","&amp;AH3</f>
        <v>625,8,85,850</v>
      </c>
      <c r="AI25" s="25" t="str">
        <f>AI3&amp;","&amp;AJ3&amp;","&amp;AK3&amp;","&amp;AL3</f>
        <v>625,20,26,1020</v>
      </c>
      <c r="AM25" s="25" t="str">
        <f>AM3&amp;","&amp;AN3&amp;","&amp;AO3&amp;","&amp;AP3</f>
        <v>625,18,12,1020</v>
      </c>
      <c r="AQ25" s="25" t="str">
        <f>AQ3&amp;","&amp;AR3&amp;","&amp;AS3&amp;","&amp;AT3</f>
        <v>625,19,12,1020</v>
      </c>
      <c r="AU25" s="25" t="str">
        <f>AU3&amp;","&amp;AV3&amp;","&amp;AW3&amp;","&amp;AX3</f>
        <v>625,21,26,1020</v>
      </c>
      <c r="AY25" s="25" t="str">
        <f>AY3&amp;","&amp;AZ3&amp;","&amp;BA3&amp;","&amp;BB3</f>
        <v>625,22,51,1020</v>
      </c>
      <c r="BC25" s="25" t="str">
        <f>BC3&amp;","&amp;BD3&amp;","&amp;BE3&amp;","&amp;BF3</f>
        <v>625,23,51,1020</v>
      </c>
      <c r="BG25" s="25" t="str">
        <f>BG3&amp;","&amp;BH3&amp;","&amp;BI3&amp;","&amp;BJ3</f>
        <v>625,24,51,1020</v>
      </c>
      <c r="BK25" s="25" t="str">
        <f>BK3&amp;","&amp;BL3&amp;","&amp;BM3&amp;","&amp;BN3</f>
        <v>625,25,51,1020</v>
      </c>
    </row>
    <row r="26" spans="1:66" x14ac:dyDescent="0.2">
      <c r="A26" s="23" t="s">
        <v>34</v>
      </c>
      <c r="B26" s="29"/>
      <c r="C26" s="25" t="str">
        <f t="shared" ref="C26:C45" si="29">C4&amp;","&amp;D4&amp;","&amp;E4&amp;","&amp;F4</f>
        <v>625,3,95,950</v>
      </c>
      <c r="D26" s="28"/>
      <c r="G26" s="25" t="str">
        <f t="shared" ref="G26:G45" si="30">G4&amp;","&amp;H4&amp;","&amp;I4&amp;","&amp;J4</f>
        <v>625,1,1900,950</v>
      </c>
      <c r="K26" s="25" t="str">
        <f t="shared" ref="K26:K45" si="31">K4&amp;","&amp;L4&amp;","&amp;M4&amp;","&amp;N4</f>
        <v>625,2,95,950</v>
      </c>
      <c r="O26" s="25" t="str">
        <f t="shared" ref="O26:O45" si="32">O4&amp;","&amp;P4&amp;","&amp;Q4&amp;","&amp;R4</f>
        <v>625,4,95,950</v>
      </c>
      <c r="S26" s="25" t="str">
        <f t="shared" ref="S26:S45" si="33">S4&amp;","&amp;T4&amp;","&amp;U4&amp;","&amp;V4</f>
        <v>625,5,95,950</v>
      </c>
      <c r="W26" s="25" t="str">
        <f t="shared" ref="W26:W45" si="34">W4&amp;","&amp;X4&amp;","&amp;Y4&amp;","&amp;Z4</f>
        <v>625,6,95,950</v>
      </c>
      <c r="AA26" s="25" t="str">
        <f t="shared" ref="AA26:AA45" si="35">AA4&amp;","&amp;AB4&amp;","&amp;AC4&amp;","&amp;AD4</f>
        <v>625,7,95,950</v>
      </c>
      <c r="AE26" s="25" t="str">
        <f t="shared" ref="AE26:AE45" si="36">AE4&amp;","&amp;AF4&amp;","&amp;AG4&amp;","&amp;AH4</f>
        <v>625,8,95,950</v>
      </c>
      <c r="AI26" s="25" t="str">
        <f t="shared" ref="AI26:AI45" si="37">AI4&amp;","&amp;AJ4&amp;","&amp;AK4&amp;","&amp;AL4</f>
        <v>625,20,29,1140</v>
      </c>
      <c r="AM26" s="25" t="str">
        <f t="shared" ref="AM26:AM45" si="38">AM4&amp;","&amp;AN4&amp;","&amp;AO4&amp;","&amp;AP4</f>
        <v>625,18,14,1140</v>
      </c>
      <c r="AQ26" s="25" t="str">
        <f t="shared" ref="AQ26:AQ45" si="39">AQ4&amp;","&amp;AR4&amp;","&amp;AS4&amp;","&amp;AT4</f>
        <v>625,19,14,1140</v>
      </c>
      <c r="AU26" s="25" t="str">
        <f t="shared" ref="AU26:AU45" si="40">AU4&amp;","&amp;AV4&amp;","&amp;AW4&amp;","&amp;AX4</f>
        <v>625,21,29,1140</v>
      </c>
      <c r="AY26" s="25" t="str">
        <f t="shared" ref="AY26:AY45" si="41">AY4&amp;","&amp;AZ4&amp;","&amp;BA4&amp;","&amp;BB4</f>
        <v>625,22,57,1140</v>
      </c>
      <c r="BC26" s="25" t="str">
        <f t="shared" ref="BC26:BC45" si="42">BC4&amp;","&amp;BD4&amp;","&amp;BE4&amp;","&amp;BF4</f>
        <v>625,23,57,1140</v>
      </c>
      <c r="BG26" s="25" t="str">
        <f t="shared" ref="BG26:BG45" si="43">BG4&amp;","&amp;BH4&amp;","&amp;BI4&amp;","&amp;BJ4</f>
        <v>625,24,57,1140</v>
      </c>
      <c r="BK26" s="25" t="str">
        <f t="shared" ref="BK26:BK45" si="44">BK4&amp;","&amp;BL4&amp;","&amp;BM4&amp;","&amp;BN4</f>
        <v>625,25,57,1140</v>
      </c>
    </row>
    <row r="27" spans="1:66" x14ac:dyDescent="0.2">
      <c r="A27" s="23" t="s">
        <v>34</v>
      </c>
      <c r="B27" s="28"/>
      <c r="C27" s="25" t="str">
        <f t="shared" si="29"/>
        <v>625,3,105,1050</v>
      </c>
      <c r="D27" s="28"/>
      <c r="G27" s="25" t="str">
        <f t="shared" si="30"/>
        <v>625,1,2100,1050</v>
      </c>
      <c r="K27" s="25" t="str">
        <f t="shared" si="31"/>
        <v>625,2,105,1050</v>
      </c>
      <c r="O27" s="25" t="str">
        <f t="shared" si="32"/>
        <v>625,4,105,1050</v>
      </c>
      <c r="S27" s="25" t="str">
        <f t="shared" si="33"/>
        <v>625,5,105,1050</v>
      </c>
      <c r="W27" s="25" t="str">
        <f t="shared" si="34"/>
        <v>625,6,105,1050</v>
      </c>
      <c r="AA27" s="25" t="str">
        <f t="shared" si="35"/>
        <v>625,7,105,1050</v>
      </c>
      <c r="AE27" s="25" t="str">
        <f t="shared" si="36"/>
        <v>625,8,105,1050</v>
      </c>
      <c r="AI27" s="25" t="str">
        <f t="shared" si="37"/>
        <v>625,20,32,1260</v>
      </c>
      <c r="AM27" s="25" t="str">
        <f t="shared" si="38"/>
        <v>625,18,15,1260</v>
      </c>
      <c r="AQ27" s="25" t="str">
        <f t="shared" si="39"/>
        <v>625,19,15,1260</v>
      </c>
      <c r="AU27" s="25" t="str">
        <f t="shared" si="40"/>
        <v>625,21,32,1260</v>
      </c>
      <c r="AY27" s="25" t="str">
        <f t="shared" si="41"/>
        <v>625,22,63,1260</v>
      </c>
      <c r="BC27" s="25" t="str">
        <f t="shared" si="42"/>
        <v>625,23,63,1260</v>
      </c>
      <c r="BG27" s="25" t="str">
        <f t="shared" si="43"/>
        <v>625,24,63,1260</v>
      </c>
      <c r="BK27" s="25" t="str">
        <f t="shared" si="44"/>
        <v>625,25,63,1260</v>
      </c>
    </row>
    <row r="28" spans="1:66" x14ac:dyDescent="0.2">
      <c r="A28" s="23" t="s">
        <v>34</v>
      </c>
      <c r="B28" s="28"/>
      <c r="C28" s="25" t="str">
        <f t="shared" si="29"/>
        <v>625,3,115,1150</v>
      </c>
      <c r="D28" s="28"/>
      <c r="G28" s="25" t="str">
        <f t="shared" si="30"/>
        <v>625,1,2300,1150</v>
      </c>
      <c r="K28" s="25" t="str">
        <f t="shared" si="31"/>
        <v>625,2,115,1150</v>
      </c>
      <c r="O28" s="25" t="str">
        <f t="shared" si="32"/>
        <v>625,4,115,1150</v>
      </c>
      <c r="S28" s="25" t="str">
        <f t="shared" si="33"/>
        <v>625,5,115,1150</v>
      </c>
      <c r="W28" s="25" t="str">
        <f t="shared" si="34"/>
        <v>625,6,115,1150</v>
      </c>
      <c r="AA28" s="25" t="str">
        <f t="shared" si="35"/>
        <v>625,7,115,1150</v>
      </c>
      <c r="AE28" s="25" t="str">
        <f t="shared" si="36"/>
        <v>625,8,115,1150</v>
      </c>
      <c r="AI28" s="25" t="str">
        <f t="shared" si="37"/>
        <v>625,20,35,1380</v>
      </c>
      <c r="AM28" s="25" t="str">
        <f t="shared" si="38"/>
        <v>625,18,17,1380</v>
      </c>
      <c r="AQ28" s="25" t="str">
        <f t="shared" si="39"/>
        <v>625,19,17,1380</v>
      </c>
      <c r="AU28" s="25" t="str">
        <f t="shared" si="40"/>
        <v>625,21,35,1380</v>
      </c>
      <c r="AY28" s="25" t="str">
        <f t="shared" si="41"/>
        <v>625,22,69,1380</v>
      </c>
      <c r="BC28" s="25" t="str">
        <f t="shared" si="42"/>
        <v>625,23,69,1380</v>
      </c>
      <c r="BG28" s="25" t="str">
        <f t="shared" si="43"/>
        <v>625,24,69,1380</v>
      </c>
      <c r="BK28" s="25" t="str">
        <f t="shared" si="44"/>
        <v>625,25,69,1380</v>
      </c>
    </row>
    <row r="29" spans="1:66" x14ac:dyDescent="0.2">
      <c r="A29" s="23" t="s">
        <v>34</v>
      </c>
      <c r="B29" s="28"/>
      <c r="C29" s="25" t="str">
        <f t="shared" si="29"/>
        <v>625,3,125,1250</v>
      </c>
      <c r="D29" s="28"/>
      <c r="G29" s="25" t="str">
        <f t="shared" si="30"/>
        <v>625,1,2500,1250</v>
      </c>
      <c r="K29" s="25" t="str">
        <f t="shared" si="31"/>
        <v>625,2,125,1250</v>
      </c>
      <c r="O29" s="25" t="str">
        <f t="shared" si="32"/>
        <v>625,4,125,1250</v>
      </c>
      <c r="S29" s="25" t="str">
        <f t="shared" si="33"/>
        <v>625,5,125,1250</v>
      </c>
      <c r="W29" s="25" t="str">
        <f t="shared" si="34"/>
        <v>625,6,125,1250</v>
      </c>
      <c r="AA29" s="25" t="str">
        <f t="shared" si="35"/>
        <v>625,7,125,1250</v>
      </c>
      <c r="AE29" s="25" t="str">
        <f t="shared" si="36"/>
        <v>625,8,125,1250</v>
      </c>
      <c r="AI29" s="25" t="str">
        <f t="shared" si="37"/>
        <v>625,20,38,1500</v>
      </c>
      <c r="AM29" s="25" t="str">
        <f t="shared" si="38"/>
        <v>625,18,18,1500</v>
      </c>
      <c r="AQ29" s="25" t="str">
        <f t="shared" si="39"/>
        <v>625,19,18,1500</v>
      </c>
      <c r="AU29" s="25" t="str">
        <f t="shared" si="40"/>
        <v>625,21,38,1500</v>
      </c>
      <c r="AY29" s="25" t="str">
        <f t="shared" si="41"/>
        <v>625,22,75,1500</v>
      </c>
      <c r="BC29" s="25" t="str">
        <f t="shared" si="42"/>
        <v>625,23,75,1500</v>
      </c>
      <c r="BG29" s="25" t="str">
        <f t="shared" si="43"/>
        <v>625,24,75,1500</v>
      </c>
      <c r="BK29" s="25" t="str">
        <f t="shared" si="44"/>
        <v>625,25,75,1500</v>
      </c>
    </row>
    <row r="30" spans="1:66" x14ac:dyDescent="0.2">
      <c r="A30" s="23" t="s">
        <v>34</v>
      </c>
      <c r="B30" s="28"/>
      <c r="C30" s="25" t="str">
        <f t="shared" si="29"/>
        <v>625,3,135,1350</v>
      </c>
      <c r="D30" s="28"/>
      <c r="G30" s="25" t="str">
        <f t="shared" si="30"/>
        <v>625,1,2700,1350</v>
      </c>
      <c r="K30" s="25" t="str">
        <f t="shared" si="31"/>
        <v>625,2,135,1350</v>
      </c>
      <c r="O30" s="25" t="str">
        <f t="shared" si="32"/>
        <v>625,4,135,1350</v>
      </c>
      <c r="S30" s="25" t="str">
        <f t="shared" si="33"/>
        <v>625,5,135,1350</v>
      </c>
      <c r="W30" s="25" t="str">
        <f t="shared" si="34"/>
        <v>625,6,135,1350</v>
      </c>
      <c r="AA30" s="25" t="str">
        <f t="shared" si="35"/>
        <v>625,7,135,1350</v>
      </c>
      <c r="AE30" s="25" t="str">
        <f t="shared" si="36"/>
        <v>625,8,135,1350</v>
      </c>
      <c r="AI30" s="25" t="str">
        <f t="shared" si="37"/>
        <v>625,20,41,1620</v>
      </c>
      <c r="AM30" s="25" t="str">
        <f t="shared" si="38"/>
        <v>625,18,20,1620</v>
      </c>
      <c r="AQ30" s="25" t="str">
        <f t="shared" si="39"/>
        <v>625,19,20,1620</v>
      </c>
      <c r="AU30" s="25" t="str">
        <f t="shared" si="40"/>
        <v>625,21,41,1620</v>
      </c>
      <c r="AY30" s="25" t="str">
        <f t="shared" si="41"/>
        <v>625,22,81,1620</v>
      </c>
      <c r="BC30" s="25" t="str">
        <f t="shared" si="42"/>
        <v>625,23,81,1620</v>
      </c>
      <c r="BG30" s="25" t="str">
        <f t="shared" si="43"/>
        <v>625,24,81,1620</v>
      </c>
      <c r="BK30" s="25" t="str">
        <f t="shared" si="44"/>
        <v>625,25,81,1620</v>
      </c>
    </row>
    <row r="31" spans="1:66" x14ac:dyDescent="0.2">
      <c r="A31" s="23" t="s">
        <v>34</v>
      </c>
      <c r="C31" s="25" t="str">
        <f t="shared" si="29"/>
        <v>625,3,145,1450</v>
      </c>
      <c r="D31" s="28"/>
      <c r="G31" s="25" t="str">
        <f t="shared" si="30"/>
        <v>625,1,2900,1450</v>
      </c>
      <c r="K31" s="25" t="str">
        <f t="shared" si="31"/>
        <v>625,2,145,1450</v>
      </c>
      <c r="O31" s="25" t="str">
        <f t="shared" si="32"/>
        <v>625,4,145,1450</v>
      </c>
      <c r="S31" s="25" t="str">
        <f t="shared" si="33"/>
        <v>625,5,145,1450</v>
      </c>
      <c r="W31" s="25" t="str">
        <f t="shared" si="34"/>
        <v>625,6,145,1450</v>
      </c>
      <c r="AA31" s="25" t="str">
        <f t="shared" si="35"/>
        <v>625,7,145,1450</v>
      </c>
      <c r="AE31" s="25" t="str">
        <f t="shared" si="36"/>
        <v>625,8,145,1450</v>
      </c>
      <c r="AI31" s="25" t="str">
        <f t="shared" si="37"/>
        <v>625,20,44,1740</v>
      </c>
      <c r="AM31" s="25" t="str">
        <f t="shared" si="38"/>
        <v>625,18,21,1740</v>
      </c>
      <c r="AQ31" s="25" t="str">
        <f t="shared" si="39"/>
        <v>625,19,21,1740</v>
      </c>
      <c r="AU31" s="25" t="str">
        <f t="shared" si="40"/>
        <v>625,21,44,1740</v>
      </c>
      <c r="AY31" s="25" t="str">
        <f t="shared" si="41"/>
        <v>625,22,87,1740</v>
      </c>
      <c r="BC31" s="25" t="str">
        <f t="shared" si="42"/>
        <v>625,23,87,1740</v>
      </c>
      <c r="BG31" s="25" t="str">
        <f t="shared" si="43"/>
        <v>625,24,87,1740</v>
      </c>
      <c r="BK31" s="25" t="str">
        <f t="shared" si="44"/>
        <v>625,25,87,1740</v>
      </c>
    </row>
    <row r="32" spans="1:66" x14ac:dyDescent="0.2">
      <c r="A32" s="23" t="s">
        <v>67</v>
      </c>
      <c r="C32" s="25" t="str">
        <f t="shared" si="29"/>
        <v>625,3,145,1450</v>
      </c>
      <c r="D32" s="28"/>
      <c r="G32" s="25" t="str">
        <f t="shared" si="30"/>
        <v>625,1,2900,1450</v>
      </c>
      <c r="K32" s="25" t="str">
        <f t="shared" si="31"/>
        <v>625,2,145,1450</v>
      </c>
      <c r="O32" s="25" t="str">
        <f t="shared" si="32"/>
        <v>625,4,145,1450</v>
      </c>
      <c r="S32" s="25" t="str">
        <f t="shared" si="33"/>
        <v>625,5,145,1450</v>
      </c>
      <c r="W32" s="25" t="str">
        <f t="shared" si="34"/>
        <v>625,6,145,1450</v>
      </c>
      <c r="AA32" s="25" t="str">
        <f t="shared" si="35"/>
        <v>625,7,145,1450</v>
      </c>
      <c r="AE32" s="25" t="str">
        <f t="shared" si="36"/>
        <v>625,8,145,1450</v>
      </c>
      <c r="AI32" s="25" t="str">
        <f t="shared" si="37"/>
        <v>625,20,44,1740</v>
      </c>
      <c r="AM32" s="25" t="str">
        <f t="shared" si="38"/>
        <v>625,18,21,1740</v>
      </c>
      <c r="AQ32" s="25" t="str">
        <f t="shared" si="39"/>
        <v>625,19,21,1740</v>
      </c>
      <c r="AU32" s="25" t="str">
        <f t="shared" si="40"/>
        <v>625,21,44,1740</v>
      </c>
      <c r="AY32" s="25" t="str">
        <f t="shared" si="41"/>
        <v>625,22,87,1740</v>
      </c>
      <c r="BC32" s="25" t="str">
        <f t="shared" si="42"/>
        <v>625,23,87,1740</v>
      </c>
      <c r="BG32" s="25" t="str">
        <f t="shared" si="43"/>
        <v>625,24,87,1740</v>
      </c>
      <c r="BK32" s="25" t="str">
        <f t="shared" si="44"/>
        <v>625,25,87,1740</v>
      </c>
    </row>
    <row r="33" spans="1:63" x14ac:dyDescent="0.2">
      <c r="A33" s="23" t="s">
        <v>67</v>
      </c>
      <c r="C33" s="25" t="str">
        <f t="shared" si="29"/>
        <v>625,3,265,2650</v>
      </c>
      <c r="D33" s="28"/>
      <c r="G33" s="25" t="str">
        <f t="shared" si="30"/>
        <v>625,1,5300,2650</v>
      </c>
      <c r="K33" s="25" t="str">
        <f t="shared" si="31"/>
        <v>625,2,265,2650</v>
      </c>
      <c r="O33" s="25" t="str">
        <f t="shared" si="32"/>
        <v>625,4,265,2650</v>
      </c>
      <c r="S33" s="25" t="str">
        <f t="shared" si="33"/>
        <v>625,5,265,2650</v>
      </c>
      <c r="W33" s="25" t="str">
        <f t="shared" si="34"/>
        <v>625,6,265,2650</v>
      </c>
      <c r="AA33" s="25" t="str">
        <f t="shared" si="35"/>
        <v>625,7,265,2650</v>
      </c>
      <c r="AE33" s="25" t="str">
        <f t="shared" si="36"/>
        <v>625,8,265,2650</v>
      </c>
      <c r="AI33" s="25" t="str">
        <f t="shared" si="37"/>
        <v>625,20,80,3180</v>
      </c>
      <c r="AM33" s="25" t="str">
        <f t="shared" si="38"/>
        <v>625,18,39,3180</v>
      </c>
      <c r="AQ33" s="25" t="str">
        <f t="shared" si="39"/>
        <v>625,19,39,3180</v>
      </c>
      <c r="AU33" s="25" t="str">
        <f t="shared" si="40"/>
        <v>625,21,80,3180</v>
      </c>
      <c r="AY33" s="25" t="str">
        <f t="shared" si="41"/>
        <v>625,22,159,3180</v>
      </c>
      <c r="BC33" s="25" t="str">
        <f t="shared" si="42"/>
        <v>625,23,159,3180</v>
      </c>
      <c r="BG33" s="25" t="str">
        <f t="shared" si="43"/>
        <v>625,24,159,3180</v>
      </c>
      <c r="BK33" s="25" t="str">
        <f t="shared" si="44"/>
        <v>625,25,159,3180</v>
      </c>
    </row>
    <row r="34" spans="1:63" x14ac:dyDescent="0.2">
      <c r="A34" s="23" t="s">
        <v>67</v>
      </c>
      <c r="C34" s="25" t="str">
        <f t="shared" si="29"/>
        <v>625,3,385,3850</v>
      </c>
      <c r="D34" s="28"/>
      <c r="G34" s="25" t="str">
        <f t="shared" si="30"/>
        <v>625,1,7700,3850</v>
      </c>
      <c r="K34" s="25" t="str">
        <f t="shared" si="31"/>
        <v>625,2,385,3850</v>
      </c>
      <c r="O34" s="25" t="str">
        <f t="shared" si="32"/>
        <v>625,4,385,3850</v>
      </c>
      <c r="S34" s="25" t="str">
        <f t="shared" si="33"/>
        <v>625,5,385,3850</v>
      </c>
      <c r="W34" s="25" t="str">
        <f t="shared" si="34"/>
        <v>625,6,385,3850</v>
      </c>
      <c r="AA34" s="25" t="str">
        <f t="shared" si="35"/>
        <v>625,7,385,3850</v>
      </c>
      <c r="AE34" s="25" t="str">
        <f t="shared" si="36"/>
        <v>625,8,385,3850</v>
      </c>
      <c r="AI34" s="25" t="str">
        <f t="shared" si="37"/>
        <v>625,20,116,4620</v>
      </c>
      <c r="AM34" s="25" t="str">
        <f t="shared" si="38"/>
        <v>625,18,57,4620</v>
      </c>
      <c r="AQ34" s="25" t="str">
        <f t="shared" si="39"/>
        <v>625,19,57,4620</v>
      </c>
      <c r="AU34" s="25" t="str">
        <f t="shared" si="40"/>
        <v>625,21,116,4620</v>
      </c>
      <c r="AY34" s="25" t="str">
        <f t="shared" si="41"/>
        <v>625,22,231,4620</v>
      </c>
      <c r="BC34" s="25" t="str">
        <f t="shared" si="42"/>
        <v>625,23,231,4620</v>
      </c>
      <c r="BG34" s="25" t="str">
        <f t="shared" si="43"/>
        <v>625,24,231,4620</v>
      </c>
      <c r="BK34" s="25" t="str">
        <f t="shared" si="44"/>
        <v>625,25,231,4620</v>
      </c>
    </row>
    <row r="35" spans="1:63" x14ac:dyDescent="0.2">
      <c r="A35" s="23" t="s">
        <v>67</v>
      </c>
      <c r="C35" s="25" t="str">
        <f t="shared" si="29"/>
        <v>625,3,505,5050</v>
      </c>
      <c r="D35" s="28"/>
      <c r="G35" s="25" t="str">
        <f t="shared" si="30"/>
        <v>625,1,10100,5050</v>
      </c>
      <c r="K35" s="25" t="str">
        <f t="shared" si="31"/>
        <v>625,2,505,5050</v>
      </c>
      <c r="O35" s="25" t="str">
        <f t="shared" si="32"/>
        <v>625,4,505,5050</v>
      </c>
      <c r="S35" s="25" t="str">
        <f t="shared" si="33"/>
        <v>625,5,505,5050</v>
      </c>
      <c r="W35" s="25" t="str">
        <f t="shared" si="34"/>
        <v>625,6,505,5050</v>
      </c>
      <c r="AA35" s="25" t="str">
        <f t="shared" si="35"/>
        <v>625,7,505,5050</v>
      </c>
      <c r="AE35" s="25" t="str">
        <f t="shared" si="36"/>
        <v>625,8,505,5050</v>
      </c>
      <c r="AI35" s="25" t="str">
        <f t="shared" si="37"/>
        <v>625,20,152,6060</v>
      </c>
      <c r="AM35" s="25" t="str">
        <f t="shared" si="38"/>
        <v>625,18,75,6060</v>
      </c>
      <c r="AQ35" s="25" t="str">
        <f t="shared" si="39"/>
        <v>625,19,75,6060</v>
      </c>
      <c r="AU35" s="25" t="str">
        <f t="shared" si="40"/>
        <v>625,21,152,6060</v>
      </c>
      <c r="AY35" s="25" t="str">
        <f t="shared" si="41"/>
        <v>625,22,303,6060</v>
      </c>
      <c r="BC35" s="25" t="str">
        <f t="shared" si="42"/>
        <v>625,23,303,6060</v>
      </c>
      <c r="BG35" s="25" t="str">
        <f t="shared" si="43"/>
        <v>625,24,303,6060</v>
      </c>
      <c r="BK35" s="25" t="str">
        <f t="shared" si="44"/>
        <v>625,25,303,6060</v>
      </c>
    </row>
    <row r="36" spans="1:63" x14ac:dyDescent="0.2">
      <c r="A36" s="23" t="s">
        <v>67</v>
      </c>
      <c r="C36" s="25" t="str">
        <f t="shared" si="29"/>
        <v>625,3,625,6250</v>
      </c>
      <c r="D36" s="28"/>
      <c r="G36" s="25" t="str">
        <f t="shared" si="30"/>
        <v>625,1,12500,6250</v>
      </c>
      <c r="K36" s="25" t="str">
        <f t="shared" si="31"/>
        <v>625,2,625,6250</v>
      </c>
      <c r="O36" s="25" t="str">
        <f t="shared" si="32"/>
        <v>625,4,625,6250</v>
      </c>
      <c r="S36" s="25" t="str">
        <f t="shared" si="33"/>
        <v>625,5,625,6250</v>
      </c>
      <c r="W36" s="25" t="str">
        <f t="shared" si="34"/>
        <v>625,6,625,6250</v>
      </c>
      <c r="AA36" s="25" t="str">
        <f t="shared" si="35"/>
        <v>625,7,625,6250</v>
      </c>
      <c r="AE36" s="25" t="str">
        <f t="shared" si="36"/>
        <v>625,8,625,6250</v>
      </c>
      <c r="AI36" s="25" t="str">
        <f t="shared" si="37"/>
        <v>625,20,188,7500</v>
      </c>
      <c r="AM36" s="25" t="str">
        <f t="shared" si="38"/>
        <v>625,18,93,7500</v>
      </c>
      <c r="AQ36" s="25" t="str">
        <f t="shared" si="39"/>
        <v>625,19,93,7500</v>
      </c>
      <c r="AU36" s="25" t="str">
        <f t="shared" si="40"/>
        <v>625,21,188,7500</v>
      </c>
      <c r="AY36" s="25" t="str">
        <f t="shared" si="41"/>
        <v>625,22,375,7500</v>
      </c>
      <c r="BC36" s="25" t="str">
        <f t="shared" si="42"/>
        <v>625,23,375,7500</v>
      </c>
      <c r="BG36" s="25" t="str">
        <f t="shared" si="43"/>
        <v>625,24,375,7500</v>
      </c>
      <c r="BK36" s="25" t="str">
        <f t="shared" si="44"/>
        <v>625,25,375,7500</v>
      </c>
    </row>
    <row r="37" spans="1:63" x14ac:dyDescent="0.2">
      <c r="A37" s="23" t="s">
        <v>67</v>
      </c>
      <c r="C37" s="25" t="str">
        <f t="shared" si="29"/>
        <v>625,3,745,7450</v>
      </c>
      <c r="D37" s="28"/>
      <c r="G37" s="25" t="str">
        <f t="shared" si="30"/>
        <v>625,1,14900,7450</v>
      </c>
      <c r="K37" s="25" t="str">
        <f t="shared" si="31"/>
        <v>625,2,745,7450</v>
      </c>
      <c r="O37" s="25" t="str">
        <f t="shared" si="32"/>
        <v>625,4,745,7450</v>
      </c>
      <c r="S37" s="25" t="str">
        <f t="shared" si="33"/>
        <v>625,5,745,7450</v>
      </c>
      <c r="W37" s="25" t="str">
        <f t="shared" si="34"/>
        <v>625,6,745,7450</v>
      </c>
      <c r="AA37" s="25" t="str">
        <f t="shared" si="35"/>
        <v>625,7,745,7450</v>
      </c>
      <c r="AE37" s="25" t="str">
        <f t="shared" si="36"/>
        <v>625,8,745,7450</v>
      </c>
      <c r="AI37" s="25" t="str">
        <f t="shared" si="37"/>
        <v>625,20,224,8940</v>
      </c>
      <c r="AM37" s="25" t="str">
        <f t="shared" si="38"/>
        <v>625,18,111,8940</v>
      </c>
      <c r="AQ37" s="25" t="str">
        <f t="shared" si="39"/>
        <v>625,19,111,8940</v>
      </c>
      <c r="AU37" s="25" t="str">
        <f t="shared" si="40"/>
        <v>625,21,224,8940</v>
      </c>
      <c r="AY37" s="25" t="str">
        <f t="shared" si="41"/>
        <v>625,22,447,8940</v>
      </c>
      <c r="BC37" s="25" t="str">
        <f t="shared" si="42"/>
        <v>625,23,447,8940</v>
      </c>
      <c r="BG37" s="25" t="str">
        <f t="shared" si="43"/>
        <v>625,24,447,8940</v>
      </c>
      <c r="BK37" s="25" t="str">
        <f t="shared" si="44"/>
        <v>625,25,447,8940</v>
      </c>
    </row>
    <row r="38" spans="1:63" x14ac:dyDescent="0.2">
      <c r="A38" s="23" t="s">
        <v>67</v>
      </c>
      <c r="C38" s="25" t="str">
        <f t="shared" si="29"/>
        <v>625,3,865,8650</v>
      </c>
      <c r="D38" s="28"/>
      <c r="G38" s="25" t="str">
        <f t="shared" si="30"/>
        <v>625,1,17300,8650</v>
      </c>
      <c r="K38" s="25" t="str">
        <f t="shared" si="31"/>
        <v>625,2,865,8650</v>
      </c>
      <c r="O38" s="25" t="str">
        <f t="shared" si="32"/>
        <v>625,4,865,8650</v>
      </c>
      <c r="S38" s="25" t="str">
        <f t="shared" si="33"/>
        <v>625,5,865,8650</v>
      </c>
      <c r="W38" s="25" t="str">
        <f t="shared" si="34"/>
        <v>625,6,865,8650</v>
      </c>
      <c r="AA38" s="25" t="str">
        <f t="shared" si="35"/>
        <v>625,7,865,8650</v>
      </c>
      <c r="AE38" s="25" t="str">
        <f t="shared" si="36"/>
        <v>625,8,865,8650</v>
      </c>
      <c r="AI38" s="25" t="str">
        <f t="shared" si="37"/>
        <v>625,20,260,10380</v>
      </c>
      <c r="AM38" s="25" t="str">
        <f t="shared" si="38"/>
        <v>625,18,129,10380</v>
      </c>
      <c r="AQ38" s="25" t="str">
        <f t="shared" si="39"/>
        <v>625,19,129,10380</v>
      </c>
      <c r="AU38" s="25" t="str">
        <f t="shared" si="40"/>
        <v>625,21,260,10380</v>
      </c>
      <c r="AY38" s="25" t="str">
        <f t="shared" si="41"/>
        <v>625,22,519,10380</v>
      </c>
      <c r="BC38" s="25" t="str">
        <f t="shared" si="42"/>
        <v>625,23,519,10380</v>
      </c>
      <c r="BG38" s="25" t="str">
        <f t="shared" si="43"/>
        <v>625,24,519,10380</v>
      </c>
      <c r="BK38" s="25" t="str">
        <f t="shared" si="44"/>
        <v>625,25,519,10380</v>
      </c>
    </row>
    <row r="39" spans="1:63" x14ac:dyDescent="0.2">
      <c r="A39" s="23" t="s">
        <v>68</v>
      </c>
      <c r="C39" s="25" t="str">
        <f t="shared" si="29"/>
        <v>625,3,280,2800</v>
      </c>
      <c r="D39" s="28"/>
      <c r="G39" s="25" t="str">
        <f t="shared" si="30"/>
        <v>625,1,5600,2800</v>
      </c>
      <c r="K39" s="25" t="str">
        <f t="shared" si="31"/>
        <v>625,2,280,2800</v>
      </c>
      <c r="O39" s="25" t="str">
        <f t="shared" si="32"/>
        <v>625,4,280,2800</v>
      </c>
      <c r="S39" s="25" t="str">
        <f t="shared" si="33"/>
        <v>625,5,280,2800</v>
      </c>
      <c r="W39" s="25" t="str">
        <f t="shared" si="34"/>
        <v>625,6,280,2800</v>
      </c>
      <c r="AA39" s="25" t="str">
        <f t="shared" si="35"/>
        <v>625,7,280,2800</v>
      </c>
      <c r="AE39" s="25" t="str">
        <f t="shared" si="36"/>
        <v>625,8,280,2800</v>
      </c>
      <c r="AI39" s="25" t="str">
        <f t="shared" si="37"/>
        <v>625,20,84,3360</v>
      </c>
      <c r="AM39" s="25" t="str">
        <f t="shared" si="38"/>
        <v>625,18,42,3360</v>
      </c>
      <c r="AQ39" s="25" t="str">
        <f t="shared" si="39"/>
        <v>625,19,42,3360</v>
      </c>
      <c r="AU39" s="25" t="str">
        <f t="shared" si="40"/>
        <v>625,21,84,3360</v>
      </c>
      <c r="AY39" s="25" t="str">
        <f t="shared" si="41"/>
        <v>625,22,168,3360</v>
      </c>
      <c r="BC39" s="25" t="str">
        <f t="shared" si="42"/>
        <v>625,23,168,3360</v>
      </c>
      <c r="BG39" s="25" t="str">
        <f t="shared" si="43"/>
        <v>625,24,168,3360</v>
      </c>
      <c r="BK39" s="25" t="str">
        <f t="shared" si="44"/>
        <v>625,25,168,3360</v>
      </c>
    </row>
    <row r="40" spans="1:63" x14ac:dyDescent="0.2">
      <c r="A40" s="23" t="s">
        <v>68</v>
      </c>
      <c r="C40" s="25" t="str">
        <f t="shared" si="29"/>
        <v>625,3,460,4600</v>
      </c>
      <c r="D40" s="28"/>
      <c r="G40" s="25" t="str">
        <f t="shared" si="30"/>
        <v>625,1,9200,4600</v>
      </c>
      <c r="K40" s="25" t="str">
        <f t="shared" si="31"/>
        <v>625,2,460,4600</v>
      </c>
      <c r="O40" s="25" t="str">
        <f t="shared" si="32"/>
        <v>625,4,460,4600</v>
      </c>
      <c r="S40" s="25" t="str">
        <f t="shared" si="33"/>
        <v>625,5,460,4600</v>
      </c>
      <c r="W40" s="25" t="str">
        <f t="shared" si="34"/>
        <v>625,6,460,4600</v>
      </c>
      <c r="AA40" s="25" t="str">
        <f t="shared" si="35"/>
        <v>625,7,460,4600</v>
      </c>
      <c r="AE40" s="25" t="str">
        <f t="shared" si="36"/>
        <v>625,8,460,4600</v>
      </c>
      <c r="AI40" s="25" t="str">
        <f t="shared" si="37"/>
        <v>625,20,138,5520</v>
      </c>
      <c r="AM40" s="25" t="str">
        <f t="shared" si="38"/>
        <v>625,18,69,5520</v>
      </c>
      <c r="AQ40" s="25" t="str">
        <f t="shared" si="39"/>
        <v>625,19,69,5520</v>
      </c>
      <c r="AU40" s="25" t="str">
        <f t="shared" si="40"/>
        <v>625,21,138,5520</v>
      </c>
      <c r="AY40" s="25" t="str">
        <f t="shared" si="41"/>
        <v>625,22,276,5520</v>
      </c>
      <c r="BC40" s="25" t="str">
        <f t="shared" si="42"/>
        <v>625,23,276,5520</v>
      </c>
      <c r="BG40" s="25" t="str">
        <f t="shared" si="43"/>
        <v>625,24,276,5520</v>
      </c>
      <c r="BK40" s="25" t="str">
        <f t="shared" si="44"/>
        <v>625,25,276,5520</v>
      </c>
    </row>
    <row r="41" spans="1:63" x14ac:dyDescent="0.2">
      <c r="A41" s="23" t="s">
        <v>68</v>
      </c>
      <c r="C41" s="25" t="str">
        <f t="shared" si="29"/>
        <v>625,3,640,6400</v>
      </c>
      <c r="D41" s="28"/>
      <c r="G41" s="25" t="str">
        <f t="shared" si="30"/>
        <v>625,1,12800,6400</v>
      </c>
      <c r="K41" s="25" t="str">
        <f t="shared" si="31"/>
        <v>625,2,640,6400</v>
      </c>
      <c r="O41" s="25" t="str">
        <f t="shared" si="32"/>
        <v>625,4,640,6400</v>
      </c>
      <c r="S41" s="25" t="str">
        <f t="shared" si="33"/>
        <v>625,5,640,6400</v>
      </c>
      <c r="W41" s="25" t="str">
        <f t="shared" si="34"/>
        <v>625,6,640,6400</v>
      </c>
      <c r="AA41" s="25" t="str">
        <f t="shared" si="35"/>
        <v>625,7,640,6400</v>
      </c>
      <c r="AE41" s="25" t="str">
        <f t="shared" si="36"/>
        <v>625,8,640,6400</v>
      </c>
      <c r="AI41" s="25" t="str">
        <f t="shared" si="37"/>
        <v>625,20,192,7680</v>
      </c>
      <c r="AM41" s="25" t="str">
        <f t="shared" si="38"/>
        <v>625,18,96,7680</v>
      </c>
      <c r="AQ41" s="25" t="str">
        <f t="shared" si="39"/>
        <v>625,19,96,7680</v>
      </c>
      <c r="AU41" s="25" t="str">
        <f t="shared" si="40"/>
        <v>625,21,192,7680</v>
      </c>
      <c r="AY41" s="25" t="str">
        <f t="shared" si="41"/>
        <v>625,22,384,7680</v>
      </c>
      <c r="BC41" s="25" t="str">
        <f t="shared" si="42"/>
        <v>625,23,384,7680</v>
      </c>
      <c r="BG41" s="25" t="str">
        <f t="shared" si="43"/>
        <v>625,24,384,7680</v>
      </c>
      <c r="BK41" s="25" t="str">
        <f t="shared" si="44"/>
        <v>625,25,384,7680</v>
      </c>
    </row>
    <row r="42" spans="1:63" x14ac:dyDescent="0.2">
      <c r="A42" s="23" t="s">
        <v>68</v>
      </c>
      <c r="C42" s="25" t="str">
        <f t="shared" si="29"/>
        <v>625,3,820,8200</v>
      </c>
      <c r="D42" s="28"/>
      <c r="G42" s="25" t="str">
        <f t="shared" si="30"/>
        <v>625,1,16400,8200</v>
      </c>
      <c r="K42" s="25" t="str">
        <f t="shared" si="31"/>
        <v>625,2,820,8200</v>
      </c>
      <c r="O42" s="25" t="str">
        <f t="shared" si="32"/>
        <v>625,4,820,8200</v>
      </c>
      <c r="S42" s="25" t="str">
        <f t="shared" si="33"/>
        <v>625,5,820,8200</v>
      </c>
      <c r="W42" s="25" t="str">
        <f t="shared" si="34"/>
        <v>625,6,820,8200</v>
      </c>
      <c r="AA42" s="25" t="str">
        <f t="shared" si="35"/>
        <v>625,7,820,8200</v>
      </c>
      <c r="AE42" s="25" t="str">
        <f t="shared" si="36"/>
        <v>625,8,820,8200</v>
      </c>
      <c r="AI42" s="25" t="str">
        <f t="shared" si="37"/>
        <v>625,20,246,9840</v>
      </c>
      <c r="AM42" s="25" t="str">
        <f t="shared" si="38"/>
        <v>625,18,123,9840</v>
      </c>
      <c r="AQ42" s="25" t="str">
        <f t="shared" si="39"/>
        <v>625,19,123,9840</v>
      </c>
      <c r="AU42" s="25" t="str">
        <f t="shared" si="40"/>
        <v>625,21,246,9840</v>
      </c>
      <c r="AY42" s="25" t="str">
        <f t="shared" si="41"/>
        <v>625,22,492,9840</v>
      </c>
      <c r="BC42" s="25" t="str">
        <f t="shared" si="42"/>
        <v>625,23,492,9840</v>
      </c>
      <c r="BG42" s="25" t="str">
        <f t="shared" si="43"/>
        <v>625,24,492,9840</v>
      </c>
      <c r="BK42" s="25" t="str">
        <f t="shared" si="44"/>
        <v>625,25,492,9840</v>
      </c>
    </row>
    <row r="43" spans="1:63" x14ac:dyDescent="0.2">
      <c r="A43" s="23" t="s">
        <v>68</v>
      </c>
      <c r="C43" s="25" t="str">
        <f t="shared" si="29"/>
        <v>625,3,1000,10000</v>
      </c>
      <c r="D43" s="28"/>
      <c r="G43" s="25" t="str">
        <f t="shared" si="30"/>
        <v>625,1,20000,10000</v>
      </c>
      <c r="K43" s="25" t="str">
        <f t="shared" si="31"/>
        <v>625,2,1000,10000</v>
      </c>
      <c r="O43" s="25" t="str">
        <f t="shared" si="32"/>
        <v>625,4,1000,10000</v>
      </c>
      <c r="S43" s="25" t="str">
        <f t="shared" si="33"/>
        <v>625,5,1000,10000</v>
      </c>
      <c r="W43" s="25" t="str">
        <f t="shared" si="34"/>
        <v>625,6,1000,10000</v>
      </c>
      <c r="AA43" s="25" t="str">
        <f t="shared" si="35"/>
        <v>625,7,1000,10000</v>
      </c>
      <c r="AE43" s="25" t="str">
        <f t="shared" si="36"/>
        <v>625,8,1000,10000</v>
      </c>
      <c r="AI43" s="25" t="str">
        <f t="shared" si="37"/>
        <v>625,20,300,12000</v>
      </c>
      <c r="AM43" s="25" t="str">
        <f t="shared" si="38"/>
        <v>625,18,150,12000</v>
      </c>
      <c r="AQ43" s="25" t="str">
        <f t="shared" si="39"/>
        <v>625,19,150,12000</v>
      </c>
      <c r="AU43" s="25" t="str">
        <f t="shared" si="40"/>
        <v>625,21,300,12000</v>
      </c>
      <c r="AY43" s="25" t="str">
        <f t="shared" si="41"/>
        <v>625,22,600,12000</v>
      </c>
      <c r="BC43" s="25" t="str">
        <f t="shared" si="42"/>
        <v>625,23,600,12000</v>
      </c>
      <c r="BG43" s="25" t="str">
        <f t="shared" si="43"/>
        <v>625,24,600,12000</v>
      </c>
      <c r="BK43" s="25" t="str">
        <f t="shared" si="44"/>
        <v>625,25,600,12000</v>
      </c>
    </row>
    <row r="44" spans="1:63" x14ac:dyDescent="0.2">
      <c r="A44" s="23" t="s">
        <v>68</v>
      </c>
      <c r="C44" s="25" t="str">
        <f t="shared" si="29"/>
        <v>625,3,1180,11800</v>
      </c>
      <c r="D44" s="28"/>
      <c r="G44" s="25" t="str">
        <f t="shared" si="30"/>
        <v>625,1,23600,11800</v>
      </c>
      <c r="K44" s="25" t="str">
        <f t="shared" si="31"/>
        <v>625,2,1180,11800</v>
      </c>
      <c r="O44" s="25" t="str">
        <f t="shared" si="32"/>
        <v>625,4,1180,11800</v>
      </c>
      <c r="S44" s="25" t="str">
        <f t="shared" si="33"/>
        <v>625,5,1180,11800</v>
      </c>
      <c r="W44" s="25" t="str">
        <f t="shared" si="34"/>
        <v>625,6,1180,11800</v>
      </c>
      <c r="AA44" s="25" t="str">
        <f t="shared" si="35"/>
        <v>625,7,1180,11800</v>
      </c>
      <c r="AE44" s="25" t="str">
        <f t="shared" si="36"/>
        <v>625,8,1180,11800</v>
      </c>
      <c r="AI44" s="25" t="str">
        <f t="shared" si="37"/>
        <v>625,20,354,14160</v>
      </c>
      <c r="AM44" s="25" t="str">
        <f t="shared" si="38"/>
        <v>625,18,177,14160</v>
      </c>
      <c r="AQ44" s="25" t="str">
        <f t="shared" si="39"/>
        <v>625,19,177,14160</v>
      </c>
      <c r="AU44" s="25" t="str">
        <f t="shared" si="40"/>
        <v>625,21,354,14160</v>
      </c>
      <c r="AY44" s="25" t="str">
        <f t="shared" si="41"/>
        <v>625,22,708,14160</v>
      </c>
      <c r="BC44" s="25" t="str">
        <f t="shared" si="42"/>
        <v>625,23,708,14160</v>
      </c>
      <c r="BG44" s="25" t="str">
        <f t="shared" si="43"/>
        <v>625,24,708,14160</v>
      </c>
      <c r="BK44" s="25" t="str">
        <f t="shared" si="44"/>
        <v>625,25,708,14160</v>
      </c>
    </row>
    <row r="45" spans="1:63" x14ac:dyDescent="0.2">
      <c r="A45" s="23" t="s">
        <v>68</v>
      </c>
      <c r="C45" s="25" t="str">
        <f t="shared" si="29"/>
        <v>625,3,1360,13600</v>
      </c>
      <c r="D45" s="28"/>
      <c r="G45" s="25" t="str">
        <f t="shared" si="30"/>
        <v>625,1,27200,13600</v>
      </c>
      <c r="K45" s="25" t="str">
        <f t="shared" si="31"/>
        <v>625,2,1360,13600</v>
      </c>
      <c r="O45" s="25" t="str">
        <f t="shared" si="32"/>
        <v>625,4,1360,13600</v>
      </c>
      <c r="S45" s="25" t="str">
        <f t="shared" si="33"/>
        <v>625,5,1360,13600</v>
      </c>
      <c r="W45" s="25" t="str">
        <f t="shared" si="34"/>
        <v>625,6,1360,13600</v>
      </c>
      <c r="AA45" s="25" t="str">
        <f t="shared" si="35"/>
        <v>625,7,1360,13600</v>
      </c>
      <c r="AE45" s="25" t="str">
        <f t="shared" si="36"/>
        <v>625,8,1360,13600</v>
      </c>
      <c r="AI45" s="25" t="str">
        <f t="shared" si="37"/>
        <v>625,20,408,16320</v>
      </c>
      <c r="AM45" s="25" t="str">
        <f t="shared" si="38"/>
        <v>625,18,204,16320</v>
      </c>
      <c r="AQ45" s="25" t="str">
        <f t="shared" si="39"/>
        <v>625,19,204,16320</v>
      </c>
      <c r="AU45" s="25" t="str">
        <f t="shared" si="40"/>
        <v>625,21,408,16320</v>
      </c>
      <c r="AY45" s="25" t="str">
        <f t="shared" si="41"/>
        <v>625,22,816,16320</v>
      </c>
      <c r="BC45" s="25" t="str">
        <f t="shared" si="42"/>
        <v>625,23,816,16320</v>
      </c>
      <c r="BG45" s="25" t="str">
        <f t="shared" si="43"/>
        <v>625,24,816,16320</v>
      </c>
      <c r="BK45" s="25" t="str">
        <f t="shared" si="44"/>
        <v>625,25,816,16320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45A8-BE8E-4BFE-BA13-B6EDBC5C43DB}">
  <dimension ref="A1:R24"/>
  <sheetViews>
    <sheetView workbookViewId="0">
      <selection activeCell="R24" sqref="R24"/>
    </sheetView>
  </sheetViews>
  <sheetFormatPr defaultRowHeight="14.25" x14ac:dyDescent="0.2"/>
  <cols>
    <col min="2" max="2" width="16.25" style="50" customWidth="1"/>
    <col min="3" max="3" width="20.625" customWidth="1"/>
    <col min="4" max="7" width="11.375" customWidth="1"/>
    <col min="18" max="18" width="19.5" customWidth="1"/>
  </cols>
  <sheetData>
    <row r="1" spans="1:15" x14ac:dyDescent="0.2">
      <c r="A1" s="23" t="s">
        <v>228</v>
      </c>
      <c r="B1" s="23" t="s">
        <v>229</v>
      </c>
      <c r="C1" s="23" t="s">
        <v>117</v>
      </c>
      <c r="D1" s="23" t="s">
        <v>230</v>
      </c>
      <c r="E1" s="23" t="s">
        <v>231</v>
      </c>
      <c r="F1" s="23" t="s">
        <v>232</v>
      </c>
      <c r="G1" s="23" t="s">
        <v>233</v>
      </c>
      <c r="H1" s="23" t="s">
        <v>216</v>
      </c>
      <c r="I1" s="23" t="s">
        <v>217</v>
      </c>
      <c r="J1" s="55" t="s">
        <v>219</v>
      </c>
      <c r="K1" s="23" t="s">
        <v>66</v>
      </c>
      <c r="L1" s="23" t="s">
        <v>65</v>
      </c>
      <c r="M1" s="55" t="s">
        <v>218</v>
      </c>
      <c r="N1" s="54" t="s">
        <v>220</v>
      </c>
      <c r="O1" s="54" t="s">
        <v>241</v>
      </c>
    </row>
    <row r="2" spans="1:15" x14ac:dyDescent="0.2">
      <c r="A2" s="30">
        <v>101</v>
      </c>
      <c r="B2" s="51" t="s">
        <v>238</v>
      </c>
      <c r="C2" s="23" t="s">
        <v>234</v>
      </c>
      <c r="D2" s="30">
        <v>0</v>
      </c>
      <c r="E2" s="30">
        <f>E13</f>
        <v>125</v>
      </c>
      <c r="F2" s="30">
        <v>0</v>
      </c>
      <c r="G2" s="30">
        <f>F13</f>
        <v>50</v>
      </c>
      <c r="H2" s="30">
        <v>0</v>
      </c>
      <c r="I2" s="30">
        <v>0</v>
      </c>
      <c r="J2" s="30">
        <v>0</v>
      </c>
      <c r="K2" s="30">
        <f>G13/30</f>
        <v>8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2">
      <c r="A3" s="30">
        <v>201</v>
      </c>
      <c r="B3" s="51" t="s">
        <v>238</v>
      </c>
      <c r="C3" s="23" t="s">
        <v>235</v>
      </c>
      <c r="D3" s="30">
        <v>0</v>
      </c>
      <c r="E3" s="30">
        <f t="shared" ref="E3:E5" si="0">E14</f>
        <v>500</v>
      </c>
      <c r="F3" s="30">
        <v>0</v>
      </c>
      <c r="G3" s="30">
        <f t="shared" ref="G3:G5" si="1">F14</f>
        <v>200</v>
      </c>
      <c r="H3" s="30">
        <v>0</v>
      </c>
      <c r="I3" s="30">
        <v>0</v>
      </c>
      <c r="J3" s="30">
        <v>0</v>
      </c>
      <c r="K3" s="30">
        <f>G14/30</f>
        <v>32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2">
      <c r="A4" s="30">
        <v>301</v>
      </c>
      <c r="B4" s="51" t="s">
        <v>247</v>
      </c>
      <c r="C4" s="23" t="s">
        <v>236</v>
      </c>
      <c r="D4" s="30">
        <v>0</v>
      </c>
      <c r="E4" s="30">
        <f t="shared" si="0"/>
        <v>1250</v>
      </c>
      <c r="F4" s="30">
        <v>0</v>
      </c>
      <c r="G4" s="30">
        <f t="shared" si="1"/>
        <v>500</v>
      </c>
      <c r="H4" s="30">
        <v>0</v>
      </c>
      <c r="I4" s="30">
        <v>0</v>
      </c>
      <c r="J4" s="30">
        <v>0</v>
      </c>
      <c r="K4" s="30">
        <v>0</v>
      </c>
      <c r="L4" s="30">
        <f>G15/75</f>
        <v>32</v>
      </c>
      <c r="M4" s="30">
        <v>0</v>
      </c>
      <c r="N4" s="30">
        <v>0</v>
      </c>
      <c r="O4" s="30">
        <v>0</v>
      </c>
    </row>
    <row r="5" spans="1:15" x14ac:dyDescent="0.2">
      <c r="A5" s="30">
        <v>401</v>
      </c>
      <c r="B5" s="51" t="s">
        <v>247</v>
      </c>
      <c r="C5" s="23" t="s">
        <v>237</v>
      </c>
      <c r="D5" s="30">
        <v>0</v>
      </c>
      <c r="E5" s="30">
        <f t="shared" si="0"/>
        <v>2500</v>
      </c>
      <c r="F5" s="30">
        <v>0</v>
      </c>
      <c r="G5" s="30">
        <f t="shared" si="1"/>
        <v>1000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f>G16/75</f>
        <v>64</v>
      </c>
      <c r="O5" s="30">
        <v>0</v>
      </c>
    </row>
    <row r="6" spans="1:15" x14ac:dyDescent="0.2">
      <c r="A6" s="30">
        <v>102</v>
      </c>
      <c r="B6" s="51" t="s">
        <v>239</v>
      </c>
      <c r="C6" s="23" t="s">
        <v>234</v>
      </c>
      <c r="D6" s="30">
        <f>E2</f>
        <v>125</v>
      </c>
      <c r="E6" s="30">
        <v>0</v>
      </c>
      <c r="F6" s="30">
        <f>G2</f>
        <v>50</v>
      </c>
      <c r="G6" s="30">
        <v>0</v>
      </c>
      <c r="H6" s="30">
        <f>G13/30</f>
        <v>8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2">
      <c r="A7" s="30">
        <v>202</v>
      </c>
      <c r="B7" s="51" t="s">
        <v>239</v>
      </c>
      <c r="C7" s="23" t="s">
        <v>235</v>
      </c>
      <c r="D7" s="30">
        <f t="shared" ref="D7:D9" si="2">E3</f>
        <v>500</v>
      </c>
      <c r="E7" s="30">
        <v>0</v>
      </c>
      <c r="F7" s="30">
        <f t="shared" ref="F7:F9" si="3">G3</f>
        <v>200</v>
      </c>
      <c r="G7" s="30">
        <v>0</v>
      </c>
      <c r="H7" s="30">
        <f>G14/30</f>
        <v>32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2">
      <c r="A8" s="30">
        <v>302</v>
      </c>
      <c r="B8" s="51" t="s">
        <v>248</v>
      </c>
      <c r="C8" s="23" t="s">
        <v>236</v>
      </c>
      <c r="D8" s="30">
        <f t="shared" si="2"/>
        <v>1250</v>
      </c>
      <c r="E8" s="30">
        <v>0</v>
      </c>
      <c r="F8" s="30">
        <f t="shared" si="3"/>
        <v>500</v>
      </c>
      <c r="G8" s="30">
        <v>0</v>
      </c>
      <c r="H8" s="30">
        <v>0</v>
      </c>
      <c r="I8" s="30">
        <f>G15/75</f>
        <v>32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2">
      <c r="A9" s="30">
        <v>402</v>
      </c>
      <c r="B9" s="51" t="s">
        <v>248</v>
      </c>
      <c r="C9" s="23" t="s">
        <v>237</v>
      </c>
      <c r="D9" s="30">
        <f t="shared" si="2"/>
        <v>2500</v>
      </c>
      <c r="E9" s="30">
        <v>0</v>
      </c>
      <c r="F9" s="30">
        <f t="shared" si="3"/>
        <v>1000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f>G16/75</f>
        <v>64</v>
      </c>
    </row>
    <row r="10" spans="1:15" x14ac:dyDescent="0.2">
      <c r="A10" s="30"/>
      <c r="B10" s="51"/>
      <c r="C10" s="23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2">
      <c r="A11" s="30"/>
      <c r="D11" s="30"/>
      <c r="E11" s="30"/>
      <c r="F11" s="30"/>
      <c r="G11" s="30"/>
    </row>
    <row r="12" spans="1:15" x14ac:dyDescent="0.2">
      <c r="A12" s="30"/>
      <c r="C12" s="23"/>
      <c r="D12" s="30"/>
      <c r="E12" s="30" t="s">
        <v>244</v>
      </c>
      <c r="F12" s="30" t="s">
        <v>245</v>
      </c>
      <c r="G12" s="30" t="s">
        <v>246</v>
      </c>
      <c r="H12" s="30"/>
    </row>
    <row r="13" spans="1:15" x14ac:dyDescent="0.2">
      <c r="A13" s="30"/>
      <c r="B13" s="23"/>
      <c r="D13" s="23"/>
      <c r="E13" s="6">
        <v>125</v>
      </c>
      <c r="F13" s="30">
        <v>50</v>
      </c>
      <c r="G13" s="30">
        <v>240</v>
      </c>
    </row>
    <row r="14" spans="1:15" x14ac:dyDescent="0.2">
      <c r="A14" s="23"/>
      <c r="B14" s="23"/>
      <c r="C14" s="23" t="s">
        <v>243</v>
      </c>
      <c r="D14" s="30">
        <v>4</v>
      </c>
      <c r="E14" s="6">
        <f>E13*D14</f>
        <v>500</v>
      </c>
      <c r="F14" s="30">
        <f>F13*D14</f>
        <v>200</v>
      </c>
      <c r="G14" s="30">
        <f>G13*D14</f>
        <v>960</v>
      </c>
      <c r="I14" s="1"/>
      <c r="J14" s="5"/>
      <c r="K14" s="34"/>
    </row>
    <row r="15" spans="1:15" x14ac:dyDescent="0.2">
      <c r="A15" s="23"/>
      <c r="B15" s="23"/>
      <c r="C15" s="23"/>
      <c r="D15" s="30">
        <v>2.5</v>
      </c>
      <c r="E15" s="6">
        <f>E14*D15</f>
        <v>1250</v>
      </c>
      <c r="F15" s="30">
        <f t="shared" ref="F15:F16" si="4">F14*D15</f>
        <v>500</v>
      </c>
      <c r="G15" s="30">
        <f t="shared" ref="G15:G16" si="5">G14*D15</f>
        <v>2400</v>
      </c>
      <c r="J15" s="5"/>
      <c r="K15" s="16"/>
    </row>
    <row r="16" spans="1:15" x14ac:dyDescent="0.2">
      <c r="A16" s="23"/>
      <c r="B16" s="23"/>
      <c r="C16" s="23"/>
      <c r="D16" s="30">
        <v>2</v>
      </c>
      <c r="E16" s="6">
        <f>E15*D16</f>
        <v>2500</v>
      </c>
      <c r="F16" s="30">
        <f t="shared" si="4"/>
        <v>1000</v>
      </c>
      <c r="G16" s="30">
        <f t="shared" si="5"/>
        <v>4800</v>
      </c>
      <c r="J16" s="5"/>
      <c r="K16" s="16"/>
    </row>
    <row r="17" spans="1:18" x14ac:dyDescent="0.2">
      <c r="A17" s="23"/>
      <c r="B17" s="23"/>
      <c r="C17" s="23"/>
      <c r="D17" s="30"/>
      <c r="E17" s="6"/>
      <c r="F17" s="30"/>
      <c r="G17" s="30"/>
      <c r="J17" s="5"/>
      <c r="K17" s="16"/>
    </row>
    <row r="18" spans="1:18" x14ac:dyDescent="0.2">
      <c r="A18" s="23"/>
      <c r="B18" s="23"/>
      <c r="C18" s="23"/>
      <c r="D18" s="30"/>
      <c r="E18" s="6"/>
      <c r="F18" s="30"/>
      <c r="G18" s="23"/>
      <c r="J18" s="5"/>
      <c r="K18" s="16"/>
      <c r="Q18" s="23" t="s">
        <v>256</v>
      </c>
      <c r="R18" s="23"/>
    </row>
    <row r="19" spans="1:18" x14ac:dyDescent="0.2">
      <c r="A19" s="23"/>
      <c r="B19" s="23"/>
      <c r="C19" s="23"/>
      <c r="D19" s="30"/>
      <c r="E19" s="30"/>
      <c r="F19" s="30"/>
      <c r="G19" s="23"/>
      <c r="Q19" s="30">
        <v>20</v>
      </c>
      <c r="R19" s="23">
        <v>0</v>
      </c>
    </row>
    <row r="20" spans="1:18" x14ac:dyDescent="0.2">
      <c r="A20" s="23"/>
      <c r="B20" s="23"/>
      <c r="Q20" s="30">
        <v>41</v>
      </c>
      <c r="R20" s="23" t="s">
        <v>258</v>
      </c>
    </row>
    <row r="21" spans="1:18" x14ac:dyDescent="0.2">
      <c r="A21" s="23"/>
      <c r="B21" s="23"/>
      <c r="Q21" s="23">
        <v>42</v>
      </c>
      <c r="R21" s="23" t="s">
        <v>259</v>
      </c>
    </row>
    <row r="22" spans="1:18" x14ac:dyDescent="0.2">
      <c r="A22" s="23"/>
      <c r="B22" s="23"/>
      <c r="Q22" s="23">
        <v>51</v>
      </c>
      <c r="R22" s="23">
        <v>0</v>
      </c>
    </row>
    <row r="23" spans="1:18" x14ac:dyDescent="0.2">
      <c r="A23" s="23"/>
      <c r="B23" s="23"/>
      <c r="Q23" s="23">
        <v>52</v>
      </c>
      <c r="R23" s="23" t="s">
        <v>257</v>
      </c>
    </row>
    <row r="24" spans="1:18" x14ac:dyDescent="0.2">
      <c r="K24" s="1"/>
      <c r="Q24" s="30">
        <v>53</v>
      </c>
      <c r="R24" s="23" t="s">
        <v>260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B4B1-72A5-4ED1-AB93-4C90FFBBC585}">
  <dimension ref="B1:AC19"/>
  <sheetViews>
    <sheetView workbookViewId="0">
      <selection activeCell="I22" sqref="I22"/>
    </sheetView>
  </sheetViews>
  <sheetFormatPr defaultRowHeight="14.25" x14ac:dyDescent="0.2"/>
  <cols>
    <col min="5" max="5" width="3.75" style="42" customWidth="1"/>
    <col min="7" max="8" width="5.75" style="5" customWidth="1"/>
    <col min="10" max="11" width="7.125" style="5" customWidth="1"/>
    <col min="13" max="14" width="7.625" style="5" customWidth="1"/>
    <col min="16" max="17" width="9" style="5"/>
    <col min="18" max="18" width="2.625" style="42" customWidth="1"/>
    <col min="20" max="20" width="8.375" style="5" customWidth="1"/>
    <col min="23" max="24" width="6.125" style="5" customWidth="1"/>
  </cols>
  <sheetData>
    <row r="1" spans="2:29" x14ac:dyDescent="0.2">
      <c r="C1" s="1" t="s">
        <v>226</v>
      </c>
      <c r="D1" s="1" t="s">
        <v>227</v>
      </c>
      <c r="E1" s="43"/>
      <c r="F1" s="1" t="s">
        <v>19</v>
      </c>
      <c r="I1" s="1" t="s">
        <v>21</v>
      </c>
      <c r="L1" s="1" t="s">
        <v>12</v>
      </c>
      <c r="O1" s="1" t="s">
        <v>14</v>
      </c>
      <c r="R1" s="43"/>
      <c r="S1" s="1" t="s">
        <v>65</v>
      </c>
      <c r="U1" s="1" t="s">
        <v>217</v>
      </c>
      <c r="V1" s="1" t="s">
        <v>66</v>
      </c>
      <c r="Y1" s="1" t="s">
        <v>216</v>
      </c>
      <c r="Z1" s="1" t="s">
        <v>218</v>
      </c>
      <c r="AA1" s="1" t="s">
        <v>219</v>
      </c>
      <c r="AB1" s="1" t="s">
        <v>221</v>
      </c>
    </row>
    <row r="2" spans="2:29" x14ac:dyDescent="0.2">
      <c r="B2" s="1" t="s">
        <v>225</v>
      </c>
      <c r="C2" s="1">
        <v>233</v>
      </c>
      <c r="D2">
        <v>93</v>
      </c>
      <c r="F2">
        <v>145</v>
      </c>
      <c r="H2" s="34">
        <f>F2/C2</f>
        <v>0.62231759656652363</v>
      </c>
      <c r="I2">
        <v>62</v>
      </c>
      <c r="K2" s="34">
        <f>I2/D2</f>
        <v>0.66666666666666663</v>
      </c>
      <c r="V2" s="18">
        <v>8.0000000000000004E-4</v>
      </c>
      <c r="W2" s="5">
        <f>8*30</f>
        <v>240</v>
      </c>
      <c r="X2" s="5">
        <f>24/D2</f>
        <v>0.25806451612903225</v>
      </c>
    </row>
    <row r="3" spans="2:29" x14ac:dyDescent="0.2">
      <c r="B3" s="1" t="s">
        <v>224</v>
      </c>
      <c r="C3" s="1">
        <v>233</v>
      </c>
      <c r="D3">
        <v>93</v>
      </c>
      <c r="F3">
        <v>434</v>
      </c>
      <c r="G3" s="5">
        <f>F3/F2</f>
        <v>2.9931034482758623</v>
      </c>
      <c r="H3" s="5">
        <f t="shared" ref="H3:H5" si="0">F3/C3</f>
        <v>1.8626609442060085</v>
      </c>
      <c r="I3">
        <v>186</v>
      </c>
      <c r="J3" s="5">
        <f>I3/I2</f>
        <v>3</v>
      </c>
      <c r="K3" s="5">
        <f t="shared" ref="K3:K5" si="1">I3/D3</f>
        <v>2</v>
      </c>
      <c r="V3" s="18">
        <v>2.3999999999999998E-3</v>
      </c>
      <c r="W3" s="5">
        <f>24*30</f>
        <v>720</v>
      </c>
    </row>
    <row r="4" spans="2:29" x14ac:dyDescent="0.2">
      <c r="B4" s="1" t="s">
        <v>223</v>
      </c>
      <c r="C4" s="1">
        <v>416</v>
      </c>
      <c r="D4">
        <v>166</v>
      </c>
      <c r="F4">
        <v>980</v>
      </c>
      <c r="G4" s="5">
        <f t="shared" ref="G4:G5" si="2">F4/F3</f>
        <v>2.2580645161290325</v>
      </c>
      <c r="H4" s="34">
        <f t="shared" si="0"/>
        <v>2.3557692307692308</v>
      </c>
      <c r="I4">
        <v>420</v>
      </c>
      <c r="J4" s="5">
        <f t="shared" ref="J4:J5" si="3">I4/I3</f>
        <v>2.2580645161290325</v>
      </c>
      <c r="K4" s="34">
        <f t="shared" si="1"/>
        <v>2.5301204819277108</v>
      </c>
      <c r="S4" s="18">
        <v>1.8E-3</v>
      </c>
      <c r="T4" s="5">
        <f>18*75</f>
        <v>1350</v>
      </c>
    </row>
    <row r="5" spans="2:29" x14ac:dyDescent="0.2">
      <c r="B5" s="1" t="s">
        <v>222</v>
      </c>
      <c r="C5" s="1">
        <v>416</v>
      </c>
      <c r="D5">
        <v>166</v>
      </c>
      <c r="F5">
        <v>1666</v>
      </c>
      <c r="G5" s="5">
        <f t="shared" si="2"/>
        <v>1.7</v>
      </c>
      <c r="H5" s="5">
        <f t="shared" si="0"/>
        <v>4.0048076923076925</v>
      </c>
      <c r="I5">
        <v>714</v>
      </c>
      <c r="J5" s="5">
        <f t="shared" si="3"/>
        <v>1.7</v>
      </c>
      <c r="K5" s="5">
        <f t="shared" si="1"/>
        <v>4.3012048192771086</v>
      </c>
      <c r="Z5" s="52">
        <v>5.4000000000000003E-3</v>
      </c>
      <c r="AA5" s="42">
        <f>54*75</f>
        <v>4050</v>
      </c>
    </row>
    <row r="6" spans="2:29" x14ac:dyDescent="0.2">
      <c r="B6" s="1" t="s">
        <v>222</v>
      </c>
      <c r="C6" s="1">
        <v>416</v>
      </c>
      <c r="D6">
        <v>166</v>
      </c>
      <c r="F6">
        <v>1666</v>
      </c>
      <c r="I6">
        <v>714</v>
      </c>
      <c r="Z6" s="18"/>
      <c r="AB6" s="49">
        <v>1.6000000000000001E-3</v>
      </c>
      <c r="AC6">
        <f>16*75</f>
        <v>1200</v>
      </c>
    </row>
    <row r="7" spans="2:29" x14ac:dyDescent="0.2">
      <c r="B7" s="1" t="s">
        <v>225</v>
      </c>
      <c r="C7" s="1">
        <v>4654</v>
      </c>
      <c r="D7">
        <v>93</v>
      </c>
      <c r="L7">
        <v>2893</v>
      </c>
      <c r="N7" s="34">
        <f>L7/C7</f>
        <v>0.62161581435324453</v>
      </c>
      <c r="O7">
        <v>62</v>
      </c>
      <c r="Q7" s="34">
        <f>O7/D7</f>
        <v>0.66666666666666663</v>
      </c>
      <c r="Y7" s="18">
        <v>8.0000000000000004E-4</v>
      </c>
    </row>
    <row r="8" spans="2:29" x14ac:dyDescent="0.2">
      <c r="B8" s="1" t="s">
        <v>224</v>
      </c>
      <c r="C8" s="1">
        <v>4654</v>
      </c>
      <c r="D8">
        <v>93</v>
      </c>
      <c r="L8">
        <v>8686</v>
      </c>
      <c r="M8" s="5">
        <f>L8/L7</f>
        <v>3.0024196335983406</v>
      </c>
      <c r="N8" s="5">
        <f t="shared" ref="N8:N10" si="4">L8/C8</f>
        <v>1.8663515255694028</v>
      </c>
      <c r="O8">
        <v>186</v>
      </c>
      <c r="P8" s="5">
        <f>O8/O7</f>
        <v>3</v>
      </c>
      <c r="Q8" s="5">
        <f t="shared" ref="Q8:Q10" si="5">O8/D8</f>
        <v>2</v>
      </c>
      <c r="Y8" s="18">
        <v>2.3999999999999998E-3</v>
      </c>
    </row>
    <row r="9" spans="2:29" x14ac:dyDescent="0.2">
      <c r="B9" s="1" t="s">
        <v>223</v>
      </c>
      <c r="C9" s="1">
        <v>8310</v>
      </c>
      <c r="D9">
        <v>166</v>
      </c>
      <c r="L9">
        <v>19600</v>
      </c>
      <c r="M9" s="5">
        <f t="shared" ref="M9:M10" si="6">L9/L8</f>
        <v>2.2565047202394659</v>
      </c>
      <c r="N9" s="34">
        <f t="shared" si="4"/>
        <v>2.3586040914560771</v>
      </c>
      <c r="O9">
        <v>420</v>
      </c>
      <c r="P9" s="5">
        <f t="shared" ref="P9:P10" si="7">O9/O8</f>
        <v>2.2580645161290325</v>
      </c>
      <c r="Q9" s="34">
        <f t="shared" si="5"/>
        <v>2.5301204819277108</v>
      </c>
      <c r="S9" s="18">
        <v>1.8E-3</v>
      </c>
    </row>
    <row r="10" spans="2:29" x14ac:dyDescent="0.2">
      <c r="B10" s="1" t="s">
        <v>222</v>
      </c>
      <c r="C10" s="1">
        <v>8310</v>
      </c>
      <c r="D10">
        <v>166</v>
      </c>
      <c r="L10">
        <v>33320</v>
      </c>
      <c r="M10" s="5">
        <f t="shared" si="6"/>
        <v>1.7</v>
      </c>
      <c r="N10" s="5">
        <f t="shared" si="4"/>
        <v>4.0096269554753308</v>
      </c>
      <c r="O10">
        <v>714</v>
      </c>
      <c r="P10" s="5">
        <f t="shared" si="7"/>
        <v>1.7</v>
      </c>
      <c r="Q10" s="5">
        <f t="shared" si="5"/>
        <v>4.3012048192771086</v>
      </c>
      <c r="AA10" s="53">
        <v>1.6000000000000001E-3</v>
      </c>
    </row>
    <row r="12" spans="2:29" x14ac:dyDescent="0.2">
      <c r="F12" s="1"/>
      <c r="S12" s="1" t="s">
        <v>240</v>
      </c>
    </row>
    <row r="13" spans="2:29" x14ac:dyDescent="0.2">
      <c r="F13" s="1"/>
      <c r="S13" s="1" t="s">
        <v>242</v>
      </c>
    </row>
    <row r="14" spans="2:29" x14ac:dyDescent="0.2">
      <c r="F14">
        <f>F2</f>
        <v>145</v>
      </c>
      <c r="G14" s="5">
        <f>F13+F14</f>
        <v>145</v>
      </c>
      <c r="AA14">
        <f>W2</f>
        <v>240</v>
      </c>
    </row>
    <row r="15" spans="2:29" x14ac:dyDescent="0.2">
      <c r="F15">
        <f>F3</f>
        <v>434</v>
      </c>
      <c r="G15" s="5">
        <f>F14+F15</f>
        <v>579</v>
      </c>
      <c r="H15" s="5">
        <f>G15/G14</f>
        <v>3.9931034482758623</v>
      </c>
      <c r="I15">
        <v>4</v>
      </c>
      <c r="AA15">
        <f>W2+W3</f>
        <v>960</v>
      </c>
      <c r="AB15">
        <f t="shared" ref="AB15:AB16" si="8">AA15/AA14</f>
        <v>4</v>
      </c>
    </row>
    <row r="16" spans="2:29" x14ac:dyDescent="0.2">
      <c r="F16">
        <f>F4</f>
        <v>980</v>
      </c>
      <c r="G16" s="5">
        <f t="shared" ref="G16:G17" si="9">F15+F16</f>
        <v>1414</v>
      </c>
      <c r="H16" s="5">
        <f t="shared" ref="H16:H17" si="10">G16/G15</f>
        <v>2.4421416234887738</v>
      </c>
      <c r="I16">
        <v>2.5</v>
      </c>
      <c r="AA16">
        <f>W2+W3+T4</f>
        <v>2310</v>
      </c>
      <c r="AB16">
        <f t="shared" si="8"/>
        <v>2.40625</v>
      </c>
    </row>
    <row r="17" spans="6:12" x14ac:dyDescent="0.2">
      <c r="F17">
        <f>F5</f>
        <v>1666</v>
      </c>
      <c r="G17" s="5">
        <f t="shared" si="9"/>
        <v>2646</v>
      </c>
      <c r="H17" s="5">
        <f t="shared" si="10"/>
        <v>1.8712871287128714</v>
      </c>
      <c r="I17">
        <v>2</v>
      </c>
    </row>
    <row r="19" spans="6:12" x14ac:dyDescent="0.2">
      <c r="L19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11D2-EA46-4091-85ED-F8D5BEA4792B}">
  <dimension ref="A1:R73"/>
  <sheetViews>
    <sheetView topLeftCell="A7" workbookViewId="0">
      <selection activeCell="O21" sqref="O21"/>
    </sheetView>
  </sheetViews>
  <sheetFormatPr defaultRowHeight="14.25" x14ac:dyDescent="0.2"/>
  <cols>
    <col min="2" max="2" width="9.75" style="33" customWidth="1"/>
    <col min="3" max="3" width="11" style="2" customWidth="1"/>
    <col min="4" max="4" width="5.75" style="2" customWidth="1"/>
    <col min="5" max="5" width="9.375" style="4" customWidth="1"/>
    <col min="6" max="9" width="11" customWidth="1"/>
    <col min="10" max="10" width="4.875" style="5" customWidth="1"/>
    <col min="11" max="12" width="14.375" customWidth="1"/>
    <col min="13" max="13" width="9" style="4"/>
    <col min="14" max="14" width="8.875" style="5" customWidth="1"/>
    <col min="15" max="15" width="5" customWidth="1"/>
  </cols>
  <sheetData>
    <row r="1" spans="1:17" x14ac:dyDescent="0.2">
      <c r="A1" s="1" t="s">
        <v>7</v>
      </c>
      <c r="B1" s="33" t="s">
        <v>99</v>
      </c>
      <c r="C1" s="2" t="s">
        <v>1</v>
      </c>
      <c r="E1" s="3" t="s">
        <v>8</v>
      </c>
      <c r="F1" t="s">
        <v>3</v>
      </c>
      <c r="G1" t="s">
        <v>4</v>
      </c>
      <c r="H1" t="s">
        <v>5</v>
      </c>
      <c r="I1" t="s">
        <v>6</v>
      </c>
      <c r="K1" s="1" t="s">
        <v>250</v>
      </c>
      <c r="L1" s="1"/>
      <c r="P1" s="1"/>
    </row>
    <row r="2" spans="1:17" x14ac:dyDescent="0.2">
      <c r="A2">
        <v>1</v>
      </c>
      <c r="B2" s="33">
        <v>170</v>
      </c>
      <c r="C2" s="2">
        <v>150</v>
      </c>
      <c r="E2" s="4">
        <f>SUM($C$2:C2)</f>
        <v>150</v>
      </c>
      <c r="F2">
        <f>G2*20</f>
        <v>500</v>
      </c>
      <c r="G2">
        <f>I2*2.5</f>
        <v>25</v>
      </c>
      <c r="H2">
        <f>I2</f>
        <v>10</v>
      </c>
      <c r="I2">
        <v>10</v>
      </c>
      <c r="K2">
        <f>(G2+H2)*10</f>
        <v>350</v>
      </c>
      <c r="L2">
        <f>K2/(E2/10)</f>
        <v>23.333333333333332</v>
      </c>
      <c r="M2" s="3"/>
      <c r="N2" s="6"/>
    </row>
    <row r="3" spans="1:17" x14ac:dyDescent="0.2">
      <c r="A3">
        <v>2</v>
      </c>
      <c r="B3" s="33">
        <v>200</v>
      </c>
      <c r="C3" s="2">
        <f t="shared" ref="C3:C34" si="0">C2+D3</f>
        <v>200</v>
      </c>
      <c r="D3" s="2">
        <v>50</v>
      </c>
      <c r="E3" s="4">
        <f>SUM($C$2:C3)</f>
        <v>350</v>
      </c>
      <c r="F3">
        <f t="shared" ref="F3:F66" si="1">G3*20</f>
        <v>1000</v>
      </c>
      <c r="G3">
        <f t="shared" ref="G3:G61" si="2">I3*2.5</f>
        <v>50</v>
      </c>
      <c r="H3">
        <f t="shared" ref="H3:H66" si="3">I3</f>
        <v>20</v>
      </c>
      <c r="I3">
        <f>I2+J3</f>
        <v>20</v>
      </c>
      <c r="J3" s="5">
        <v>10</v>
      </c>
      <c r="K3">
        <f t="shared" ref="K3:K66" si="4">(G3+H3)*10</f>
        <v>700</v>
      </c>
      <c r="L3">
        <f t="shared" ref="L3:L66" si="5">K3/(E3/10)</f>
        <v>20</v>
      </c>
      <c r="M3" s="3"/>
      <c r="N3" s="6"/>
    </row>
    <row r="4" spans="1:17" x14ac:dyDescent="0.2">
      <c r="A4">
        <v>3</v>
      </c>
      <c r="B4" s="33">
        <v>230</v>
      </c>
      <c r="C4" s="2">
        <f t="shared" si="0"/>
        <v>250</v>
      </c>
      <c r="D4" s="2">
        <f>D3</f>
        <v>50</v>
      </c>
      <c r="E4" s="4">
        <f>SUM($C$2:C4)</f>
        <v>600</v>
      </c>
      <c r="F4">
        <f t="shared" si="1"/>
        <v>1500</v>
      </c>
      <c r="G4">
        <f t="shared" si="2"/>
        <v>75</v>
      </c>
      <c r="H4">
        <f t="shared" si="3"/>
        <v>30</v>
      </c>
      <c r="I4">
        <f t="shared" ref="I4:I67" si="6">I3+J4</f>
        <v>30</v>
      </c>
      <c r="J4" s="5">
        <v>10</v>
      </c>
      <c r="K4">
        <f t="shared" si="4"/>
        <v>1050</v>
      </c>
      <c r="L4">
        <f t="shared" si="5"/>
        <v>17.5</v>
      </c>
      <c r="M4" s="3"/>
      <c r="N4" s="6"/>
    </row>
    <row r="5" spans="1:17" x14ac:dyDescent="0.2">
      <c r="A5">
        <v>4</v>
      </c>
      <c r="B5" s="33">
        <v>260</v>
      </c>
      <c r="C5" s="2">
        <f t="shared" si="0"/>
        <v>300</v>
      </c>
      <c r="D5" s="2">
        <f t="shared" ref="D5:D68" si="7">D4</f>
        <v>50</v>
      </c>
      <c r="E5" s="4">
        <f>SUM($C$2:C5)</f>
        <v>900</v>
      </c>
      <c r="F5">
        <f t="shared" si="1"/>
        <v>2000</v>
      </c>
      <c r="G5">
        <f t="shared" si="2"/>
        <v>100</v>
      </c>
      <c r="H5">
        <f t="shared" si="3"/>
        <v>40</v>
      </c>
      <c r="I5">
        <f t="shared" si="6"/>
        <v>40</v>
      </c>
      <c r="J5" s="5">
        <v>10</v>
      </c>
      <c r="K5">
        <f t="shared" si="4"/>
        <v>1400</v>
      </c>
      <c r="L5">
        <f t="shared" si="5"/>
        <v>15.555555555555555</v>
      </c>
      <c r="M5" s="3"/>
      <c r="N5" s="6"/>
    </row>
    <row r="6" spans="1:17" x14ac:dyDescent="0.2">
      <c r="A6">
        <v>5</v>
      </c>
      <c r="B6" s="33">
        <v>290</v>
      </c>
      <c r="C6" s="2">
        <f t="shared" si="0"/>
        <v>350</v>
      </c>
      <c r="D6" s="2">
        <f t="shared" si="7"/>
        <v>50</v>
      </c>
      <c r="E6" s="4">
        <f>SUM($C$2:C6)</f>
        <v>1250</v>
      </c>
      <c r="F6">
        <f t="shared" si="1"/>
        <v>2500</v>
      </c>
      <c r="G6">
        <f t="shared" si="2"/>
        <v>125</v>
      </c>
      <c r="H6">
        <f t="shared" si="3"/>
        <v>50</v>
      </c>
      <c r="I6">
        <f t="shared" si="6"/>
        <v>50</v>
      </c>
      <c r="J6" s="5">
        <v>10</v>
      </c>
      <c r="K6">
        <f t="shared" si="4"/>
        <v>1750</v>
      </c>
      <c r="L6">
        <f t="shared" si="5"/>
        <v>14</v>
      </c>
      <c r="M6" s="3"/>
      <c r="N6" s="6"/>
    </row>
    <row r="7" spans="1:17" x14ac:dyDescent="0.2">
      <c r="A7">
        <v>6</v>
      </c>
      <c r="B7" s="33">
        <v>320</v>
      </c>
      <c r="C7" s="2">
        <f t="shared" si="0"/>
        <v>400</v>
      </c>
      <c r="D7" s="2">
        <f t="shared" si="7"/>
        <v>50</v>
      </c>
      <c r="E7" s="4">
        <f>SUM($C$2:C7)</f>
        <v>1650</v>
      </c>
      <c r="F7">
        <f t="shared" si="1"/>
        <v>3000</v>
      </c>
      <c r="G7">
        <f t="shared" si="2"/>
        <v>150</v>
      </c>
      <c r="H7">
        <f t="shared" si="3"/>
        <v>60</v>
      </c>
      <c r="I7">
        <f t="shared" si="6"/>
        <v>60</v>
      </c>
      <c r="J7" s="5">
        <v>10</v>
      </c>
      <c r="K7">
        <f t="shared" si="4"/>
        <v>2100</v>
      </c>
      <c r="L7">
        <f t="shared" si="5"/>
        <v>12.727272727272727</v>
      </c>
      <c r="M7" s="3"/>
      <c r="N7" s="6"/>
    </row>
    <row r="8" spans="1:17" x14ac:dyDescent="0.2">
      <c r="A8">
        <v>7</v>
      </c>
      <c r="B8" s="33">
        <v>350</v>
      </c>
      <c r="C8" s="2">
        <f t="shared" si="0"/>
        <v>450</v>
      </c>
      <c r="D8" s="2">
        <f t="shared" si="7"/>
        <v>50</v>
      </c>
      <c r="E8" s="4">
        <f>SUM($C$2:C8)</f>
        <v>2100</v>
      </c>
      <c r="F8">
        <f t="shared" si="1"/>
        <v>3500</v>
      </c>
      <c r="G8">
        <f t="shared" si="2"/>
        <v>175</v>
      </c>
      <c r="H8">
        <f t="shared" si="3"/>
        <v>70</v>
      </c>
      <c r="I8">
        <f t="shared" si="6"/>
        <v>70</v>
      </c>
      <c r="J8" s="5">
        <v>10</v>
      </c>
      <c r="K8">
        <f t="shared" si="4"/>
        <v>2450</v>
      </c>
      <c r="L8">
        <f t="shared" si="5"/>
        <v>11.666666666666666</v>
      </c>
      <c r="M8" s="3"/>
      <c r="N8" s="6"/>
    </row>
    <row r="9" spans="1:17" x14ac:dyDescent="0.2">
      <c r="A9">
        <v>8</v>
      </c>
      <c r="B9" s="33">
        <v>380</v>
      </c>
      <c r="C9" s="2">
        <f t="shared" si="0"/>
        <v>500</v>
      </c>
      <c r="D9" s="2">
        <f t="shared" si="7"/>
        <v>50</v>
      </c>
      <c r="E9" s="4">
        <f>SUM($C$2:C9)</f>
        <v>2600</v>
      </c>
      <c r="F9">
        <f t="shared" si="1"/>
        <v>4000</v>
      </c>
      <c r="G9">
        <f t="shared" si="2"/>
        <v>200</v>
      </c>
      <c r="H9">
        <f t="shared" si="3"/>
        <v>80</v>
      </c>
      <c r="I9">
        <f t="shared" si="6"/>
        <v>80</v>
      </c>
      <c r="J9" s="5">
        <v>10</v>
      </c>
      <c r="K9">
        <f t="shared" si="4"/>
        <v>2800</v>
      </c>
      <c r="L9">
        <f t="shared" si="5"/>
        <v>10.76923076923077</v>
      </c>
      <c r="N9" s="6"/>
    </row>
    <row r="10" spans="1:17" x14ac:dyDescent="0.2">
      <c r="A10">
        <v>9</v>
      </c>
      <c r="B10" s="33">
        <v>410</v>
      </c>
      <c r="C10" s="2">
        <f t="shared" si="0"/>
        <v>550</v>
      </c>
      <c r="D10" s="2">
        <f t="shared" si="7"/>
        <v>50</v>
      </c>
      <c r="E10" s="4">
        <f>SUM($C$2:C10)</f>
        <v>3150</v>
      </c>
      <c r="F10">
        <f t="shared" si="1"/>
        <v>4500</v>
      </c>
      <c r="G10">
        <f t="shared" si="2"/>
        <v>225</v>
      </c>
      <c r="H10">
        <f t="shared" si="3"/>
        <v>90</v>
      </c>
      <c r="I10">
        <f t="shared" si="6"/>
        <v>90</v>
      </c>
      <c r="J10" s="5">
        <v>10</v>
      </c>
      <c r="K10">
        <f t="shared" si="4"/>
        <v>3150</v>
      </c>
      <c r="L10">
        <f t="shared" si="5"/>
        <v>10</v>
      </c>
      <c r="N10" s="6"/>
    </row>
    <row r="11" spans="1:17" s="42" customFormat="1" x14ac:dyDescent="0.2">
      <c r="A11" s="42">
        <v>10</v>
      </c>
      <c r="B11" s="33">
        <v>440</v>
      </c>
      <c r="C11" s="44">
        <f t="shared" si="0"/>
        <v>600</v>
      </c>
      <c r="D11" s="44">
        <f t="shared" si="7"/>
        <v>50</v>
      </c>
      <c r="E11" s="4">
        <f>SUM($C$2:C11)</f>
        <v>3750</v>
      </c>
      <c r="F11" s="42">
        <f t="shared" si="1"/>
        <v>5000</v>
      </c>
      <c r="G11" s="42">
        <f t="shared" si="2"/>
        <v>250</v>
      </c>
      <c r="H11" s="42">
        <f t="shared" si="3"/>
        <v>100</v>
      </c>
      <c r="I11" s="42">
        <f t="shared" si="6"/>
        <v>100</v>
      </c>
      <c r="J11" s="44">
        <v>10</v>
      </c>
      <c r="K11">
        <f t="shared" si="4"/>
        <v>3500</v>
      </c>
      <c r="L11">
        <f t="shared" si="5"/>
        <v>9.3333333333333339</v>
      </c>
      <c r="N11" s="45"/>
    </row>
    <row r="12" spans="1:17" x14ac:dyDescent="0.2">
      <c r="A12">
        <v>11</v>
      </c>
      <c r="B12" s="33">
        <v>500</v>
      </c>
      <c r="C12" s="2">
        <f t="shared" si="0"/>
        <v>700</v>
      </c>
      <c r="D12" s="2">
        <v>100</v>
      </c>
      <c r="E12" s="4">
        <f>SUM($C$2:C12)</f>
        <v>4450</v>
      </c>
      <c r="F12">
        <f t="shared" si="1"/>
        <v>5500</v>
      </c>
      <c r="G12">
        <f t="shared" si="2"/>
        <v>275</v>
      </c>
      <c r="H12">
        <f t="shared" si="3"/>
        <v>110</v>
      </c>
      <c r="I12">
        <f t="shared" si="6"/>
        <v>110</v>
      </c>
      <c r="J12" s="5">
        <v>10</v>
      </c>
      <c r="K12">
        <f t="shared" si="4"/>
        <v>3850</v>
      </c>
      <c r="L12">
        <f t="shared" si="5"/>
        <v>8.6516853932584272</v>
      </c>
      <c r="N12" s="6"/>
    </row>
    <row r="13" spans="1:17" x14ac:dyDescent="0.2">
      <c r="A13">
        <v>12</v>
      </c>
      <c r="B13" s="33">
        <v>560</v>
      </c>
      <c r="C13" s="2">
        <f t="shared" si="0"/>
        <v>800</v>
      </c>
      <c r="D13" s="2">
        <f t="shared" si="7"/>
        <v>100</v>
      </c>
      <c r="E13" s="4">
        <f>SUM($C$2:C13)</f>
        <v>5250</v>
      </c>
      <c r="F13">
        <f t="shared" si="1"/>
        <v>6000</v>
      </c>
      <c r="G13">
        <f t="shared" si="2"/>
        <v>300</v>
      </c>
      <c r="H13">
        <f t="shared" si="3"/>
        <v>120</v>
      </c>
      <c r="I13">
        <f t="shared" si="6"/>
        <v>120</v>
      </c>
      <c r="J13" s="5">
        <v>10</v>
      </c>
      <c r="K13">
        <f t="shared" si="4"/>
        <v>4200</v>
      </c>
      <c r="L13">
        <f t="shared" si="5"/>
        <v>8</v>
      </c>
      <c r="N13" s="6"/>
    </row>
    <row r="14" spans="1:17" x14ac:dyDescent="0.2">
      <c r="A14">
        <v>13</v>
      </c>
      <c r="B14" s="33">
        <v>620</v>
      </c>
      <c r="C14" s="2">
        <f t="shared" si="0"/>
        <v>900</v>
      </c>
      <c r="D14" s="2">
        <f t="shared" si="7"/>
        <v>100</v>
      </c>
      <c r="E14" s="4">
        <f>SUM($C$2:C14)</f>
        <v>6150</v>
      </c>
      <c r="F14">
        <f t="shared" si="1"/>
        <v>6500</v>
      </c>
      <c r="G14">
        <f t="shared" si="2"/>
        <v>325</v>
      </c>
      <c r="H14">
        <f t="shared" si="3"/>
        <v>130</v>
      </c>
      <c r="I14">
        <f t="shared" si="6"/>
        <v>130</v>
      </c>
      <c r="J14" s="5">
        <v>10</v>
      </c>
      <c r="K14">
        <f t="shared" si="4"/>
        <v>4550</v>
      </c>
      <c r="L14">
        <f t="shared" si="5"/>
        <v>7.3983739837398375</v>
      </c>
      <c r="N14" s="6"/>
      <c r="Q14" s="1"/>
    </row>
    <row r="15" spans="1:17" x14ac:dyDescent="0.2">
      <c r="A15">
        <v>14</v>
      </c>
      <c r="B15" s="33">
        <v>680</v>
      </c>
      <c r="C15" s="2">
        <f t="shared" si="0"/>
        <v>1000</v>
      </c>
      <c r="D15" s="2">
        <f t="shared" si="7"/>
        <v>100</v>
      </c>
      <c r="E15" s="4">
        <f>SUM($C$2:C15)</f>
        <v>7150</v>
      </c>
      <c r="F15">
        <f t="shared" si="1"/>
        <v>7000</v>
      </c>
      <c r="G15">
        <f t="shared" si="2"/>
        <v>350</v>
      </c>
      <c r="H15">
        <f t="shared" si="3"/>
        <v>140</v>
      </c>
      <c r="I15">
        <f t="shared" si="6"/>
        <v>140</v>
      </c>
      <c r="J15" s="5">
        <v>10</v>
      </c>
      <c r="K15">
        <f t="shared" si="4"/>
        <v>4900</v>
      </c>
      <c r="L15">
        <f t="shared" si="5"/>
        <v>6.8531468531468533</v>
      </c>
      <c r="N15" s="6"/>
      <c r="Q15" s="1"/>
    </row>
    <row r="16" spans="1:17" x14ac:dyDescent="0.2">
      <c r="A16">
        <v>15</v>
      </c>
      <c r="B16" s="33">
        <v>740</v>
      </c>
      <c r="C16" s="2">
        <f t="shared" si="0"/>
        <v>1100</v>
      </c>
      <c r="D16" s="2">
        <f t="shared" si="7"/>
        <v>100</v>
      </c>
      <c r="E16" s="4">
        <f>SUM($C$2:C16)</f>
        <v>8250</v>
      </c>
      <c r="F16">
        <f t="shared" si="1"/>
        <v>7500</v>
      </c>
      <c r="G16">
        <f t="shared" si="2"/>
        <v>375</v>
      </c>
      <c r="H16">
        <f t="shared" si="3"/>
        <v>150</v>
      </c>
      <c r="I16">
        <f t="shared" si="6"/>
        <v>150</v>
      </c>
      <c r="J16" s="5">
        <v>10</v>
      </c>
      <c r="K16">
        <f t="shared" si="4"/>
        <v>5250</v>
      </c>
      <c r="L16">
        <f t="shared" si="5"/>
        <v>6.3636363636363633</v>
      </c>
      <c r="N16" s="6"/>
      <c r="Q16" s="1"/>
    </row>
    <row r="17" spans="1:18" x14ac:dyDescent="0.2">
      <c r="A17">
        <v>16</v>
      </c>
      <c r="B17" s="33">
        <v>800</v>
      </c>
      <c r="C17" s="2">
        <f t="shared" si="0"/>
        <v>1200</v>
      </c>
      <c r="D17" s="2">
        <f t="shared" si="7"/>
        <v>100</v>
      </c>
      <c r="E17" s="4">
        <f>SUM($C$2:C17)</f>
        <v>9450</v>
      </c>
      <c r="F17">
        <f t="shared" si="1"/>
        <v>8000</v>
      </c>
      <c r="G17">
        <f t="shared" si="2"/>
        <v>400</v>
      </c>
      <c r="H17">
        <f t="shared" si="3"/>
        <v>160</v>
      </c>
      <c r="I17">
        <f t="shared" si="6"/>
        <v>160</v>
      </c>
      <c r="J17" s="5">
        <v>10</v>
      </c>
      <c r="K17">
        <f t="shared" si="4"/>
        <v>5600</v>
      </c>
      <c r="L17">
        <f t="shared" si="5"/>
        <v>5.9259259259259256</v>
      </c>
      <c r="N17" s="6"/>
    </row>
    <row r="18" spans="1:18" x14ac:dyDescent="0.2">
      <c r="A18">
        <v>17</v>
      </c>
      <c r="B18" s="33">
        <v>860</v>
      </c>
      <c r="C18" s="2">
        <f t="shared" si="0"/>
        <v>1300</v>
      </c>
      <c r="D18" s="2">
        <f t="shared" si="7"/>
        <v>100</v>
      </c>
      <c r="E18" s="4">
        <f>SUM($C$2:C18)</f>
        <v>10750</v>
      </c>
      <c r="F18">
        <f t="shared" si="1"/>
        <v>8500</v>
      </c>
      <c r="G18">
        <f t="shared" si="2"/>
        <v>425</v>
      </c>
      <c r="H18">
        <f t="shared" si="3"/>
        <v>170</v>
      </c>
      <c r="I18">
        <f t="shared" si="6"/>
        <v>170</v>
      </c>
      <c r="J18" s="5">
        <v>10</v>
      </c>
      <c r="K18">
        <f t="shared" si="4"/>
        <v>5950</v>
      </c>
      <c r="L18">
        <f t="shared" si="5"/>
        <v>5.5348837209302326</v>
      </c>
      <c r="N18" s="6"/>
      <c r="Q18" s="8"/>
    </row>
    <row r="19" spans="1:18" x14ac:dyDescent="0.2">
      <c r="A19">
        <v>18</v>
      </c>
      <c r="B19" s="33">
        <v>920</v>
      </c>
      <c r="C19" s="2">
        <f t="shared" si="0"/>
        <v>1400</v>
      </c>
      <c r="D19" s="2">
        <f t="shared" si="7"/>
        <v>100</v>
      </c>
      <c r="E19" s="4">
        <f>SUM($C$2:C19)</f>
        <v>12150</v>
      </c>
      <c r="F19">
        <f t="shared" si="1"/>
        <v>9000</v>
      </c>
      <c r="G19">
        <f t="shared" si="2"/>
        <v>450</v>
      </c>
      <c r="H19">
        <f t="shared" si="3"/>
        <v>180</v>
      </c>
      <c r="I19">
        <f t="shared" si="6"/>
        <v>180</v>
      </c>
      <c r="J19" s="5">
        <v>10</v>
      </c>
      <c r="K19">
        <f t="shared" si="4"/>
        <v>6300</v>
      </c>
      <c r="L19">
        <f t="shared" si="5"/>
        <v>5.1851851851851851</v>
      </c>
      <c r="N19" s="6"/>
      <c r="Q19" s="1"/>
    </row>
    <row r="20" spans="1:18" x14ac:dyDescent="0.2">
      <c r="A20">
        <v>19</v>
      </c>
      <c r="B20" s="33">
        <v>980</v>
      </c>
      <c r="C20" s="2">
        <f t="shared" si="0"/>
        <v>1500</v>
      </c>
      <c r="D20" s="2">
        <f t="shared" si="7"/>
        <v>100</v>
      </c>
      <c r="E20" s="4">
        <f>SUM($C$2:C20)</f>
        <v>13650</v>
      </c>
      <c r="F20">
        <f t="shared" si="1"/>
        <v>9500</v>
      </c>
      <c r="G20">
        <f t="shared" si="2"/>
        <v>475</v>
      </c>
      <c r="H20">
        <f t="shared" si="3"/>
        <v>190</v>
      </c>
      <c r="I20">
        <f t="shared" si="6"/>
        <v>190</v>
      </c>
      <c r="J20" s="5">
        <v>10</v>
      </c>
      <c r="K20">
        <f t="shared" si="4"/>
        <v>6650</v>
      </c>
      <c r="L20">
        <f t="shared" si="5"/>
        <v>4.8717948717948714</v>
      </c>
      <c r="N20" s="6"/>
      <c r="Q20" s="1"/>
    </row>
    <row r="21" spans="1:18" s="46" customFormat="1" x14ac:dyDescent="0.2">
      <c r="A21" s="46">
        <v>20</v>
      </c>
      <c r="B21" s="33">
        <v>1040</v>
      </c>
      <c r="C21" s="44">
        <f t="shared" si="0"/>
        <v>1600</v>
      </c>
      <c r="D21" s="44">
        <f t="shared" si="7"/>
        <v>100</v>
      </c>
      <c r="E21" s="4">
        <f>SUM($C$2:C21)</f>
        <v>15250</v>
      </c>
      <c r="F21" s="42">
        <f t="shared" si="1"/>
        <v>10000</v>
      </c>
      <c r="G21" s="42">
        <f t="shared" si="2"/>
        <v>500</v>
      </c>
      <c r="H21" s="42">
        <f t="shared" si="3"/>
        <v>200</v>
      </c>
      <c r="I21" s="42">
        <f t="shared" si="6"/>
        <v>200</v>
      </c>
      <c r="J21" s="44">
        <v>10</v>
      </c>
      <c r="K21">
        <f t="shared" si="4"/>
        <v>7000</v>
      </c>
      <c r="L21">
        <f t="shared" si="5"/>
        <v>4.5901639344262293</v>
      </c>
      <c r="N21" s="45"/>
      <c r="R21" s="42"/>
    </row>
    <row r="22" spans="1:18" x14ac:dyDescent="0.2">
      <c r="A22">
        <v>21</v>
      </c>
      <c r="B22" s="33">
        <v>1160</v>
      </c>
      <c r="C22" s="2">
        <f t="shared" si="0"/>
        <v>1800</v>
      </c>
      <c r="D22" s="2">
        <v>200</v>
      </c>
      <c r="E22" s="4">
        <f>SUM($C$2:C22)</f>
        <v>17050</v>
      </c>
      <c r="F22">
        <f t="shared" si="1"/>
        <v>10500</v>
      </c>
      <c r="G22">
        <f t="shared" si="2"/>
        <v>525</v>
      </c>
      <c r="H22">
        <f t="shared" si="3"/>
        <v>210</v>
      </c>
      <c r="I22">
        <f t="shared" si="6"/>
        <v>210</v>
      </c>
      <c r="J22" s="5">
        <v>10</v>
      </c>
      <c r="K22">
        <f t="shared" si="4"/>
        <v>7350</v>
      </c>
      <c r="L22">
        <f t="shared" si="5"/>
        <v>4.3108504398826977</v>
      </c>
      <c r="N22" s="6"/>
      <c r="Q22" s="1"/>
    </row>
    <row r="23" spans="1:18" x14ac:dyDescent="0.2">
      <c r="A23">
        <v>22</v>
      </c>
      <c r="B23" s="33">
        <v>1280</v>
      </c>
      <c r="C23" s="2">
        <f t="shared" si="0"/>
        <v>2000</v>
      </c>
      <c r="D23" s="2">
        <f t="shared" si="7"/>
        <v>200</v>
      </c>
      <c r="E23" s="4">
        <f>SUM($C$2:C23)</f>
        <v>19050</v>
      </c>
      <c r="F23">
        <f t="shared" si="1"/>
        <v>11000</v>
      </c>
      <c r="G23">
        <f t="shared" si="2"/>
        <v>550</v>
      </c>
      <c r="H23">
        <f t="shared" si="3"/>
        <v>220</v>
      </c>
      <c r="I23">
        <f t="shared" si="6"/>
        <v>220</v>
      </c>
      <c r="J23" s="5">
        <v>10</v>
      </c>
      <c r="K23">
        <f t="shared" si="4"/>
        <v>7700</v>
      </c>
      <c r="L23">
        <f t="shared" si="5"/>
        <v>4.0419947506561682</v>
      </c>
      <c r="N23" s="6"/>
      <c r="Q23" s="1"/>
    </row>
    <row r="24" spans="1:18" x14ac:dyDescent="0.2">
      <c r="A24">
        <v>23</v>
      </c>
      <c r="B24" s="33">
        <v>1400</v>
      </c>
      <c r="C24" s="2">
        <f t="shared" si="0"/>
        <v>2200</v>
      </c>
      <c r="D24" s="2">
        <f t="shared" si="7"/>
        <v>200</v>
      </c>
      <c r="E24" s="4">
        <f>SUM($C$2:C24)</f>
        <v>21250</v>
      </c>
      <c r="F24">
        <f t="shared" si="1"/>
        <v>11500</v>
      </c>
      <c r="G24">
        <f t="shared" si="2"/>
        <v>575</v>
      </c>
      <c r="H24">
        <f t="shared" si="3"/>
        <v>230</v>
      </c>
      <c r="I24">
        <f t="shared" si="6"/>
        <v>230</v>
      </c>
      <c r="J24" s="5">
        <v>10</v>
      </c>
      <c r="K24">
        <f t="shared" si="4"/>
        <v>8050</v>
      </c>
      <c r="L24">
        <f t="shared" si="5"/>
        <v>3.7882352941176469</v>
      </c>
      <c r="N24" s="6"/>
      <c r="Q24" s="1"/>
    </row>
    <row r="25" spans="1:18" x14ac:dyDescent="0.2">
      <c r="A25">
        <v>24</v>
      </c>
      <c r="B25" s="33">
        <v>1520</v>
      </c>
      <c r="C25" s="2">
        <f t="shared" si="0"/>
        <v>2400</v>
      </c>
      <c r="D25" s="2">
        <f t="shared" si="7"/>
        <v>200</v>
      </c>
      <c r="E25" s="4">
        <f>SUM($C$2:C25)</f>
        <v>23650</v>
      </c>
      <c r="F25">
        <f t="shared" si="1"/>
        <v>12000</v>
      </c>
      <c r="G25">
        <f t="shared" si="2"/>
        <v>600</v>
      </c>
      <c r="H25">
        <f t="shared" si="3"/>
        <v>240</v>
      </c>
      <c r="I25">
        <f t="shared" si="6"/>
        <v>240</v>
      </c>
      <c r="J25" s="5">
        <v>10</v>
      </c>
      <c r="K25">
        <f t="shared" si="4"/>
        <v>8400</v>
      </c>
      <c r="L25">
        <f t="shared" si="5"/>
        <v>3.551797040169133</v>
      </c>
      <c r="N25" s="6"/>
    </row>
    <row r="26" spans="1:18" x14ac:dyDescent="0.2">
      <c r="A26">
        <v>25</v>
      </c>
      <c r="B26" s="33">
        <v>1640</v>
      </c>
      <c r="C26" s="2">
        <f t="shared" si="0"/>
        <v>2600</v>
      </c>
      <c r="D26" s="2">
        <f t="shared" si="7"/>
        <v>200</v>
      </c>
      <c r="E26" s="4">
        <f>SUM($C$2:C26)</f>
        <v>26250</v>
      </c>
      <c r="F26">
        <f t="shared" si="1"/>
        <v>12500</v>
      </c>
      <c r="G26">
        <f t="shared" si="2"/>
        <v>625</v>
      </c>
      <c r="H26">
        <f t="shared" si="3"/>
        <v>250</v>
      </c>
      <c r="I26">
        <f t="shared" si="6"/>
        <v>250</v>
      </c>
      <c r="J26" s="5">
        <v>10</v>
      </c>
      <c r="K26">
        <f t="shared" si="4"/>
        <v>8750</v>
      </c>
      <c r="L26">
        <f t="shared" si="5"/>
        <v>3.3333333333333335</v>
      </c>
      <c r="N26" s="6"/>
    </row>
    <row r="27" spans="1:18" x14ac:dyDescent="0.2">
      <c r="A27">
        <v>26</v>
      </c>
      <c r="B27" s="33">
        <v>1760</v>
      </c>
      <c r="C27" s="2">
        <f t="shared" si="0"/>
        <v>2800</v>
      </c>
      <c r="D27" s="2">
        <f t="shared" si="7"/>
        <v>200</v>
      </c>
      <c r="E27" s="4">
        <f>SUM($C$2:C27)</f>
        <v>29050</v>
      </c>
      <c r="F27">
        <f t="shared" si="1"/>
        <v>13000</v>
      </c>
      <c r="G27">
        <f t="shared" si="2"/>
        <v>650</v>
      </c>
      <c r="H27">
        <f t="shared" si="3"/>
        <v>260</v>
      </c>
      <c r="I27">
        <f t="shared" si="6"/>
        <v>260</v>
      </c>
      <c r="J27" s="5">
        <v>10</v>
      </c>
      <c r="K27">
        <f t="shared" si="4"/>
        <v>9100</v>
      </c>
      <c r="L27">
        <f t="shared" si="5"/>
        <v>3.1325301204819276</v>
      </c>
      <c r="N27" s="6"/>
    </row>
    <row r="28" spans="1:18" x14ac:dyDescent="0.2">
      <c r="A28">
        <v>27</v>
      </c>
      <c r="B28" s="33">
        <v>1880</v>
      </c>
      <c r="C28" s="2">
        <f t="shared" si="0"/>
        <v>3000</v>
      </c>
      <c r="D28" s="2">
        <f t="shared" si="7"/>
        <v>200</v>
      </c>
      <c r="E28" s="4">
        <f>SUM($C$2:C28)</f>
        <v>32050</v>
      </c>
      <c r="F28">
        <f t="shared" si="1"/>
        <v>13500</v>
      </c>
      <c r="G28">
        <f t="shared" si="2"/>
        <v>675</v>
      </c>
      <c r="H28">
        <f t="shared" si="3"/>
        <v>270</v>
      </c>
      <c r="I28">
        <f t="shared" si="6"/>
        <v>270</v>
      </c>
      <c r="J28" s="5">
        <v>10</v>
      </c>
      <c r="K28">
        <f t="shared" si="4"/>
        <v>9450</v>
      </c>
      <c r="L28">
        <f t="shared" si="5"/>
        <v>2.9485179407176285</v>
      </c>
      <c r="N28" s="6"/>
    </row>
    <row r="29" spans="1:18" x14ac:dyDescent="0.2">
      <c r="A29">
        <v>28</v>
      </c>
      <c r="B29" s="33">
        <v>2000</v>
      </c>
      <c r="C29" s="2">
        <f t="shared" si="0"/>
        <v>3200</v>
      </c>
      <c r="D29" s="2">
        <f t="shared" si="7"/>
        <v>200</v>
      </c>
      <c r="E29" s="4">
        <f>SUM($C$2:C29)</f>
        <v>35250</v>
      </c>
      <c r="F29">
        <f t="shared" si="1"/>
        <v>14000</v>
      </c>
      <c r="G29">
        <f t="shared" si="2"/>
        <v>700</v>
      </c>
      <c r="H29">
        <f t="shared" si="3"/>
        <v>280</v>
      </c>
      <c r="I29">
        <f t="shared" si="6"/>
        <v>280</v>
      </c>
      <c r="J29" s="5">
        <v>10</v>
      </c>
      <c r="K29">
        <f t="shared" si="4"/>
        <v>9800</v>
      </c>
      <c r="L29">
        <f t="shared" si="5"/>
        <v>2.7801418439716312</v>
      </c>
      <c r="N29" s="6"/>
    </row>
    <row r="30" spans="1:18" x14ac:dyDescent="0.2">
      <c r="A30">
        <v>29</v>
      </c>
      <c r="B30" s="33">
        <v>2120</v>
      </c>
      <c r="C30" s="2">
        <f t="shared" si="0"/>
        <v>3400</v>
      </c>
      <c r="D30" s="2">
        <f t="shared" si="7"/>
        <v>200</v>
      </c>
      <c r="E30" s="4">
        <f>SUM($C$2:C30)</f>
        <v>38650</v>
      </c>
      <c r="F30">
        <f t="shared" si="1"/>
        <v>14500</v>
      </c>
      <c r="G30">
        <f t="shared" si="2"/>
        <v>725</v>
      </c>
      <c r="H30">
        <f t="shared" si="3"/>
        <v>290</v>
      </c>
      <c r="I30">
        <f t="shared" si="6"/>
        <v>290</v>
      </c>
      <c r="J30" s="5">
        <v>10</v>
      </c>
      <c r="K30">
        <f t="shared" si="4"/>
        <v>10150</v>
      </c>
      <c r="L30">
        <f t="shared" si="5"/>
        <v>2.6261319534282017</v>
      </c>
      <c r="N30" s="6"/>
    </row>
    <row r="31" spans="1:18" s="42" customFormat="1" x14ac:dyDescent="0.2">
      <c r="A31" s="42">
        <v>30</v>
      </c>
      <c r="B31" s="33">
        <v>2240</v>
      </c>
      <c r="C31" s="44">
        <f t="shared" si="0"/>
        <v>3600</v>
      </c>
      <c r="D31" s="44">
        <f t="shared" si="7"/>
        <v>200</v>
      </c>
      <c r="E31" s="4">
        <f>SUM($C$2:C31)</f>
        <v>42250</v>
      </c>
      <c r="F31" s="42">
        <f t="shared" si="1"/>
        <v>15000</v>
      </c>
      <c r="G31" s="42">
        <f t="shared" si="2"/>
        <v>750</v>
      </c>
      <c r="H31" s="42">
        <f t="shared" si="3"/>
        <v>300</v>
      </c>
      <c r="I31" s="42">
        <f t="shared" si="6"/>
        <v>300</v>
      </c>
      <c r="J31" s="44">
        <v>10</v>
      </c>
      <c r="K31">
        <f t="shared" si="4"/>
        <v>10500</v>
      </c>
      <c r="L31">
        <f t="shared" si="5"/>
        <v>2.4852071005917158</v>
      </c>
      <c r="N31" s="45"/>
    </row>
    <row r="32" spans="1:18" x14ac:dyDescent="0.2">
      <c r="A32">
        <v>31</v>
      </c>
      <c r="B32" s="33">
        <v>2480</v>
      </c>
      <c r="C32" s="2">
        <f t="shared" si="0"/>
        <v>4000</v>
      </c>
      <c r="D32" s="2">
        <v>400</v>
      </c>
      <c r="E32" s="4">
        <f>SUM($C$2:C32)</f>
        <v>46250</v>
      </c>
      <c r="F32">
        <f t="shared" si="1"/>
        <v>15500</v>
      </c>
      <c r="G32">
        <f t="shared" si="2"/>
        <v>775</v>
      </c>
      <c r="H32">
        <f t="shared" si="3"/>
        <v>310</v>
      </c>
      <c r="I32">
        <f t="shared" si="6"/>
        <v>310</v>
      </c>
      <c r="J32" s="5">
        <v>10</v>
      </c>
      <c r="K32">
        <f t="shared" si="4"/>
        <v>10850</v>
      </c>
      <c r="L32">
        <f t="shared" si="5"/>
        <v>2.345945945945946</v>
      </c>
      <c r="N32" s="6"/>
    </row>
    <row r="33" spans="1:14" x14ac:dyDescent="0.2">
      <c r="A33">
        <v>32</v>
      </c>
      <c r="B33" s="33">
        <v>2720</v>
      </c>
      <c r="C33" s="2">
        <f t="shared" si="0"/>
        <v>4400</v>
      </c>
      <c r="D33" s="2">
        <f t="shared" si="7"/>
        <v>400</v>
      </c>
      <c r="E33" s="4">
        <f>SUM($C$2:C33)</f>
        <v>50650</v>
      </c>
      <c r="F33">
        <f t="shared" si="1"/>
        <v>16000</v>
      </c>
      <c r="G33">
        <f t="shared" si="2"/>
        <v>800</v>
      </c>
      <c r="H33">
        <f t="shared" si="3"/>
        <v>320</v>
      </c>
      <c r="I33">
        <f t="shared" si="6"/>
        <v>320</v>
      </c>
      <c r="J33" s="5">
        <v>10</v>
      </c>
      <c r="K33">
        <f t="shared" si="4"/>
        <v>11200</v>
      </c>
      <c r="L33">
        <f t="shared" si="5"/>
        <v>2.2112537018756169</v>
      </c>
      <c r="N33" s="6"/>
    </row>
    <row r="34" spans="1:14" x14ac:dyDescent="0.2">
      <c r="A34">
        <v>33</v>
      </c>
      <c r="B34" s="33">
        <v>2960</v>
      </c>
      <c r="C34" s="2">
        <f t="shared" si="0"/>
        <v>4800</v>
      </c>
      <c r="D34" s="2">
        <f t="shared" si="7"/>
        <v>400</v>
      </c>
      <c r="E34" s="4">
        <f>SUM($C$2:C34)</f>
        <v>55450</v>
      </c>
      <c r="F34">
        <f t="shared" si="1"/>
        <v>16500</v>
      </c>
      <c r="G34">
        <f t="shared" si="2"/>
        <v>825</v>
      </c>
      <c r="H34">
        <f t="shared" si="3"/>
        <v>330</v>
      </c>
      <c r="I34">
        <f t="shared" si="6"/>
        <v>330</v>
      </c>
      <c r="J34" s="5">
        <v>10</v>
      </c>
      <c r="K34">
        <f t="shared" si="4"/>
        <v>11550</v>
      </c>
      <c r="L34">
        <f t="shared" si="5"/>
        <v>2.0829576194770065</v>
      </c>
      <c r="N34" s="6"/>
    </row>
    <row r="35" spans="1:14" x14ac:dyDescent="0.2">
      <c r="A35">
        <v>34</v>
      </c>
      <c r="B35" s="33">
        <v>3200</v>
      </c>
      <c r="C35" s="2">
        <f t="shared" ref="C35:C66" si="8">C34+D35</f>
        <v>5200</v>
      </c>
      <c r="D35" s="2">
        <f t="shared" si="7"/>
        <v>400</v>
      </c>
      <c r="E35" s="4">
        <f>SUM($C$2:C35)</f>
        <v>60650</v>
      </c>
      <c r="F35">
        <f t="shared" si="1"/>
        <v>17000</v>
      </c>
      <c r="G35">
        <f t="shared" si="2"/>
        <v>850</v>
      </c>
      <c r="H35">
        <f t="shared" si="3"/>
        <v>340</v>
      </c>
      <c r="I35">
        <f t="shared" si="6"/>
        <v>340</v>
      </c>
      <c r="J35" s="5">
        <v>10</v>
      </c>
      <c r="K35">
        <f t="shared" si="4"/>
        <v>11900</v>
      </c>
      <c r="L35">
        <f t="shared" si="5"/>
        <v>1.9620774938169827</v>
      </c>
      <c r="N35" s="6"/>
    </row>
    <row r="36" spans="1:14" x14ac:dyDescent="0.2">
      <c r="A36">
        <v>35</v>
      </c>
      <c r="B36" s="33">
        <v>3440</v>
      </c>
      <c r="C36" s="2">
        <f t="shared" si="8"/>
        <v>5600</v>
      </c>
      <c r="D36" s="2">
        <f t="shared" si="7"/>
        <v>400</v>
      </c>
      <c r="E36" s="4">
        <f>SUM($C$2:C36)</f>
        <v>66250</v>
      </c>
      <c r="F36">
        <f t="shared" si="1"/>
        <v>17500</v>
      </c>
      <c r="G36">
        <f t="shared" si="2"/>
        <v>875</v>
      </c>
      <c r="H36">
        <f t="shared" si="3"/>
        <v>350</v>
      </c>
      <c r="I36">
        <f t="shared" si="6"/>
        <v>350</v>
      </c>
      <c r="J36" s="5">
        <v>10</v>
      </c>
      <c r="K36">
        <f t="shared" si="4"/>
        <v>12250</v>
      </c>
      <c r="L36">
        <f t="shared" si="5"/>
        <v>1.8490566037735849</v>
      </c>
      <c r="N36" s="6"/>
    </row>
    <row r="37" spans="1:14" x14ac:dyDescent="0.2">
      <c r="A37">
        <v>36</v>
      </c>
      <c r="B37" s="33">
        <v>3680</v>
      </c>
      <c r="C37" s="2">
        <f t="shared" si="8"/>
        <v>6000</v>
      </c>
      <c r="D37" s="2">
        <f t="shared" si="7"/>
        <v>400</v>
      </c>
      <c r="E37" s="4">
        <f>SUM($C$2:C37)</f>
        <v>72250</v>
      </c>
      <c r="F37">
        <f t="shared" si="1"/>
        <v>18000</v>
      </c>
      <c r="G37">
        <f t="shared" si="2"/>
        <v>900</v>
      </c>
      <c r="H37">
        <f t="shared" si="3"/>
        <v>360</v>
      </c>
      <c r="I37">
        <f t="shared" si="6"/>
        <v>360</v>
      </c>
      <c r="J37" s="5">
        <v>10</v>
      </c>
      <c r="K37">
        <f t="shared" si="4"/>
        <v>12600</v>
      </c>
      <c r="L37">
        <f t="shared" si="5"/>
        <v>1.7439446366782008</v>
      </c>
      <c r="N37" s="6"/>
    </row>
    <row r="38" spans="1:14" x14ac:dyDescent="0.2">
      <c r="A38">
        <v>37</v>
      </c>
      <c r="B38" s="33">
        <v>3920</v>
      </c>
      <c r="C38" s="2">
        <f t="shared" si="8"/>
        <v>6400</v>
      </c>
      <c r="D38" s="2">
        <f t="shared" si="7"/>
        <v>400</v>
      </c>
      <c r="E38" s="4">
        <f>SUM($C$2:C38)</f>
        <v>78650</v>
      </c>
      <c r="F38">
        <f t="shared" si="1"/>
        <v>18500</v>
      </c>
      <c r="G38">
        <f t="shared" si="2"/>
        <v>925</v>
      </c>
      <c r="H38">
        <f t="shared" si="3"/>
        <v>370</v>
      </c>
      <c r="I38">
        <f t="shared" si="6"/>
        <v>370</v>
      </c>
      <c r="J38" s="5">
        <v>10</v>
      </c>
      <c r="K38">
        <f t="shared" si="4"/>
        <v>12950</v>
      </c>
      <c r="L38">
        <f t="shared" si="5"/>
        <v>1.6465352828989193</v>
      </c>
      <c r="N38" s="6"/>
    </row>
    <row r="39" spans="1:14" x14ac:dyDescent="0.2">
      <c r="A39">
        <v>38</v>
      </c>
      <c r="B39" s="33">
        <v>4160</v>
      </c>
      <c r="C39" s="2">
        <f t="shared" si="8"/>
        <v>6800</v>
      </c>
      <c r="D39" s="2">
        <f t="shared" si="7"/>
        <v>400</v>
      </c>
      <c r="E39" s="4">
        <f>SUM($C$2:C39)</f>
        <v>85450</v>
      </c>
      <c r="F39">
        <f t="shared" si="1"/>
        <v>19000</v>
      </c>
      <c r="G39">
        <f t="shared" si="2"/>
        <v>950</v>
      </c>
      <c r="H39">
        <f t="shared" si="3"/>
        <v>380</v>
      </c>
      <c r="I39">
        <f t="shared" si="6"/>
        <v>380</v>
      </c>
      <c r="J39" s="5">
        <v>10</v>
      </c>
      <c r="K39">
        <f t="shared" si="4"/>
        <v>13300</v>
      </c>
      <c r="L39">
        <f t="shared" si="5"/>
        <v>1.5564657694558222</v>
      </c>
      <c r="N39" s="6"/>
    </row>
    <row r="40" spans="1:14" x14ac:dyDescent="0.2">
      <c r="A40">
        <v>39</v>
      </c>
      <c r="B40" s="33">
        <v>4400</v>
      </c>
      <c r="C40" s="2">
        <f t="shared" si="8"/>
        <v>7200</v>
      </c>
      <c r="D40" s="2">
        <f t="shared" si="7"/>
        <v>400</v>
      </c>
      <c r="E40" s="4">
        <f>SUM($C$2:C40)</f>
        <v>92650</v>
      </c>
      <c r="F40">
        <f t="shared" si="1"/>
        <v>19500</v>
      </c>
      <c r="G40">
        <f t="shared" si="2"/>
        <v>975</v>
      </c>
      <c r="H40">
        <f t="shared" si="3"/>
        <v>390</v>
      </c>
      <c r="I40">
        <f t="shared" si="6"/>
        <v>390</v>
      </c>
      <c r="J40" s="5">
        <v>10</v>
      </c>
      <c r="K40">
        <f t="shared" si="4"/>
        <v>13650</v>
      </c>
      <c r="L40">
        <f t="shared" si="5"/>
        <v>1.4732865623313545</v>
      </c>
      <c r="N40" s="6"/>
    </row>
    <row r="41" spans="1:14" s="42" customFormat="1" x14ac:dyDescent="0.2">
      <c r="A41" s="42">
        <v>40</v>
      </c>
      <c r="B41" s="33">
        <v>4640</v>
      </c>
      <c r="C41" s="44">
        <f t="shared" si="8"/>
        <v>7600</v>
      </c>
      <c r="D41" s="44">
        <f t="shared" si="7"/>
        <v>400</v>
      </c>
      <c r="E41" s="4">
        <f>SUM($C$2:C41)</f>
        <v>100250</v>
      </c>
      <c r="F41" s="42">
        <f t="shared" si="1"/>
        <v>20000</v>
      </c>
      <c r="G41" s="42">
        <f t="shared" si="2"/>
        <v>1000</v>
      </c>
      <c r="H41" s="42">
        <f t="shared" si="3"/>
        <v>400</v>
      </c>
      <c r="I41" s="42">
        <f t="shared" si="6"/>
        <v>400</v>
      </c>
      <c r="J41" s="44">
        <v>10</v>
      </c>
      <c r="K41">
        <f t="shared" si="4"/>
        <v>14000</v>
      </c>
      <c r="L41">
        <f t="shared" si="5"/>
        <v>1.3965087281795512</v>
      </c>
      <c r="N41" s="45"/>
    </row>
    <row r="42" spans="1:14" x14ac:dyDescent="0.2">
      <c r="A42">
        <v>41</v>
      </c>
      <c r="B42" s="33">
        <v>5120</v>
      </c>
      <c r="C42" s="2">
        <f t="shared" si="8"/>
        <v>8400</v>
      </c>
      <c r="D42" s="2">
        <v>800</v>
      </c>
      <c r="E42" s="4">
        <f>SUM($C$2:C42)</f>
        <v>108650</v>
      </c>
      <c r="F42">
        <f t="shared" si="1"/>
        <v>20500</v>
      </c>
      <c r="G42">
        <f t="shared" si="2"/>
        <v>1025</v>
      </c>
      <c r="H42">
        <f t="shared" si="3"/>
        <v>410</v>
      </c>
      <c r="I42">
        <f t="shared" si="6"/>
        <v>410</v>
      </c>
      <c r="J42" s="5">
        <v>10</v>
      </c>
      <c r="K42">
        <f t="shared" si="4"/>
        <v>14350</v>
      </c>
      <c r="L42">
        <f t="shared" si="5"/>
        <v>1.320754716981132</v>
      </c>
      <c r="N42" s="6"/>
    </row>
    <row r="43" spans="1:14" x14ac:dyDescent="0.2">
      <c r="A43">
        <v>42</v>
      </c>
      <c r="B43" s="33">
        <v>5600</v>
      </c>
      <c r="C43" s="2">
        <f t="shared" si="8"/>
        <v>9200</v>
      </c>
      <c r="D43" s="2">
        <f t="shared" si="7"/>
        <v>800</v>
      </c>
      <c r="E43" s="4">
        <f>SUM($C$2:C43)</f>
        <v>117850</v>
      </c>
      <c r="F43">
        <f t="shared" si="1"/>
        <v>21000</v>
      </c>
      <c r="G43">
        <f t="shared" si="2"/>
        <v>1050</v>
      </c>
      <c r="H43">
        <f t="shared" si="3"/>
        <v>420</v>
      </c>
      <c r="I43">
        <f t="shared" si="6"/>
        <v>420</v>
      </c>
      <c r="J43" s="5">
        <v>10</v>
      </c>
      <c r="K43">
        <f t="shared" si="4"/>
        <v>14700</v>
      </c>
      <c r="L43">
        <f t="shared" si="5"/>
        <v>1.2473483241408569</v>
      </c>
      <c r="N43" s="6"/>
    </row>
    <row r="44" spans="1:14" x14ac:dyDescent="0.2">
      <c r="A44">
        <v>43</v>
      </c>
      <c r="B44" s="33">
        <v>6080</v>
      </c>
      <c r="C44" s="2">
        <f t="shared" si="8"/>
        <v>10000</v>
      </c>
      <c r="D44" s="2">
        <f t="shared" si="7"/>
        <v>800</v>
      </c>
      <c r="E44" s="4">
        <f>SUM($C$2:C44)</f>
        <v>127850</v>
      </c>
      <c r="F44">
        <f t="shared" si="1"/>
        <v>21500</v>
      </c>
      <c r="G44">
        <f t="shared" si="2"/>
        <v>1075</v>
      </c>
      <c r="H44">
        <f t="shared" si="3"/>
        <v>430</v>
      </c>
      <c r="I44">
        <f t="shared" si="6"/>
        <v>430</v>
      </c>
      <c r="J44" s="5">
        <v>10</v>
      </c>
      <c r="K44">
        <f t="shared" si="4"/>
        <v>15050</v>
      </c>
      <c r="L44">
        <f t="shared" si="5"/>
        <v>1.1771607352366054</v>
      </c>
      <c r="N44" s="6"/>
    </row>
    <row r="45" spans="1:14" x14ac:dyDescent="0.2">
      <c r="A45">
        <v>44</v>
      </c>
      <c r="B45" s="33">
        <v>6560</v>
      </c>
      <c r="C45" s="2">
        <f t="shared" si="8"/>
        <v>10800</v>
      </c>
      <c r="D45" s="2">
        <f t="shared" si="7"/>
        <v>800</v>
      </c>
      <c r="E45" s="4">
        <f>SUM($C$2:C45)</f>
        <v>138650</v>
      </c>
      <c r="F45">
        <f t="shared" si="1"/>
        <v>22000</v>
      </c>
      <c r="G45">
        <f t="shared" si="2"/>
        <v>1100</v>
      </c>
      <c r="H45">
        <f t="shared" si="3"/>
        <v>440</v>
      </c>
      <c r="I45">
        <f t="shared" si="6"/>
        <v>440</v>
      </c>
      <c r="J45" s="5">
        <v>10</v>
      </c>
      <c r="K45">
        <f t="shared" si="4"/>
        <v>15400</v>
      </c>
      <c r="L45">
        <f t="shared" si="5"/>
        <v>1.1107104219257122</v>
      </c>
      <c r="N45" s="6"/>
    </row>
    <row r="46" spans="1:14" x14ac:dyDescent="0.2">
      <c r="A46">
        <v>45</v>
      </c>
      <c r="B46" s="33">
        <v>7040</v>
      </c>
      <c r="C46" s="2">
        <f t="shared" si="8"/>
        <v>11600</v>
      </c>
      <c r="D46" s="2">
        <f t="shared" si="7"/>
        <v>800</v>
      </c>
      <c r="E46" s="4">
        <f>SUM($C$2:C46)</f>
        <v>150250</v>
      </c>
      <c r="F46">
        <f t="shared" si="1"/>
        <v>22500</v>
      </c>
      <c r="G46">
        <f t="shared" si="2"/>
        <v>1125</v>
      </c>
      <c r="H46">
        <f t="shared" si="3"/>
        <v>450</v>
      </c>
      <c r="I46">
        <f t="shared" si="6"/>
        <v>450</v>
      </c>
      <c r="J46" s="5">
        <v>10</v>
      </c>
      <c r="K46">
        <f t="shared" si="4"/>
        <v>15750</v>
      </c>
      <c r="L46">
        <f t="shared" si="5"/>
        <v>1.0482529118136439</v>
      </c>
      <c r="N46" s="6"/>
    </row>
    <row r="47" spans="1:14" x14ac:dyDescent="0.2">
      <c r="A47">
        <v>46</v>
      </c>
      <c r="B47" s="33">
        <v>7520</v>
      </c>
      <c r="C47" s="2">
        <f t="shared" si="8"/>
        <v>12400</v>
      </c>
      <c r="D47" s="2">
        <f t="shared" si="7"/>
        <v>800</v>
      </c>
      <c r="E47" s="4">
        <f>SUM($C$2:C47)</f>
        <v>162650</v>
      </c>
      <c r="F47">
        <f t="shared" si="1"/>
        <v>23000</v>
      </c>
      <c r="G47">
        <f t="shared" si="2"/>
        <v>1150</v>
      </c>
      <c r="H47">
        <f t="shared" si="3"/>
        <v>460</v>
      </c>
      <c r="I47">
        <f t="shared" si="6"/>
        <v>460</v>
      </c>
      <c r="J47" s="5">
        <v>10</v>
      </c>
      <c r="K47">
        <f t="shared" si="4"/>
        <v>16100</v>
      </c>
      <c r="L47">
        <f t="shared" si="5"/>
        <v>0.98985551798339999</v>
      </c>
      <c r="N47" s="6"/>
    </row>
    <row r="48" spans="1:14" x14ac:dyDescent="0.2">
      <c r="A48">
        <v>47</v>
      </c>
      <c r="B48" s="33">
        <v>8000</v>
      </c>
      <c r="C48" s="2">
        <f t="shared" si="8"/>
        <v>13200</v>
      </c>
      <c r="D48" s="2">
        <f t="shared" si="7"/>
        <v>800</v>
      </c>
      <c r="E48" s="4">
        <f>SUM($C$2:C48)</f>
        <v>175850</v>
      </c>
      <c r="F48">
        <f t="shared" si="1"/>
        <v>23500</v>
      </c>
      <c r="G48">
        <f t="shared" si="2"/>
        <v>1175</v>
      </c>
      <c r="H48">
        <f t="shared" si="3"/>
        <v>470</v>
      </c>
      <c r="I48">
        <f t="shared" si="6"/>
        <v>470</v>
      </c>
      <c r="J48" s="5">
        <v>10</v>
      </c>
      <c r="K48">
        <f t="shared" si="4"/>
        <v>16450</v>
      </c>
      <c r="L48">
        <f t="shared" si="5"/>
        <v>0.9354563548478817</v>
      </c>
      <c r="N48" s="6"/>
    </row>
    <row r="49" spans="1:14" x14ac:dyDescent="0.2">
      <c r="A49">
        <v>48</v>
      </c>
      <c r="B49" s="33">
        <v>8480</v>
      </c>
      <c r="C49" s="2">
        <f t="shared" si="8"/>
        <v>14000</v>
      </c>
      <c r="D49" s="2">
        <f t="shared" si="7"/>
        <v>800</v>
      </c>
      <c r="E49" s="4">
        <f>SUM($C$2:C49)</f>
        <v>189850</v>
      </c>
      <c r="F49">
        <f t="shared" si="1"/>
        <v>24000</v>
      </c>
      <c r="G49">
        <f t="shared" si="2"/>
        <v>1200</v>
      </c>
      <c r="H49">
        <f t="shared" si="3"/>
        <v>480</v>
      </c>
      <c r="I49">
        <f t="shared" si="6"/>
        <v>480</v>
      </c>
      <c r="J49" s="5">
        <v>10</v>
      </c>
      <c r="K49">
        <f t="shared" si="4"/>
        <v>16800</v>
      </c>
      <c r="L49">
        <f t="shared" si="5"/>
        <v>0.88490913879378452</v>
      </c>
      <c r="N49" s="6"/>
    </row>
    <row r="50" spans="1:14" x14ac:dyDescent="0.2">
      <c r="A50">
        <v>49</v>
      </c>
      <c r="B50" s="33">
        <v>8960</v>
      </c>
      <c r="C50" s="2">
        <f t="shared" si="8"/>
        <v>14800</v>
      </c>
      <c r="D50" s="2">
        <f t="shared" si="7"/>
        <v>800</v>
      </c>
      <c r="E50" s="4">
        <f>SUM($C$2:C50)</f>
        <v>204650</v>
      </c>
      <c r="F50">
        <f t="shared" si="1"/>
        <v>24500</v>
      </c>
      <c r="G50">
        <f t="shared" si="2"/>
        <v>1225</v>
      </c>
      <c r="H50">
        <f t="shared" si="3"/>
        <v>490</v>
      </c>
      <c r="I50">
        <f t="shared" si="6"/>
        <v>490</v>
      </c>
      <c r="J50" s="5">
        <v>10</v>
      </c>
      <c r="K50">
        <f t="shared" si="4"/>
        <v>17150</v>
      </c>
      <c r="L50">
        <f t="shared" si="5"/>
        <v>0.83801612509161982</v>
      </c>
      <c r="N50" s="6"/>
    </row>
    <row r="51" spans="1:14" s="42" customFormat="1" x14ac:dyDescent="0.2">
      <c r="A51" s="42">
        <v>50</v>
      </c>
      <c r="B51" s="33">
        <v>9440</v>
      </c>
      <c r="C51" s="44">
        <f t="shared" si="8"/>
        <v>15600</v>
      </c>
      <c r="D51" s="44">
        <f t="shared" si="7"/>
        <v>800</v>
      </c>
      <c r="E51" s="4">
        <f>SUM($C$2:C51)</f>
        <v>220250</v>
      </c>
      <c r="F51" s="42">
        <f t="shared" si="1"/>
        <v>25000</v>
      </c>
      <c r="G51" s="42">
        <f t="shared" si="2"/>
        <v>1250</v>
      </c>
      <c r="H51" s="42">
        <f t="shared" si="3"/>
        <v>500</v>
      </c>
      <c r="I51" s="42">
        <f t="shared" si="6"/>
        <v>500</v>
      </c>
      <c r="J51" s="44">
        <v>10</v>
      </c>
      <c r="K51">
        <f t="shared" si="4"/>
        <v>17500</v>
      </c>
      <c r="L51">
        <f t="shared" si="5"/>
        <v>0.79455164585698068</v>
      </c>
      <c r="N51" s="45"/>
    </row>
    <row r="52" spans="1:14" x14ac:dyDescent="0.2">
      <c r="A52">
        <v>51</v>
      </c>
      <c r="B52" s="33">
        <v>10340</v>
      </c>
      <c r="C52" s="2">
        <f t="shared" si="8"/>
        <v>17100</v>
      </c>
      <c r="D52" s="2">
        <v>1500</v>
      </c>
      <c r="E52" s="4">
        <f>SUM($C$2:C52)</f>
        <v>237350</v>
      </c>
      <c r="F52">
        <f t="shared" si="1"/>
        <v>25500</v>
      </c>
      <c r="G52">
        <f t="shared" si="2"/>
        <v>1275</v>
      </c>
      <c r="H52">
        <f t="shared" si="3"/>
        <v>510</v>
      </c>
      <c r="I52">
        <f t="shared" si="6"/>
        <v>510</v>
      </c>
      <c r="J52" s="5">
        <v>10</v>
      </c>
      <c r="K52">
        <f t="shared" si="4"/>
        <v>17850</v>
      </c>
      <c r="L52">
        <f t="shared" si="5"/>
        <v>0.75205392879713506</v>
      </c>
      <c r="N52" s="6"/>
    </row>
    <row r="53" spans="1:14" x14ac:dyDescent="0.2">
      <c r="A53">
        <v>52</v>
      </c>
      <c r="B53" s="33">
        <v>11240</v>
      </c>
      <c r="C53" s="2">
        <f t="shared" si="8"/>
        <v>18600</v>
      </c>
      <c r="D53" s="2">
        <f t="shared" si="7"/>
        <v>1500</v>
      </c>
      <c r="E53" s="4">
        <f>SUM($C$2:C53)</f>
        <v>255950</v>
      </c>
      <c r="F53">
        <f t="shared" si="1"/>
        <v>26000</v>
      </c>
      <c r="G53">
        <f t="shared" si="2"/>
        <v>1300</v>
      </c>
      <c r="H53">
        <f t="shared" si="3"/>
        <v>520</v>
      </c>
      <c r="I53">
        <f t="shared" si="6"/>
        <v>520</v>
      </c>
      <c r="J53" s="5">
        <v>10</v>
      </c>
      <c r="K53">
        <f t="shared" si="4"/>
        <v>18200</v>
      </c>
      <c r="L53">
        <f t="shared" si="5"/>
        <v>0.71107638210588009</v>
      </c>
      <c r="N53" s="6"/>
    </row>
    <row r="54" spans="1:14" x14ac:dyDescent="0.2">
      <c r="A54">
        <v>53</v>
      </c>
      <c r="B54" s="33">
        <v>12140</v>
      </c>
      <c r="C54" s="2">
        <f t="shared" si="8"/>
        <v>20100</v>
      </c>
      <c r="D54" s="2">
        <f t="shared" si="7"/>
        <v>1500</v>
      </c>
      <c r="E54" s="4">
        <f>SUM($C$2:C54)</f>
        <v>276050</v>
      </c>
      <c r="F54">
        <f t="shared" si="1"/>
        <v>26500</v>
      </c>
      <c r="G54">
        <f t="shared" si="2"/>
        <v>1325</v>
      </c>
      <c r="H54">
        <f t="shared" si="3"/>
        <v>530</v>
      </c>
      <c r="I54">
        <f t="shared" si="6"/>
        <v>530</v>
      </c>
      <c r="J54" s="5">
        <v>10</v>
      </c>
      <c r="K54">
        <f t="shared" si="4"/>
        <v>18550</v>
      </c>
      <c r="L54">
        <f t="shared" si="5"/>
        <v>0.67197971381996013</v>
      </c>
      <c r="N54" s="6"/>
    </row>
    <row r="55" spans="1:14" x14ac:dyDescent="0.2">
      <c r="A55">
        <v>54</v>
      </c>
      <c r="B55" s="33">
        <v>13040</v>
      </c>
      <c r="C55" s="2">
        <f t="shared" si="8"/>
        <v>21600</v>
      </c>
      <c r="D55" s="2">
        <f t="shared" si="7"/>
        <v>1500</v>
      </c>
      <c r="E55" s="4">
        <f>SUM($C$2:C55)</f>
        <v>297650</v>
      </c>
      <c r="F55">
        <f t="shared" si="1"/>
        <v>27000</v>
      </c>
      <c r="G55">
        <f t="shared" si="2"/>
        <v>1350</v>
      </c>
      <c r="H55">
        <f t="shared" si="3"/>
        <v>540</v>
      </c>
      <c r="I55">
        <f t="shared" si="6"/>
        <v>540</v>
      </c>
      <c r="J55" s="5">
        <v>10</v>
      </c>
      <c r="K55">
        <f t="shared" si="4"/>
        <v>18900</v>
      </c>
      <c r="L55">
        <f t="shared" si="5"/>
        <v>0.63497396270787843</v>
      </c>
      <c r="N55" s="6"/>
    </row>
    <row r="56" spans="1:14" x14ac:dyDescent="0.2">
      <c r="A56">
        <v>55</v>
      </c>
      <c r="B56" s="33">
        <v>13940</v>
      </c>
      <c r="C56" s="2">
        <f t="shared" si="8"/>
        <v>23100</v>
      </c>
      <c r="D56" s="2">
        <f t="shared" si="7"/>
        <v>1500</v>
      </c>
      <c r="E56" s="4">
        <f>SUM($C$2:C56)</f>
        <v>320750</v>
      </c>
      <c r="F56">
        <f t="shared" si="1"/>
        <v>27500</v>
      </c>
      <c r="G56">
        <f t="shared" si="2"/>
        <v>1375</v>
      </c>
      <c r="H56">
        <f t="shared" si="3"/>
        <v>550</v>
      </c>
      <c r="I56">
        <f t="shared" si="6"/>
        <v>550</v>
      </c>
      <c r="J56" s="5">
        <v>10</v>
      </c>
      <c r="K56">
        <f t="shared" si="4"/>
        <v>19250</v>
      </c>
      <c r="L56">
        <f t="shared" si="5"/>
        <v>0.6001558846453624</v>
      </c>
      <c r="N56" s="6"/>
    </row>
    <row r="57" spans="1:14" x14ac:dyDescent="0.2">
      <c r="A57">
        <v>56</v>
      </c>
      <c r="B57" s="33">
        <v>14840</v>
      </c>
      <c r="C57" s="2">
        <f t="shared" si="8"/>
        <v>24600</v>
      </c>
      <c r="D57" s="2">
        <f t="shared" si="7"/>
        <v>1500</v>
      </c>
      <c r="E57" s="4">
        <f>SUM($C$2:C57)</f>
        <v>345350</v>
      </c>
      <c r="F57">
        <f t="shared" si="1"/>
        <v>28000</v>
      </c>
      <c r="G57">
        <f t="shared" si="2"/>
        <v>1400</v>
      </c>
      <c r="H57">
        <f t="shared" si="3"/>
        <v>560</v>
      </c>
      <c r="I57">
        <f t="shared" si="6"/>
        <v>560</v>
      </c>
      <c r="J57" s="5">
        <v>10</v>
      </c>
      <c r="K57">
        <f t="shared" si="4"/>
        <v>19600</v>
      </c>
      <c r="L57">
        <f t="shared" si="5"/>
        <v>0.56754017663240186</v>
      </c>
      <c r="N57" s="6"/>
    </row>
    <row r="58" spans="1:14" x14ac:dyDescent="0.2">
      <c r="A58">
        <v>57</v>
      </c>
      <c r="B58" s="33">
        <v>15740</v>
      </c>
      <c r="C58" s="2">
        <f t="shared" si="8"/>
        <v>26100</v>
      </c>
      <c r="D58" s="2">
        <f t="shared" si="7"/>
        <v>1500</v>
      </c>
      <c r="E58" s="4">
        <f>SUM($C$2:C58)</f>
        <v>371450</v>
      </c>
      <c r="F58">
        <f t="shared" si="1"/>
        <v>28500</v>
      </c>
      <c r="G58">
        <f t="shared" si="2"/>
        <v>1425</v>
      </c>
      <c r="H58">
        <f t="shared" si="3"/>
        <v>570</v>
      </c>
      <c r="I58">
        <f t="shared" si="6"/>
        <v>570</v>
      </c>
      <c r="J58" s="5">
        <v>10</v>
      </c>
      <c r="K58">
        <f t="shared" si="4"/>
        <v>19950</v>
      </c>
      <c r="L58">
        <f t="shared" si="5"/>
        <v>0.53708439897698212</v>
      </c>
      <c r="N58" s="6"/>
    </row>
    <row r="59" spans="1:14" x14ac:dyDescent="0.2">
      <c r="A59">
        <v>58</v>
      </c>
      <c r="B59" s="33">
        <v>16640</v>
      </c>
      <c r="C59" s="2">
        <f t="shared" si="8"/>
        <v>27600</v>
      </c>
      <c r="D59" s="2">
        <f t="shared" si="7"/>
        <v>1500</v>
      </c>
      <c r="E59" s="4">
        <f>SUM($C$2:C59)</f>
        <v>399050</v>
      </c>
      <c r="F59">
        <f t="shared" si="1"/>
        <v>29000</v>
      </c>
      <c r="G59">
        <f t="shared" si="2"/>
        <v>1450</v>
      </c>
      <c r="H59">
        <f t="shared" si="3"/>
        <v>580</v>
      </c>
      <c r="I59">
        <f t="shared" si="6"/>
        <v>580</v>
      </c>
      <c r="J59" s="5">
        <v>10</v>
      </c>
      <c r="K59">
        <f t="shared" si="4"/>
        <v>20300</v>
      </c>
      <c r="L59">
        <f t="shared" si="5"/>
        <v>0.50870818193208867</v>
      </c>
      <c r="N59" s="6"/>
    </row>
    <row r="60" spans="1:14" x14ac:dyDescent="0.2">
      <c r="A60">
        <v>59</v>
      </c>
      <c r="B60" s="33">
        <v>17540</v>
      </c>
      <c r="C60" s="2">
        <f t="shared" si="8"/>
        <v>29100</v>
      </c>
      <c r="D60" s="2">
        <f t="shared" si="7"/>
        <v>1500</v>
      </c>
      <c r="E60" s="4">
        <f>SUM($C$2:C60)</f>
        <v>428150</v>
      </c>
      <c r="F60">
        <f t="shared" si="1"/>
        <v>29500</v>
      </c>
      <c r="G60">
        <f t="shared" si="2"/>
        <v>1475</v>
      </c>
      <c r="H60">
        <f t="shared" si="3"/>
        <v>590</v>
      </c>
      <c r="I60">
        <f t="shared" si="6"/>
        <v>590</v>
      </c>
      <c r="J60" s="5">
        <v>10</v>
      </c>
      <c r="K60">
        <f t="shared" si="4"/>
        <v>20650</v>
      </c>
      <c r="L60">
        <f t="shared" si="5"/>
        <v>0.48230760247576782</v>
      </c>
      <c r="N60" s="6"/>
    </row>
    <row r="61" spans="1:14" s="42" customFormat="1" x14ac:dyDescent="0.2">
      <c r="A61" s="42">
        <v>60</v>
      </c>
      <c r="B61" s="33">
        <v>18440</v>
      </c>
      <c r="C61" s="44">
        <f t="shared" si="8"/>
        <v>30600</v>
      </c>
      <c r="D61" s="44">
        <f t="shared" si="7"/>
        <v>1500</v>
      </c>
      <c r="E61" s="4">
        <f>SUM($C$2:C61)</f>
        <v>458750</v>
      </c>
      <c r="F61" s="42">
        <f t="shared" si="1"/>
        <v>30000</v>
      </c>
      <c r="G61" s="42">
        <f t="shared" si="2"/>
        <v>1500</v>
      </c>
      <c r="H61" s="42">
        <f t="shared" si="3"/>
        <v>600</v>
      </c>
      <c r="I61" s="42">
        <f t="shared" si="6"/>
        <v>600</v>
      </c>
      <c r="J61" s="44">
        <v>10</v>
      </c>
      <c r="K61">
        <f t="shared" si="4"/>
        <v>21000</v>
      </c>
      <c r="L61">
        <f t="shared" si="5"/>
        <v>0.45776566757493187</v>
      </c>
      <c r="N61" s="45"/>
    </row>
    <row r="62" spans="1:14" x14ac:dyDescent="0.2">
      <c r="A62">
        <v>61</v>
      </c>
      <c r="B62" s="33">
        <v>19940</v>
      </c>
      <c r="C62" s="2">
        <f t="shared" si="8"/>
        <v>33100</v>
      </c>
      <c r="D62" s="2">
        <v>2500</v>
      </c>
      <c r="E62" s="4">
        <f>SUM($C$2:C62)</f>
        <v>491850</v>
      </c>
      <c r="F62">
        <f t="shared" si="1"/>
        <v>30500</v>
      </c>
      <c r="G62">
        <f t="shared" ref="G62:G71" si="9">I62*2.5</f>
        <v>1525</v>
      </c>
      <c r="H62">
        <f t="shared" si="3"/>
        <v>610</v>
      </c>
      <c r="I62">
        <f t="shared" si="6"/>
        <v>610</v>
      </c>
      <c r="J62" s="5">
        <v>10</v>
      </c>
      <c r="K62">
        <f t="shared" si="4"/>
        <v>21350</v>
      </c>
      <c r="L62">
        <f t="shared" si="5"/>
        <v>0.43407542950086409</v>
      </c>
    </row>
    <row r="63" spans="1:14" x14ac:dyDescent="0.2">
      <c r="A63">
        <v>62</v>
      </c>
      <c r="B63" s="33">
        <v>21440</v>
      </c>
      <c r="C63" s="2">
        <f t="shared" si="8"/>
        <v>35600</v>
      </c>
      <c r="D63" s="2">
        <f t="shared" si="7"/>
        <v>2500</v>
      </c>
      <c r="E63" s="4">
        <f>SUM($C$2:C63)</f>
        <v>527450</v>
      </c>
      <c r="F63">
        <f t="shared" si="1"/>
        <v>31000</v>
      </c>
      <c r="G63">
        <f t="shared" si="9"/>
        <v>1550</v>
      </c>
      <c r="H63">
        <f t="shared" si="3"/>
        <v>620</v>
      </c>
      <c r="I63">
        <f t="shared" si="6"/>
        <v>620</v>
      </c>
      <c r="J63" s="5">
        <v>10</v>
      </c>
      <c r="K63">
        <f t="shared" si="4"/>
        <v>21700</v>
      </c>
      <c r="L63">
        <f t="shared" si="5"/>
        <v>0.41141340411413402</v>
      </c>
    </row>
    <row r="64" spans="1:14" x14ac:dyDescent="0.2">
      <c r="A64">
        <v>63</v>
      </c>
      <c r="B64" s="33">
        <v>22940</v>
      </c>
      <c r="C64" s="2">
        <f t="shared" si="8"/>
        <v>38100</v>
      </c>
      <c r="D64" s="2">
        <f t="shared" si="7"/>
        <v>2500</v>
      </c>
      <c r="E64" s="4">
        <f>SUM($C$2:C64)</f>
        <v>565550</v>
      </c>
      <c r="F64">
        <f t="shared" si="1"/>
        <v>31500</v>
      </c>
      <c r="G64">
        <f t="shared" si="9"/>
        <v>1575</v>
      </c>
      <c r="H64">
        <f t="shared" si="3"/>
        <v>630</v>
      </c>
      <c r="I64">
        <f t="shared" si="6"/>
        <v>630</v>
      </c>
      <c r="J64" s="5">
        <v>10</v>
      </c>
      <c r="K64">
        <f t="shared" si="4"/>
        <v>22050</v>
      </c>
      <c r="L64">
        <f t="shared" si="5"/>
        <v>0.38988595172840596</v>
      </c>
    </row>
    <row r="65" spans="1:12" x14ac:dyDescent="0.2">
      <c r="A65">
        <v>64</v>
      </c>
      <c r="B65" s="33">
        <v>24440</v>
      </c>
      <c r="C65" s="2">
        <f t="shared" si="8"/>
        <v>40600</v>
      </c>
      <c r="D65" s="2">
        <f t="shared" si="7"/>
        <v>2500</v>
      </c>
      <c r="E65" s="4">
        <f>SUM($C$2:C65)</f>
        <v>606150</v>
      </c>
      <c r="F65">
        <f t="shared" si="1"/>
        <v>32000</v>
      </c>
      <c r="G65">
        <f t="shared" si="9"/>
        <v>1600</v>
      </c>
      <c r="H65">
        <f t="shared" si="3"/>
        <v>640</v>
      </c>
      <c r="I65">
        <f t="shared" si="6"/>
        <v>640</v>
      </c>
      <c r="J65" s="5">
        <v>10</v>
      </c>
      <c r="K65">
        <f t="shared" si="4"/>
        <v>22400</v>
      </c>
      <c r="L65">
        <f t="shared" si="5"/>
        <v>0.3695454920399241</v>
      </c>
    </row>
    <row r="66" spans="1:12" x14ac:dyDescent="0.2">
      <c r="A66">
        <v>65</v>
      </c>
      <c r="B66" s="33">
        <v>25940</v>
      </c>
      <c r="C66" s="2">
        <f t="shared" si="8"/>
        <v>43100</v>
      </c>
      <c r="D66" s="2">
        <f t="shared" si="7"/>
        <v>2500</v>
      </c>
      <c r="E66" s="4">
        <f>SUM($C$2:C66)</f>
        <v>649250</v>
      </c>
      <c r="F66">
        <f t="shared" si="1"/>
        <v>32500</v>
      </c>
      <c r="G66">
        <f t="shared" si="9"/>
        <v>1625</v>
      </c>
      <c r="H66">
        <f t="shared" si="3"/>
        <v>650</v>
      </c>
      <c r="I66">
        <f t="shared" si="6"/>
        <v>650</v>
      </c>
      <c r="J66" s="5">
        <v>10</v>
      </c>
      <c r="K66">
        <f t="shared" si="4"/>
        <v>22750</v>
      </c>
      <c r="L66">
        <f t="shared" si="5"/>
        <v>0.35040431266846361</v>
      </c>
    </row>
    <row r="67" spans="1:12" x14ac:dyDescent="0.2">
      <c r="A67">
        <v>66</v>
      </c>
      <c r="B67" s="33">
        <v>27440</v>
      </c>
      <c r="C67" s="2">
        <f t="shared" ref="C67:C71" si="10">C66+D67</f>
        <v>45600</v>
      </c>
      <c r="D67" s="2">
        <f t="shared" si="7"/>
        <v>2500</v>
      </c>
      <c r="E67" s="4">
        <f>SUM($C$2:C67)</f>
        <v>694850</v>
      </c>
      <c r="F67">
        <f t="shared" ref="F67:F71" si="11">G67*20</f>
        <v>33000</v>
      </c>
      <c r="G67">
        <f t="shared" si="9"/>
        <v>1650</v>
      </c>
      <c r="H67">
        <f t="shared" ref="H67:H71" si="12">I67</f>
        <v>660</v>
      </c>
      <c r="I67">
        <f t="shared" si="6"/>
        <v>660</v>
      </c>
      <c r="J67" s="5">
        <v>10</v>
      </c>
      <c r="K67">
        <f t="shared" ref="K67:K71" si="13">(G67+H67)*10</f>
        <v>23100</v>
      </c>
      <c r="L67">
        <f t="shared" ref="L67:L71" si="14">K67/(E67/10)</f>
        <v>0.33244585162265239</v>
      </c>
    </row>
    <row r="68" spans="1:12" x14ac:dyDescent="0.2">
      <c r="A68">
        <v>67</v>
      </c>
      <c r="B68" s="33">
        <v>28940</v>
      </c>
      <c r="C68" s="2">
        <f t="shared" si="10"/>
        <v>48100</v>
      </c>
      <c r="D68" s="2">
        <f t="shared" si="7"/>
        <v>2500</v>
      </c>
      <c r="E68" s="4">
        <f>SUM($C$2:C68)</f>
        <v>742950</v>
      </c>
      <c r="F68">
        <f t="shared" si="11"/>
        <v>33500</v>
      </c>
      <c r="G68">
        <f t="shared" si="9"/>
        <v>1675</v>
      </c>
      <c r="H68">
        <f t="shared" si="12"/>
        <v>670</v>
      </c>
      <c r="I68">
        <f t="shared" ref="I68:I71" si="15">I67+J68</f>
        <v>670</v>
      </c>
      <c r="J68" s="5">
        <v>10</v>
      </c>
      <c r="K68">
        <f t="shared" si="13"/>
        <v>23450</v>
      </c>
      <c r="L68">
        <f t="shared" si="14"/>
        <v>0.31563362272023687</v>
      </c>
    </row>
    <row r="69" spans="1:12" x14ac:dyDescent="0.2">
      <c r="A69">
        <v>68</v>
      </c>
      <c r="B69" s="33">
        <v>30440</v>
      </c>
      <c r="C69" s="2">
        <f t="shared" si="10"/>
        <v>50600</v>
      </c>
      <c r="D69" s="2">
        <f t="shared" ref="D69:D71" si="16">D68</f>
        <v>2500</v>
      </c>
      <c r="E69" s="4">
        <f>SUM($C$2:C69)</f>
        <v>793550</v>
      </c>
      <c r="F69">
        <f t="shared" si="11"/>
        <v>34000</v>
      </c>
      <c r="G69">
        <f t="shared" si="9"/>
        <v>1700</v>
      </c>
      <c r="H69">
        <f>I69</f>
        <v>680</v>
      </c>
      <c r="I69">
        <f t="shared" si="15"/>
        <v>680</v>
      </c>
      <c r="J69" s="5">
        <v>10</v>
      </c>
      <c r="K69">
        <f t="shared" si="13"/>
        <v>23800</v>
      </c>
      <c r="L69">
        <f t="shared" si="14"/>
        <v>0.29991808959737887</v>
      </c>
    </row>
    <row r="70" spans="1:12" x14ac:dyDescent="0.2">
      <c r="A70">
        <v>69</v>
      </c>
      <c r="B70" s="33">
        <v>31940</v>
      </c>
      <c r="C70" s="2">
        <f t="shared" si="10"/>
        <v>53100</v>
      </c>
      <c r="D70" s="2">
        <f t="shared" si="16"/>
        <v>2500</v>
      </c>
      <c r="E70" s="4">
        <f>SUM($C$2:C70)</f>
        <v>846650</v>
      </c>
      <c r="F70">
        <f t="shared" si="11"/>
        <v>34500</v>
      </c>
      <c r="G70">
        <f t="shared" si="9"/>
        <v>1725</v>
      </c>
      <c r="H70">
        <f t="shared" si="12"/>
        <v>690</v>
      </c>
      <c r="I70">
        <f t="shared" si="15"/>
        <v>690</v>
      </c>
      <c r="J70" s="5">
        <v>10</v>
      </c>
      <c r="K70">
        <f t="shared" si="13"/>
        <v>24150</v>
      </c>
      <c r="L70">
        <f t="shared" si="14"/>
        <v>0.28524183546920218</v>
      </c>
    </row>
    <row r="71" spans="1:12" x14ac:dyDescent="0.2">
      <c r="A71">
        <v>70</v>
      </c>
      <c r="B71" s="33">
        <v>33440</v>
      </c>
      <c r="C71" s="2">
        <f t="shared" si="10"/>
        <v>55600</v>
      </c>
      <c r="D71" s="2">
        <f t="shared" si="16"/>
        <v>2500</v>
      </c>
      <c r="E71" s="4">
        <f>SUM($C$2:C71)</f>
        <v>902250</v>
      </c>
      <c r="F71">
        <f t="shared" si="11"/>
        <v>35000</v>
      </c>
      <c r="G71">
        <f t="shared" si="9"/>
        <v>1750</v>
      </c>
      <c r="H71">
        <f t="shared" si="12"/>
        <v>700</v>
      </c>
      <c r="I71">
        <f t="shared" si="15"/>
        <v>700</v>
      </c>
      <c r="J71" s="5">
        <v>10</v>
      </c>
      <c r="K71">
        <f t="shared" si="13"/>
        <v>24500</v>
      </c>
      <c r="L71">
        <f t="shared" si="14"/>
        <v>0.27154336381269051</v>
      </c>
    </row>
    <row r="73" spans="1:12" x14ac:dyDescent="0.2">
      <c r="C73" s="2">
        <v>3615</v>
      </c>
      <c r="D73" s="2">
        <v>80</v>
      </c>
      <c r="E73" s="4">
        <v>104300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A48C-16A1-40CC-9F1F-5BD6185A011D}">
  <dimension ref="A1:M12"/>
  <sheetViews>
    <sheetView workbookViewId="0">
      <selection activeCell="R27" sqref="R27"/>
    </sheetView>
  </sheetViews>
  <sheetFormatPr defaultRowHeight="14.25" x14ac:dyDescent="0.2"/>
  <sheetData>
    <row r="1" spans="1:13" x14ac:dyDescent="0.2">
      <c r="A1" s="1" t="s">
        <v>9</v>
      </c>
    </row>
    <row r="2" spans="1:13" x14ac:dyDescent="0.2">
      <c r="A2" s="1" t="s">
        <v>15</v>
      </c>
      <c r="B2" s="1" t="s">
        <v>7</v>
      </c>
      <c r="C2" s="1" t="s">
        <v>16</v>
      </c>
      <c r="D2" s="1" t="s">
        <v>10</v>
      </c>
      <c r="E2" s="1"/>
      <c r="F2" s="1" t="s">
        <v>24</v>
      </c>
      <c r="G2" s="1" t="s">
        <v>12</v>
      </c>
      <c r="H2" s="1" t="s">
        <v>25</v>
      </c>
      <c r="I2" s="1" t="s">
        <v>14</v>
      </c>
      <c r="J2" s="1" t="s">
        <v>26</v>
      </c>
      <c r="K2" s="1" t="s">
        <v>19</v>
      </c>
      <c r="L2" s="1" t="s">
        <v>27</v>
      </c>
      <c r="M2" s="1" t="s">
        <v>21</v>
      </c>
    </row>
    <row r="3" spans="1:13" x14ac:dyDescent="0.2">
      <c r="A3">
        <v>1</v>
      </c>
      <c r="B3">
        <v>1</v>
      </c>
      <c r="C3">
        <v>149</v>
      </c>
      <c r="D3">
        <v>117</v>
      </c>
      <c r="F3">
        <v>483</v>
      </c>
      <c r="H3">
        <v>10</v>
      </c>
      <c r="J3">
        <v>24</v>
      </c>
      <c r="L3">
        <v>10</v>
      </c>
    </row>
    <row r="4" spans="1:13" x14ac:dyDescent="0.2">
      <c r="A4">
        <v>1</v>
      </c>
      <c r="B4">
        <v>2</v>
      </c>
      <c r="C4">
        <v>151</v>
      </c>
      <c r="D4">
        <v>135</v>
      </c>
      <c r="E4">
        <f>D4-D3</f>
        <v>18</v>
      </c>
      <c r="F4">
        <v>969</v>
      </c>
      <c r="G4">
        <f>F4-F3</f>
        <v>486</v>
      </c>
      <c r="H4">
        <v>19</v>
      </c>
      <c r="I4">
        <f>H4-H3</f>
        <v>9</v>
      </c>
      <c r="J4">
        <v>48</v>
      </c>
      <c r="K4">
        <f t="shared" ref="K4:K12" si="0">J4-J3</f>
        <v>24</v>
      </c>
      <c r="L4">
        <v>19</v>
      </c>
      <c r="M4">
        <f t="shared" ref="M4:M12" si="1">L4-L3</f>
        <v>9</v>
      </c>
    </row>
    <row r="5" spans="1:13" x14ac:dyDescent="0.2">
      <c r="A5">
        <v>1</v>
      </c>
      <c r="B5">
        <v>3</v>
      </c>
      <c r="C5">
        <v>153</v>
      </c>
      <c r="D5">
        <v>153</v>
      </c>
      <c r="E5">
        <f t="shared" ref="E5:E12" si="2">D5-D4</f>
        <v>18</v>
      </c>
      <c r="F5">
        <v>1456</v>
      </c>
      <c r="G5">
        <f t="shared" ref="G5:G12" si="3">F5-F4</f>
        <v>487</v>
      </c>
      <c r="H5">
        <v>29</v>
      </c>
      <c r="I5">
        <f t="shared" ref="I5:I12" si="4">H5-H4</f>
        <v>10</v>
      </c>
      <c r="J5">
        <v>73</v>
      </c>
      <c r="K5">
        <f t="shared" si="0"/>
        <v>25</v>
      </c>
      <c r="L5">
        <v>29</v>
      </c>
      <c r="M5">
        <f t="shared" si="1"/>
        <v>10</v>
      </c>
    </row>
    <row r="6" spans="1:13" x14ac:dyDescent="0.2">
      <c r="A6">
        <v>1</v>
      </c>
      <c r="B6">
        <v>4</v>
      </c>
      <c r="C6">
        <v>155</v>
      </c>
      <c r="D6">
        <v>171</v>
      </c>
      <c r="E6">
        <f t="shared" si="2"/>
        <v>18</v>
      </c>
      <c r="F6">
        <v>1947</v>
      </c>
      <c r="G6">
        <f t="shared" si="3"/>
        <v>491</v>
      </c>
      <c r="H6">
        <v>39</v>
      </c>
      <c r="I6">
        <f t="shared" si="4"/>
        <v>10</v>
      </c>
      <c r="J6">
        <v>97</v>
      </c>
      <c r="K6">
        <f t="shared" si="0"/>
        <v>24</v>
      </c>
      <c r="L6">
        <v>39</v>
      </c>
      <c r="M6">
        <f t="shared" si="1"/>
        <v>10</v>
      </c>
    </row>
    <row r="7" spans="1:13" x14ac:dyDescent="0.2">
      <c r="A7">
        <v>1</v>
      </c>
      <c r="B7">
        <v>5</v>
      </c>
      <c r="C7">
        <v>158</v>
      </c>
      <c r="D7">
        <v>189</v>
      </c>
      <c r="E7">
        <f t="shared" si="2"/>
        <v>18</v>
      </c>
      <c r="F7">
        <v>2400</v>
      </c>
      <c r="G7">
        <f t="shared" si="3"/>
        <v>453</v>
      </c>
      <c r="H7">
        <v>49</v>
      </c>
      <c r="I7">
        <f t="shared" si="4"/>
        <v>10</v>
      </c>
      <c r="J7">
        <v>122</v>
      </c>
      <c r="K7">
        <f t="shared" si="0"/>
        <v>25</v>
      </c>
      <c r="L7">
        <v>49</v>
      </c>
      <c r="M7">
        <f t="shared" si="1"/>
        <v>10</v>
      </c>
    </row>
    <row r="8" spans="1:13" x14ac:dyDescent="0.2">
      <c r="A8">
        <v>1</v>
      </c>
      <c r="B8">
        <v>6</v>
      </c>
      <c r="C8">
        <v>160</v>
      </c>
      <c r="D8">
        <v>207</v>
      </c>
      <c r="E8">
        <f t="shared" si="2"/>
        <v>18</v>
      </c>
      <c r="F8">
        <v>2936</v>
      </c>
      <c r="G8">
        <f t="shared" si="3"/>
        <v>536</v>
      </c>
      <c r="H8">
        <v>59</v>
      </c>
      <c r="I8">
        <f t="shared" si="4"/>
        <v>10</v>
      </c>
      <c r="J8">
        <v>147</v>
      </c>
      <c r="K8">
        <f t="shared" si="0"/>
        <v>25</v>
      </c>
      <c r="L8">
        <v>59</v>
      </c>
      <c r="M8">
        <f t="shared" si="1"/>
        <v>10</v>
      </c>
    </row>
    <row r="9" spans="1:13" x14ac:dyDescent="0.2">
      <c r="A9">
        <v>1</v>
      </c>
      <c r="B9">
        <v>7</v>
      </c>
      <c r="C9">
        <v>161</v>
      </c>
      <c r="D9">
        <v>225</v>
      </c>
      <c r="E9">
        <f t="shared" si="2"/>
        <v>18</v>
      </c>
      <c r="F9">
        <v>3433</v>
      </c>
      <c r="G9">
        <f t="shared" si="3"/>
        <v>497</v>
      </c>
      <c r="H9">
        <v>69</v>
      </c>
      <c r="I9">
        <f t="shared" si="4"/>
        <v>10</v>
      </c>
      <c r="J9">
        <v>172</v>
      </c>
      <c r="K9">
        <f t="shared" si="0"/>
        <v>25</v>
      </c>
      <c r="L9">
        <v>69</v>
      </c>
      <c r="M9">
        <f t="shared" si="1"/>
        <v>10</v>
      </c>
    </row>
    <row r="10" spans="1:13" x14ac:dyDescent="0.2">
      <c r="A10">
        <v>1</v>
      </c>
      <c r="B10">
        <v>8</v>
      </c>
      <c r="C10">
        <v>163</v>
      </c>
      <c r="D10">
        <v>243</v>
      </c>
      <c r="E10">
        <f t="shared" si="2"/>
        <v>18</v>
      </c>
      <c r="F10">
        <v>3934</v>
      </c>
      <c r="G10">
        <f t="shared" si="3"/>
        <v>501</v>
      </c>
      <c r="H10">
        <v>79</v>
      </c>
      <c r="I10">
        <f t="shared" si="4"/>
        <v>10</v>
      </c>
      <c r="J10">
        <v>197</v>
      </c>
      <c r="K10">
        <f t="shared" si="0"/>
        <v>25</v>
      </c>
      <c r="L10">
        <v>79</v>
      </c>
      <c r="M10">
        <f t="shared" si="1"/>
        <v>10</v>
      </c>
    </row>
    <row r="11" spans="1:13" x14ac:dyDescent="0.2">
      <c r="A11">
        <v>1</v>
      </c>
      <c r="B11">
        <v>9</v>
      </c>
      <c r="C11">
        <v>164</v>
      </c>
      <c r="D11">
        <v>261</v>
      </c>
      <c r="E11">
        <f t="shared" si="2"/>
        <v>18</v>
      </c>
      <c r="F11">
        <v>4437</v>
      </c>
      <c r="G11">
        <f t="shared" si="3"/>
        <v>503</v>
      </c>
      <c r="H11">
        <v>89</v>
      </c>
      <c r="I11">
        <f t="shared" si="4"/>
        <v>10</v>
      </c>
      <c r="J11">
        <v>222</v>
      </c>
      <c r="K11">
        <f t="shared" si="0"/>
        <v>25</v>
      </c>
      <c r="L11">
        <v>89</v>
      </c>
      <c r="M11">
        <f t="shared" si="1"/>
        <v>10</v>
      </c>
    </row>
    <row r="12" spans="1:13" x14ac:dyDescent="0.2">
      <c r="A12">
        <v>1</v>
      </c>
      <c r="B12">
        <v>10</v>
      </c>
      <c r="C12">
        <v>166</v>
      </c>
      <c r="D12">
        <v>280</v>
      </c>
      <c r="E12">
        <f t="shared" si="2"/>
        <v>19</v>
      </c>
      <c r="F12">
        <v>4941</v>
      </c>
      <c r="G12">
        <f t="shared" si="3"/>
        <v>504</v>
      </c>
      <c r="H12">
        <v>99</v>
      </c>
      <c r="I12">
        <f t="shared" si="4"/>
        <v>10</v>
      </c>
      <c r="J12">
        <v>247</v>
      </c>
      <c r="K12">
        <f t="shared" si="0"/>
        <v>25</v>
      </c>
      <c r="L12">
        <v>99</v>
      </c>
      <c r="M12">
        <f t="shared" si="1"/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3764-0AB6-4E2C-9FD5-D47378A00323}">
  <dimension ref="A1:S27"/>
  <sheetViews>
    <sheetView workbookViewId="0">
      <selection activeCell="R16" sqref="R16"/>
    </sheetView>
  </sheetViews>
  <sheetFormatPr defaultRowHeight="14.25" x14ac:dyDescent="0.2"/>
  <cols>
    <col min="3" max="3" width="17.25" customWidth="1"/>
    <col min="4" max="4" width="11.375" customWidth="1"/>
    <col min="5" max="5" width="11.5" customWidth="1"/>
  </cols>
  <sheetData>
    <row r="1" spans="1:19" x14ac:dyDescent="0.2">
      <c r="B1" s="9"/>
      <c r="C1" s="9" t="s">
        <v>29</v>
      </c>
      <c r="D1" s="9" t="s">
        <v>30</v>
      </c>
      <c r="E1" s="9" t="s">
        <v>31</v>
      </c>
    </row>
    <row r="2" spans="1:19" x14ac:dyDescent="0.2">
      <c r="B2" s="10" t="s">
        <v>32</v>
      </c>
      <c r="C2" s="9"/>
      <c r="D2" s="9">
        <v>10</v>
      </c>
      <c r="E2" s="9">
        <v>1</v>
      </c>
      <c r="M2" s="9" t="s">
        <v>86</v>
      </c>
      <c r="N2" s="9" t="s">
        <v>87</v>
      </c>
      <c r="O2" s="9">
        <v>1</v>
      </c>
      <c r="P2" s="9">
        <v>100</v>
      </c>
      <c r="Q2" s="9">
        <v>4</v>
      </c>
      <c r="R2" s="9">
        <v>40</v>
      </c>
      <c r="S2" s="9">
        <v>100</v>
      </c>
    </row>
    <row r="3" spans="1:19" x14ac:dyDescent="0.2">
      <c r="B3" s="10" t="s">
        <v>40</v>
      </c>
      <c r="C3" s="9"/>
      <c r="D3" s="9"/>
      <c r="E3" s="9">
        <v>350</v>
      </c>
      <c r="M3" s="9"/>
      <c r="N3" s="9" t="s">
        <v>35</v>
      </c>
      <c r="O3" s="9">
        <v>1</v>
      </c>
      <c r="P3" s="9">
        <v>25</v>
      </c>
      <c r="Q3" s="9">
        <v>2</v>
      </c>
      <c r="R3" s="9">
        <v>50</v>
      </c>
      <c r="S3" s="9"/>
    </row>
    <row r="4" spans="1:19" x14ac:dyDescent="0.2">
      <c r="A4">
        <v>20</v>
      </c>
      <c r="B4" s="10" t="s">
        <v>34</v>
      </c>
      <c r="C4" s="9">
        <v>1</v>
      </c>
      <c r="D4" s="9">
        <f>E4*$D$2</f>
        <v>100</v>
      </c>
      <c r="E4" s="9">
        <v>10</v>
      </c>
      <c r="M4" s="9"/>
      <c r="N4" s="9" t="s">
        <v>88</v>
      </c>
      <c r="O4" s="9">
        <v>1</v>
      </c>
      <c r="P4" s="9">
        <v>4</v>
      </c>
      <c r="Q4" s="9">
        <v>1</v>
      </c>
      <c r="R4" s="9">
        <v>10</v>
      </c>
      <c r="S4" s="9"/>
    </row>
    <row r="5" spans="1:19" x14ac:dyDescent="0.2">
      <c r="A5">
        <v>41</v>
      </c>
      <c r="B5" s="10" t="s">
        <v>36</v>
      </c>
      <c r="C5" s="9">
        <v>0.9</v>
      </c>
      <c r="D5" s="9">
        <f t="shared" ref="D5:D9" si="0">E5*$D$2</f>
        <v>1000</v>
      </c>
      <c r="E5" s="9">
        <v>100</v>
      </c>
    </row>
    <row r="6" spans="1:19" x14ac:dyDescent="0.2">
      <c r="A6">
        <v>42</v>
      </c>
      <c r="B6" s="10" t="s">
        <v>33</v>
      </c>
      <c r="C6" s="9">
        <v>0.8</v>
      </c>
      <c r="D6" s="9">
        <f t="shared" si="0"/>
        <v>1500</v>
      </c>
      <c r="E6" s="9">
        <v>150</v>
      </c>
      <c r="G6" s="1" t="s">
        <v>41</v>
      </c>
    </row>
    <row r="7" spans="1:19" x14ac:dyDescent="0.2">
      <c r="A7">
        <v>51</v>
      </c>
      <c r="B7" s="10" t="s">
        <v>37</v>
      </c>
      <c r="C7" s="9">
        <v>0.7</v>
      </c>
      <c r="D7" s="9">
        <f t="shared" si="0"/>
        <v>3000</v>
      </c>
      <c r="E7" s="9">
        <v>300</v>
      </c>
      <c r="G7" s="1" t="s">
        <v>42</v>
      </c>
    </row>
    <row r="8" spans="1:19" x14ac:dyDescent="0.2">
      <c r="A8">
        <v>52</v>
      </c>
      <c r="B8" s="10" t="s">
        <v>38</v>
      </c>
      <c r="C8" s="9">
        <v>0.6</v>
      </c>
      <c r="D8" s="9">
        <f>E8*$D$2</f>
        <v>4500</v>
      </c>
      <c r="E8" s="9">
        <f>E6*3</f>
        <v>450</v>
      </c>
    </row>
    <row r="9" spans="1:19" x14ac:dyDescent="0.2">
      <c r="A9">
        <v>53</v>
      </c>
      <c r="B9" s="10" t="s">
        <v>39</v>
      </c>
      <c r="C9" s="9">
        <v>0.5</v>
      </c>
      <c r="D9" s="9">
        <f t="shared" si="0"/>
        <v>13500</v>
      </c>
      <c r="E9" s="9">
        <f>E8*3</f>
        <v>1350</v>
      </c>
    </row>
    <row r="10" spans="1:19" x14ac:dyDescent="0.2">
      <c r="G10" s="1" t="s">
        <v>44</v>
      </c>
    </row>
    <row r="11" spans="1:19" x14ac:dyDescent="0.2">
      <c r="G11" s="1" t="s">
        <v>43</v>
      </c>
    </row>
    <row r="12" spans="1:19" x14ac:dyDescent="0.2">
      <c r="G12" s="1" t="s">
        <v>45</v>
      </c>
    </row>
    <row r="13" spans="1:19" x14ac:dyDescent="0.2">
      <c r="C13" s="7" t="s">
        <v>59</v>
      </c>
      <c r="D13" s="7" t="s">
        <v>60</v>
      </c>
      <c r="E13" s="7" t="s">
        <v>61</v>
      </c>
      <c r="G13" s="1" t="s">
        <v>46</v>
      </c>
    </row>
    <row r="14" spans="1:19" x14ac:dyDescent="0.2">
      <c r="C14">
        <v>2</v>
      </c>
      <c r="D14">
        <v>1</v>
      </c>
      <c r="E14">
        <v>1</v>
      </c>
      <c r="G14" s="1" t="s">
        <v>47</v>
      </c>
    </row>
    <row r="15" spans="1:19" x14ac:dyDescent="0.2">
      <c r="C15">
        <v>4</v>
      </c>
      <c r="D15">
        <v>2</v>
      </c>
      <c r="E15">
        <v>3</v>
      </c>
      <c r="G15" s="1" t="s">
        <v>48</v>
      </c>
    </row>
    <row r="16" spans="1:19" x14ac:dyDescent="0.2">
      <c r="C16">
        <v>5</v>
      </c>
      <c r="D16">
        <v>4</v>
      </c>
      <c r="E16">
        <v>6</v>
      </c>
      <c r="Q16">
        <v>100</v>
      </c>
      <c r="R16">
        <f>D4*C4/Q16</f>
        <v>1</v>
      </c>
    </row>
    <row r="17" spans="2:18" x14ac:dyDescent="0.2">
      <c r="Q17">
        <v>200</v>
      </c>
      <c r="R17">
        <f t="shared" ref="R17:R21" si="1">D5/Q17</f>
        <v>5</v>
      </c>
    </row>
    <row r="18" spans="2:18" x14ac:dyDescent="0.2">
      <c r="Q18">
        <v>200</v>
      </c>
      <c r="R18">
        <f t="shared" si="1"/>
        <v>7.5</v>
      </c>
    </row>
    <row r="19" spans="2:18" x14ac:dyDescent="0.2">
      <c r="Q19">
        <v>400</v>
      </c>
      <c r="R19">
        <f t="shared" si="1"/>
        <v>7.5</v>
      </c>
    </row>
    <row r="20" spans="2:18" x14ac:dyDescent="0.2">
      <c r="D20" s="1" t="s">
        <v>34</v>
      </c>
      <c r="E20">
        <v>10</v>
      </c>
      <c r="F20" s="1" t="s">
        <v>67</v>
      </c>
      <c r="G20">
        <v>50</v>
      </c>
      <c r="H20" s="1" t="s">
        <v>68</v>
      </c>
      <c r="I20">
        <v>80</v>
      </c>
      <c r="O20" s="1"/>
      <c r="P20" s="1"/>
      <c r="Q20">
        <v>400</v>
      </c>
      <c r="R20">
        <f t="shared" si="1"/>
        <v>11.25</v>
      </c>
    </row>
    <row r="21" spans="2:18" x14ac:dyDescent="0.2">
      <c r="Q21">
        <v>400</v>
      </c>
      <c r="R21">
        <f t="shared" si="1"/>
        <v>33.75</v>
      </c>
    </row>
    <row r="23" spans="2:18" x14ac:dyDescent="0.2">
      <c r="B23">
        <v>4</v>
      </c>
      <c r="C23">
        <v>1</v>
      </c>
      <c r="D23">
        <f>E20</f>
        <v>10</v>
      </c>
      <c r="E23">
        <f>E20</f>
        <v>10</v>
      </c>
      <c r="H23">
        <f>SUM(D23:F23)</f>
        <v>20</v>
      </c>
    </row>
    <row r="24" spans="2:18" x14ac:dyDescent="0.2">
      <c r="B24">
        <v>4</v>
      </c>
      <c r="C24">
        <v>2</v>
      </c>
      <c r="D24">
        <f>E20</f>
        <v>10</v>
      </c>
      <c r="E24">
        <f>G20</f>
        <v>50</v>
      </c>
      <c r="H24">
        <f>SUM(D24:F24)</f>
        <v>60</v>
      </c>
    </row>
    <row r="25" spans="2:18" x14ac:dyDescent="0.2">
      <c r="B25">
        <v>5</v>
      </c>
      <c r="C25">
        <v>1</v>
      </c>
      <c r="D25">
        <f>E20</f>
        <v>10</v>
      </c>
      <c r="E25">
        <f>E20</f>
        <v>10</v>
      </c>
      <c r="F25">
        <f>G20</f>
        <v>50</v>
      </c>
      <c r="H25">
        <f>SUM(D25:F25)</f>
        <v>70</v>
      </c>
    </row>
    <row r="26" spans="2:18" x14ac:dyDescent="0.2">
      <c r="B26">
        <v>5</v>
      </c>
      <c r="C26">
        <v>2</v>
      </c>
      <c r="D26">
        <f>E20</f>
        <v>10</v>
      </c>
      <c r="E26">
        <f>G20</f>
        <v>50</v>
      </c>
      <c r="F26">
        <f>I20</f>
        <v>80</v>
      </c>
      <c r="H26">
        <f>SUM(D26:F26)</f>
        <v>140</v>
      </c>
      <c r="J26">
        <f>H26*1.5</f>
        <v>210</v>
      </c>
    </row>
    <row r="27" spans="2:18" x14ac:dyDescent="0.2">
      <c r="B27">
        <v>5</v>
      </c>
      <c r="C27">
        <v>3</v>
      </c>
      <c r="D27">
        <f>G20</f>
        <v>50</v>
      </c>
      <c r="E27">
        <f>I20</f>
        <v>80</v>
      </c>
      <c r="F27">
        <f>I20</f>
        <v>80</v>
      </c>
      <c r="H27">
        <f>SUM(D27:F27)</f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EF8C-2F87-41A5-9A2D-EEFB549744E9}">
  <dimension ref="A1:X178"/>
  <sheetViews>
    <sheetView topLeftCell="D76" workbookViewId="0">
      <selection activeCell="T160" sqref="T160"/>
    </sheetView>
  </sheetViews>
  <sheetFormatPr defaultRowHeight="14.25" x14ac:dyDescent="0.2"/>
  <cols>
    <col min="1" max="1" width="9" customWidth="1"/>
    <col min="5" max="5" width="10.625" customWidth="1"/>
    <col min="7" max="7" width="11.5" customWidth="1"/>
    <col min="8" max="8" width="5.25" style="25" customWidth="1"/>
    <col min="9" max="13" width="9" style="35"/>
    <col min="14" max="15" width="14.25" style="17" customWidth="1"/>
    <col min="16" max="19" width="14.25" customWidth="1"/>
    <col min="20" max="20" width="19.25" style="57" customWidth="1"/>
  </cols>
  <sheetData>
    <row r="1" spans="1:24" x14ac:dyDescent="0.2">
      <c r="A1" s="1" t="s">
        <v>28</v>
      </c>
      <c r="B1" t="s">
        <v>49</v>
      </c>
      <c r="C1" s="1" t="s">
        <v>50</v>
      </c>
      <c r="D1" t="s">
        <v>51</v>
      </c>
      <c r="E1" s="1" t="s">
        <v>252</v>
      </c>
      <c r="F1" s="1" t="s">
        <v>10</v>
      </c>
      <c r="G1" s="1" t="s">
        <v>253</v>
      </c>
      <c r="I1" s="35" t="s">
        <v>101</v>
      </c>
      <c r="J1" s="35" t="s">
        <v>11</v>
      </c>
      <c r="K1" s="35" t="s">
        <v>18</v>
      </c>
      <c r="L1" s="35" t="s">
        <v>13</v>
      </c>
      <c r="M1" s="35" t="s">
        <v>20</v>
      </c>
      <c r="N1" t="s">
        <v>108</v>
      </c>
      <c r="O1" s="38" t="s">
        <v>184</v>
      </c>
      <c r="P1" t="s">
        <v>109</v>
      </c>
      <c r="Q1" t="s">
        <v>110</v>
      </c>
      <c r="R1" s="1" t="s">
        <v>111</v>
      </c>
      <c r="S1" s="1" t="s">
        <v>112</v>
      </c>
      <c r="T1" s="57" t="s">
        <v>255</v>
      </c>
    </row>
    <row r="2" spans="1:24" x14ac:dyDescent="0.2">
      <c r="A2">
        <v>1</v>
      </c>
      <c r="B2" s="11">
        <v>2</v>
      </c>
      <c r="C2">
        <v>1</v>
      </c>
      <c r="D2">
        <v>0</v>
      </c>
      <c r="E2">
        <v>40302</v>
      </c>
      <c r="F2">
        <f>VLOOKUP(C2,性价比!$T$25:$U$31,2,0)*VLOOKUP(--H2,性价比!$W$3:$Y$8,3,0)</f>
        <v>2</v>
      </c>
      <c r="G2" t="str">
        <f>E2&amp;":"&amp;F2</f>
        <v>40302:2</v>
      </c>
      <c r="H2" s="25" t="str">
        <f t="shared" ref="H2:H33" si="0">B2&amp;D2</f>
        <v>20</v>
      </c>
      <c r="I2" s="37">
        <f>VLOOKUP(--H2,相关定价!$A$4:$D$9,4,0)*VLOOKUP(--H2,相关定价!$A$4:$D$9,3,0)</f>
        <v>100</v>
      </c>
      <c r="J2" s="35">
        <v>0</v>
      </c>
      <c r="K2" s="36">
        <f>进阶值!G4</f>
        <v>110</v>
      </c>
      <c r="L2" s="36">
        <v>0</v>
      </c>
      <c r="M2" s="36">
        <f>进阶值!I4</f>
        <v>44</v>
      </c>
      <c r="N2">
        <f>VLOOKUP(--H2,$U$5:$X$10,2,0)</f>
        <v>0</v>
      </c>
      <c r="O2" s="17">
        <f>IF(N2&gt;0,VLOOKUP(C2,极品属性表调整!$A$2:$B$8,2,0),0)</f>
        <v>0</v>
      </c>
      <c r="P2">
        <f>VLOOKUP(--H2,$U$5:$X$10,3,0)</f>
        <v>0</v>
      </c>
      <c r="Q2" s="17">
        <f>IF(P2&gt;0,VLOOKUP(C2,极品属性表调整!$A$9:$B$15,2,0),0)</f>
        <v>0</v>
      </c>
      <c r="R2">
        <f>VLOOKUP(--H2,$U$5:$X$10,4,0)</f>
        <v>0</v>
      </c>
      <c r="S2" s="17">
        <f>IF(R2&gt;0,VLOOKUP(C2,极品属性表调整!$A$16:$B$22,2,0),0)</f>
        <v>0</v>
      </c>
      <c r="T2" s="57">
        <f>VLOOKUP(--H2,套装调整!$Q$19:$R$24,2,0)</f>
        <v>0</v>
      </c>
    </row>
    <row r="3" spans="1:24" x14ac:dyDescent="0.2">
      <c r="A3">
        <f>A2</f>
        <v>1</v>
      </c>
      <c r="B3" s="11">
        <v>2</v>
      </c>
      <c r="C3">
        <v>2</v>
      </c>
      <c r="D3">
        <v>0</v>
      </c>
      <c r="E3">
        <v>40302</v>
      </c>
      <c r="F3">
        <f>VLOOKUP(C3,性价比!$T$25:$U$31,2,0)*VLOOKUP(--H3,性价比!$W$3:$Y$8,3,0)</f>
        <v>4</v>
      </c>
      <c r="G3" t="str">
        <f t="shared" ref="G3:G66" si="1">E3&amp;":"&amp;F3</f>
        <v>40302:4</v>
      </c>
      <c r="H3" s="25" t="str">
        <f t="shared" si="0"/>
        <v>20</v>
      </c>
      <c r="I3" s="37">
        <f>VLOOKUP(--H3,相关定价!$A$4:$D$9,4,0)*VLOOKUP(--H3,相关定价!$A$4:$D$9,3,0)</f>
        <v>100</v>
      </c>
      <c r="J3" s="35">
        <v>0</v>
      </c>
      <c r="K3" s="36">
        <f>进阶值!G5</f>
        <v>192</v>
      </c>
      <c r="L3" s="36">
        <v>0</v>
      </c>
      <c r="M3" s="36">
        <f>进阶值!I5</f>
        <v>77</v>
      </c>
      <c r="N3">
        <f t="shared" ref="N3:N66" si="2">VLOOKUP(--H3,$U$5:$X$10,2,0)</f>
        <v>0</v>
      </c>
      <c r="O3" s="17">
        <f>IF(N3&gt;0,VLOOKUP(C3,极品属性表调整!$A$2:$B$8,2,0),0)</f>
        <v>0</v>
      </c>
      <c r="P3">
        <f t="shared" ref="P3:P66" si="3">VLOOKUP(--H3,$U$5:$X$10,3,0)</f>
        <v>0</v>
      </c>
      <c r="Q3" s="17">
        <f>IF(P3&gt;0,VLOOKUP(C3,极品属性表调整!$A$9:$B$15,2,0),0)</f>
        <v>0</v>
      </c>
      <c r="R3">
        <f t="shared" ref="R3:R66" si="4">VLOOKUP(--H3,$U$5:$X$10,4,0)</f>
        <v>0</v>
      </c>
      <c r="S3" s="17">
        <f>IF(R3&gt;0,VLOOKUP(C3,极品属性表调整!$A$16:$B$22,2,0),0)</f>
        <v>0</v>
      </c>
      <c r="T3" s="57">
        <f>VLOOKUP(--H3,套装调整!$Q$19:$R$24,2,0)</f>
        <v>0</v>
      </c>
    </row>
    <row r="4" spans="1:24" x14ac:dyDescent="0.2">
      <c r="A4">
        <f t="shared" ref="A4:A67" si="5">A3</f>
        <v>1</v>
      </c>
      <c r="B4" s="11">
        <v>2</v>
      </c>
      <c r="C4">
        <v>3</v>
      </c>
      <c r="D4">
        <v>0</v>
      </c>
      <c r="E4">
        <v>40302</v>
      </c>
      <c r="F4">
        <f>VLOOKUP(C4,性价比!$T$25:$U$31,2,0)*VLOOKUP(--H4,性价比!$W$3:$Y$8,3,0)</f>
        <v>6</v>
      </c>
      <c r="G4" t="str">
        <f t="shared" si="1"/>
        <v>40302:6</v>
      </c>
      <c r="H4" s="25" t="str">
        <f t="shared" si="0"/>
        <v>20</v>
      </c>
      <c r="I4" s="37">
        <f>VLOOKUP(--H4,相关定价!$A$4:$D$9,4,0)*VLOOKUP(--H4,相关定价!$A$4:$D$9,3,0)</f>
        <v>100</v>
      </c>
      <c r="J4" s="35">
        <v>0</v>
      </c>
      <c r="K4" s="36">
        <f>进阶值!G6</f>
        <v>369</v>
      </c>
      <c r="L4" s="36">
        <v>0</v>
      </c>
      <c r="M4" s="36">
        <f>进阶值!I6</f>
        <v>147</v>
      </c>
      <c r="N4">
        <f t="shared" si="2"/>
        <v>0</v>
      </c>
      <c r="O4" s="17">
        <f>IF(N4&gt;0,VLOOKUP(C4,极品属性表调整!$A$2:$B$8,2,0),0)</f>
        <v>0</v>
      </c>
      <c r="P4">
        <f t="shared" si="3"/>
        <v>0</v>
      </c>
      <c r="Q4" s="17">
        <f>IF(P4&gt;0,VLOOKUP(C4,极品属性表调整!$A$9:$B$15,2,0),0)</f>
        <v>0</v>
      </c>
      <c r="R4">
        <f t="shared" si="4"/>
        <v>0</v>
      </c>
      <c r="S4" s="17">
        <f>IF(R4&gt;0,VLOOKUP(C4,极品属性表调整!$A$16:$B$22,2,0),0)</f>
        <v>0</v>
      </c>
      <c r="T4" s="57">
        <f>VLOOKUP(--H4,套装调整!$Q$19:$R$24,2,0)</f>
        <v>0</v>
      </c>
      <c r="V4" s="1" t="s">
        <v>113</v>
      </c>
      <c r="W4" s="1" t="s">
        <v>114</v>
      </c>
      <c r="X4" s="1" t="s">
        <v>115</v>
      </c>
    </row>
    <row r="5" spans="1:24" x14ac:dyDescent="0.2">
      <c r="A5">
        <f t="shared" si="5"/>
        <v>1</v>
      </c>
      <c r="B5" s="11">
        <v>2</v>
      </c>
      <c r="C5">
        <v>4</v>
      </c>
      <c r="D5">
        <v>0</v>
      </c>
      <c r="E5">
        <v>40302</v>
      </c>
      <c r="F5">
        <f>VLOOKUP(C5,性价比!$T$25:$U$31,2,0)*VLOOKUP(--H5,性价比!$W$3:$Y$8,3,0)</f>
        <v>8</v>
      </c>
      <c r="G5" t="str">
        <f t="shared" si="1"/>
        <v>40302:8</v>
      </c>
      <c r="H5" s="25" t="str">
        <f t="shared" si="0"/>
        <v>20</v>
      </c>
      <c r="I5" s="37">
        <f>VLOOKUP(--H5,相关定价!$A$4:$D$9,4,0)*VLOOKUP(--H5,相关定价!$A$4:$D$9,3,0)</f>
        <v>100</v>
      </c>
      <c r="J5" s="35">
        <v>0</v>
      </c>
      <c r="K5" s="36">
        <f>进阶值!G7</f>
        <v>680</v>
      </c>
      <c r="L5" s="36">
        <v>0</v>
      </c>
      <c r="M5" s="36">
        <f>进阶值!I7</f>
        <v>270</v>
      </c>
      <c r="N5">
        <f t="shared" si="2"/>
        <v>0</v>
      </c>
      <c r="O5" s="17">
        <f>IF(N5&gt;0,VLOOKUP(C5,极品属性表调整!$A$2:$B$8,2,0),0)</f>
        <v>0</v>
      </c>
      <c r="P5">
        <f t="shared" si="3"/>
        <v>0</v>
      </c>
      <c r="Q5" s="17">
        <f>IF(P5&gt;0,VLOOKUP(C5,极品属性表调整!$A$9:$B$15,2,0),0)</f>
        <v>0</v>
      </c>
      <c r="R5">
        <f t="shared" si="4"/>
        <v>0</v>
      </c>
      <c r="S5" s="17">
        <f>IF(R5&gt;0,VLOOKUP(C5,极品属性表调整!$A$16:$B$22,2,0),0)</f>
        <v>0</v>
      </c>
      <c r="T5" s="57">
        <f>VLOOKUP(--H5,套装调整!$Q$19:$R$24,2,0)</f>
        <v>0</v>
      </c>
      <c r="U5">
        <v>20</v>
      </c>
      <c r="V5">
        <v>0</v>
      </c>
      <c r="W5">
        <v>0</v>
      </c>
      <c r="X5">
        <v>0</v>
      </c>
    </row>
    <row r="6" spans="1:24" x14ac:dyDescent="0.2">
      <c r="A6">
        <f t="shared" si="5"/>
        <v>1</v>
      </c>
      <c r="B6" s="11">
        <v>2</v>
      </c>
      <c r="C6">
        <v>5</v>
      </c>
      <c r="D6">
        <v>0</v>
      </c>
      <c r="E6">
        <v>40302</v>
      </c>
      <c r="F6">
        <f>VLOOKUP(C6,性价比!$T$25:$U$31,2,0)*VLOOKUP(--H6,性价比!$W$3:$Y$8,3,0)</f>
        <v>10</v>
      </c>
      <c r="G6" t="str">
        <f t="shared" si="1"/>
        <v>40302:10</v>
      </c>
      <c r="H6" s="25" t="str">
        <f t="shared" si="0"/>
        <v>20</v>
      </c>
      <c r="I6" s="37">
        <f>VLOOKUP(--H6,相关定价!$A$4:$D$9,4,0)*VLOOKUP(--H6,相关定价!$A$4:$D$9,3,0)</f>
        <v>100</v>
      </c>
      <c r="J6" s="35">
        <v>0</v>
      </c>
      <c r="K6" s="36">
        <f>进阶值!G8</f>
        <v>1224</v>
      </c>
      <c r="L6" s="36">
        <v>0</v>
      </c>
      <c r="M6" s="36">
        <f>进阶值!I8</f>
        <v>486</v>
      </c>
      <c r="N6">
        <f t="shared" si="2"/>
        <v>0</v>
      </c>
      <c r="O6" s="17">
        <f>IF(N6&gt;0,VLOOKUP(C6,极品属性表调整!$A$2:$B$8,2,0),0)</f>
        <v>0</v>
      </c>
      <c r="P6">
        <f t="shared" si="3"/>
        <v>0</v>
      </c>
      <c r="Q6" s="17">
        <f>IF(P6&gt;0,VLOOKUP(C6,极品属性表调整!$A$9:$B$15,2,0),0)</f>
        <v>0</v>
      </c>
      <c r="R6">
        <f t="shared" si="4"/>
        <v>0</v>
      </c>
      <c r="S6" s="17">
        <f>IF(R6&gt;0,VLOOKUP(C6,极品属性表调整!$A$16:$B$22,2,0),0)</f>
        <v>0</v>
      </c>
      <c r="T6" s="57">
        <f>VLOOKUP(--H6,套装调整!$Q$19:$R$24,2,0)</f>
        <v>0</v>
      </c>
      <c r="U6">
        <v>41</v>
      </c>
      <c r="V6">
        <v>2</v>
      </c>
      <c r="W6">
        <v>0</v>
      </c>
      <c r="X6">
        <v>0</v>
      </c>
    </row>
    <row r="7" spans="1:24" x14ac:dyDescent="0.2">
      <c r="A7">
        <f t="shared" si="5"/>
        <v>1</v>
      </c>
      <c r="B7" s="11">
        <v>2</v>
      </c>
      <c r="C7">
        <v>6</v>
      </c>
      <c r="D7">
        <v>0</v>
      </c>
      <c r="E7">
        <v>40302</v>
      </c>
      <c r="F7">
        <f>VLOOKUP(C7,性价比!$T$25:$U$31,2,0)*VLOOKUP(--H7,性价比!$W$3:$Y$8,3,0)</f>
        <v>12</v>
      </c>
      <c r="G7" t="str">
        <f t="shared" si="1"/>
        <v>40302:12</v>
      </c>
      <c r="H7" s="25" t="str">
        <f t="shared" si="0"/>
        <v>20</v>
      </c>
      <c r="I7" s="37">
        <f>VLOOKUP(--H7,相关定价!$A$4:$D$9,4,0)*VLOOKUP(--H7,相关定价!$A$4:$D$9,3,0)</f>
        <v>100</v>
      </c>
      <c r="J7" s="35">
        <v>0</v>
      </c>
      <c r="K7" s="36">
        <f>进阶值!G9</f>
        <v>2191</v>
      </c>
      <c r="L7" s="36">
        <v>0</v>
      </c>
      <c r="M7" s="36">
        <f>进阶值!I9</f>
        <v>869</v>
      </c>
      <c r="N7">
        <f t="shared" si="2"/>
        <v>0</v>
      </c>
      <c r="O7" s="17">
        <f>IF(N7&gt;0,VLOOKUP(C7,极品属性表调整!$A$2:$B$8,2,0),0)</f>
        <v>0</v>
      </c>
      <c r="P7">
        <f t="shared" si="3"/>
        <v>0</v>
      </c>
      <c r="Q7" s="17">
        <f>IF(P7&gt;0,VLOOKUP(C7,极品属性表调整!$A$9:$B$15,2,0),0)</f>
        <v>0</v>
      </c>
      <c r="R7">
        <f t="shared" si="4"/>
        <v>0</v>
      </c>
      <c r="S7" s="17">
        <f>IF(R7&gt;0,VLOOKUP(C7,极品属性表调整!$A$16:$B$22,2,0),0)</f>
        <v>0</v>
      </c>
      <c r="T7" s="57">
        <f>VLOOKUP(--H7,套装调整!$Q$19:$R$24,2,0)</f>
        <v>0</v>
      </c>
      <c r="U7">
        <v>42</v>
      </c>
      <c r="V7">
        <v>1</v>
      </c>
      <c r="W7">
        <v>1</v>
      </c>
      <c r="X7">
        <v>0</v>
      </c>
    </row>
    <row r="8" spans="1:24" x14ac:dyDescent="0.2">
      <c r="A8">
        <f t="shared" si="5"/>
        <v>1</v>
      </c>
      <c r="B8" s="11">
        <v>2</v>
      </c>
      <c r="C8">
        <v>7</v>
      </c>
      <c r="D8">
        <v>0</v>
      </c>
      <c r="E8">
        <v>40302</v>
      </c>
      <c r="F8">
        <f>VLOOKUP(C8,性价比!$T$25:$U$31,2,0)*VLOOKUP(--H8,性价比!$W$3:$Y$8,3,0)</f>
        <v>0</v>
      </c>
      <c r="G8" t="str">
        <f t="shared" si="1"/>
        <v>40302:0</v>
      </c>
      <c r="H8" s="25" t="str">
        <f t="shared" si="0"/>
        <v>20</v>
      </c>
      <c r="I8" s="37">
        <f>VLOOKUP(--H8,相关定价!$A$4:$D$9,4,0)*VLOOKUP(--H8,相关定价!$A$4:$D$9,3,0)</f>
        <v>100</v>
      </c>
      <c r="J8" s="35">
        <v>0</v>
      </c>
      <c r="K8" s="36">
        <f>进阶值!G10</f>
        <v>3899</v>
      </c>
      <c r="L8" s="36">
        <v>0</v>
      </c>
      <c r="M8" s="36">
        <f>进阶值!I10</f>
        <v>1546</v>
      </c>
      <c r="N8">
        <f t="shared" si="2"/>
        <v>0</v>
      </c>
      <c r="O8" s="17">
        <f>IF(N8&gt;0,VLOOKUP(C8,极品属性表调整!$A$2:$B$8,2,0),0)</f>
        <v>0</v>
      </c>
      <c r="P8">
        <f t="shared" si="3"/>
        <v>0</v>
      </c>
      <c r="Q8" s="17">
        <f>IF(P8&gt;0,VLOOKUP(C8,极品属性表调整!$A$9:$B$15,2,0),0)</f>
        <v>0</v>
      </c>
      <c r="R8">
        <f t="shared" si="4"/>
        <v>0</v>
      </c>
      <c r="S8" s="17">
        <f>IF(R8&gt;0,VLOOKUP(C8,极品属性表调整!$A$16:$B$22,2,0),0)</f>
        <v>0</v>
      </c>
      <c r="T8" s="57">
        <f>VLOOKUP(--H8,套装调整!$Q$19:$R$24,2,0)</f>
        <v>0</v>
      </c>
      <c r="U8">
        <v>51</v>
      </c>
      <c r="V8">
        <v>2</v>
      </c>
      <c r="W8">
        <v>1</v>
      </c>
      <c r="X8">
        <v>0</v>
      </c>
    </row>
    <row r="9" spans="1:24" x14ac:dyDescent="0.2">
      <c r="A9">
        <f t="shared" si="5"/>
        <v>1</v>
      </c>
      <c r="B9" s="12">
        <v>4</v>
      </c>
      <c r="C9">
        <v>1</v>
      </c>
      <c r="D9">
        <v>1</v>
      </c>
      <c r="E9">
        <v>40302</v>
      </c>
      <c r="F9">
        <f>VLOOKUP(C9,性价比!$T$25:$U$31,2,0)*VLOOKUP(--H9,性价比!$W$3:$Y$8,3,0)</f>
        <v>4</v>
      </c>
      <c r="G9" t="str">
        <f t="shared" si="1"/>
        <v>40302:4</v>
      </c>
      <c r="H9" s="25" t="str">
        <f t="shared" si="0"/>
        <v>41</v>
      </c>
      <c r="I9" s="37">
        <f>VLOOKUP(--H9,相关定价!$A$4:$D$9,4,0)*VLOOKUP(--H9,相关定价!$A$4:$D$9,3,0)</f>
        <v>900</v>
      </c>
      <c r="J9" s="35">
        <v>0</v>
      </c>
      <c r="K9" s="35">
        <f>进阶值!G11</f>
        <v>220</v>
      </c>
      <c r="L9" s="35">
        <v>0</v>
      </c>
      <c r="M9" s="35">
        <f>进阶值!I11</f>
        <v>88</v>
      </c>
      <c r="N9">
        <f t="shared" si="2"/>
        <v>2</v>
      </c>
      <c r="O9" s="17" t="str">
        <f>IF(N9&gt;0,VLOOKUP(C9,极品属性表调整!$A$2:$B$8,2,0),0)</f>
        <v>201</v>
      </c>
      <c r="P9">
        <f t="shared" si="3"/>
        <v>0</v>
      </c>
      <c r="Q9" s="17">
        <f>IF(P9&gt;0,VLOOKUP(C9,极品属性表调整!$A$9:$B$15,2,0),0)</f>
        <v>0</v>
      </c>
      <c r="R9">
        <f t="shared" si="4"/>
        <v>0</v>
      </c>
      <c r="S9" s="17">
        <f>IF(R9&gt;0,VLOOKUP(C9,极品属性表调整!$A$16:$B$22,2,0),0)</f>
        <v>0</v>
      </c>
      <c r="T9" s="57" t="str">
        <f>VLOOKUP(--H9,套装调整!$Q$19:$R$24,2,0)</f>
        <v>101,102</v>
      </c>
      <c r="U9">
        <v>52</v>
      </c>
      <c r="V9">
        <v>1</v>
      </c>
      <c r="W9">
        <v>1</v>
      </c>
      <c r="X9">
        <v>1</v>
      </c>
    </row>
    <row r="10" spans="1:24" x14ac:dyDescent="0.2">
      <c r="A10">
        <f t="shared" si="5"/>
        <v>1</v>
      </c>
      <c r="B10" s="12">
        <v>4</v>
      </c>
      <c r="C10">
        <v>2</v>
      </c>
      <c r="D10">
        <v>1</v>
      </c>
      <c r="E10">
        <v>40302</v>
      </c>
      <c r="F10">
        <f>VLOOKUP(C10,性价比!$T$25:$U$31,2,0)*VLOOKUP(--H10,性价比!$W$3:$Y$8,3,0)</f>
        <v>8</v>
      </c>
      <c r="G10" t="str">
        <f t="shared" si="1"/>
        <v>40302:8</v>
      </c>
      <c r="H10" s="25" t="str">
        <f t="shared" si="0"/>
        <v>41</v>
      </c>
      <c r="I10" s="37">
        <f>VLOOKUP(--H10,相关定价!$A$4:$D$9,4,0)*VLOOKUP(--H10,相关定价!$A$4:$D$9,3,0)</f>
        <v>900</v>
      </c>
      <c r="J10" s="35">
        <v>0</v>
      </c>
      <c r="K10" s="35">
        <f>进阶值!G12</f>
        <v>385</v>
      </c>
      <c r="L10" s="35">
        <v>0</v>
      </c>
      <c r="M10" s="35">
        <f>进阶值!I12</f>
        <v>154</v>
      </c>
      <c r="N10">
        <f t="shared" si="2"/>
        <v>2</v>
      </c>
      <c r="O10" s="17" t="str">
        <f>IF(N10&gt;0,VLOOKUP(C10,极品属性表调整!$A$2:$B$8,2,0),0)</f>
        <v>202</v>
      </c>
      <c r="P10">
        <f t="shared" si="3"/>
        <v>0</v>
      </c>
      <c r="Q10" s="17">
        <f>IF(P10&gt;0,VLOOKUP(C10,极品属性表调整!$A$9:$B$15,2,0),0)</f>
        <v>0</v>
      </c>
      <c r="R10">
        <f t="shared" si="4"/>
        <v>0</v>
      </c>
      <c r="S10" s="17">
        <f>IF(R10&gt;0,VLOOKUP(C10,极品属性表调整!$A$16:$B$22,2,0),0)</f>
        <v>0</v>
      </c>
      <c r="T10" s="57" t="str">
        <f>VLOOKUP(--H10,套装调整!$Q$19:$R$24,2,0)</f>
        <v>101,102</v>
      </c>
      <c r="U10">
        <v>53</v>
      </c>
      <c r="V10">
        <v>0</v>
      </c>
      <c r="W10">
        <v>1</v>
      </c>
      <c r="X10">
        <v>2</v>
      </c>
    </row>
    <row r="11" spans="1:24" x14ac:dyDescent="0.2">
      <c r="A11">
        <f t="shared" si="5"/>
        <v>1</v>
      </c>
      <c r="B11" s="12">
        <v>4</v>
      </c>
      <c r="C11">
        <v>3</v>
      </c>
      <c r="D11">
        <v>1</v>
      </c>
      <c r="E11">
        <v>40302</v>
      </c>
      <c r="F11">
        <f>VLOOKUP(C11,性价比!$T$25:$U$31,2,0)*VLOOKUP(--H11,性价比!$W$3:$Y$8,3,0)</f>
        <v>12</v>
      </c>
      <c r="G11" t="str">
        <f t="shared" si="1"/>
        <v>40302:12</v>
      </c>
      <c r="H11" s="25" t="str">
        <f t="shared" si="0"/>
        <v>41</v>
      </c>
      <c r="I11" s="37">
        <f>VLOOKUP(--H11,相关定价!$A$4:$D$9,4,0)*VLOOKUP(--H11,相关定价!$A$4:$D$9,3,0)</f>
        <v>900</v>
      </c>
      <c r="J11" s="35">
        <v>0</v>
      </c>
      <c r="K11" s="35">
        <f>进阶值!G13</f>
        <v>739</v>
      </c>
      <c r="L11" s="35">
        <v>0</v>
      </c>
      <c r="M11" s="35">
        <f>进阶值!I13</f>
        <v>294</v>
      </c>
      <c r="N11">
        <f t="shared" si="2"/>
        <v>2</v>
      </c>
      <c r="O11" s="17" t="str">
        <f>IF(N11&gt;0,VLOOKUP(C11,极品属性表调整!$A$2:$B$8,2,0),0)</f>
        <v>203</v>
      </c>
      <c r="P11">
        <f t="shared" si="3"/>
        <v>0</v>
      </c>
      <c r="Q11" s="17">
        <f>IF(P11&gt;0,VLOOKUP(C11,极品属性表调整!$A$9:$B$15,2,0),0)</f>
        <v>0</v>
      </c>
      <c r="R11">
        <f t="shared" si="4"/>
        <v>0</v>
      </c>
      <c r="S11" s="17">
        <f>IF(R11&gt;0,VLOOKUP(C11,极品属性表调整!$A$16:$B$22,2,0),0)</f>
        <v>0</v>
      </c>
      <c r="T11" s="57" t="str">
        <f>VLOOKUP(--H11,套装调整!$Q$19:$R$24,2,0)</f>
        <v>101,102</v>
      </c>
    </row>
    <row r="12" spans="1:24" x14ac:dyDescent="0.2">
      <c r="A12">
        <f t="shared" si="5"/>
        <v>1</v>
      </c>
      <c r="B12" s="12">
        <v>4</v>
      </c>
      <c r="C12">
        <v>4</v>
      </c>
      <c r="D12">
        <v>1</v>
      </c>
      <c r="E12">
        <v>40302</v>
      </c>
      <c r="F12">
        <f>VLOOKUP(C12,性价比!$T$25:$U$31,2,0)*VLOOKUP(--H12,性价比!$W$3:$Y$8,3,0)</f>
        <v>16</v>
      </c>
      <c r="G12" t="str">
        <f t="shared" si="1"/>
        <v>40302:16</v>
      </c>
      <c r="H12" s="25" t="str">
        <f t="shared" si="0"/>
        <v>41</v>
      </c>
      <c r="I12" s="37">
        <f>VLOOKUP(--H12,相关定价!$A$4:$D$9,4,0)*VLOOKUP(--H12,相关定价!$A$4:$D$9,3,0)</f>
        <v>900</v>
      </c>
      <c r="J12" s="35">
        <v>0</v>
      </c>
      <c r="K12" s="35">
        <f>进阶值!G14</f>
        <v>1360</v>
      </c>
      <c r="L12" s="35">
        <v>0</v>
      </c>
      <c r="M12" s="35">
        <f>进阶值!I14</f>
        <v>540</v>
      </c>
      <c r="N12">
        <f t="shared" si="2"/>
        <v>2</v>
      </c>
      <c r="O12" s="17" t="str">
        <f>IF(N12&gt;0,VLOOKUP(C12,极品属性表调整!$A$2:$B$8,2,0),0)</f>
        <v>204</v>
      </c>
      <c r="P12">
        <f t="shared" si="3"/>
        <v>0</v>
      </c>
      <c r="Q12" s="17">
        <f>IF(P12&gt;0,VLOOKUP(C12,极品属性表调整!$A$9:$B$15,2,0),0)</f>
        <v>0</v>
      </c>
      <c r="R12">
        <f t="shared" si="4"/>
        <v>0</v>
      </c>
      <c r="S12" s="17">
        <f>IF(R12&gt;0,VLOOKUP(C12,极品属性表调整!$A$16:$B$22,2,0),0)</f>
        <v>0</v>
      </c>
      <c r="T12" s="57" t="str">
        <f>VLOOKUP(--H12,套装调整!$Q$19:$R$24,2,0)</f>
        <v>101,102</v>
      </c>
    </row>
    <row r="13" spans="1:24" x14ac:dyDescent="0.2">
      <c r="A13">
        <f t="shared" si="5"/>
        <v>1</v>
      </c>
      <c r="B13" s="12">
        <v>4</v>
      </c>
      <c r="C13">
        <v>5</v>
      </c>
      <c r="D13">
        <v>1</v>
      </c>
      <c r="E13">
        <v>40302</v>
      </c>
      <c r="F13">
        <f>VLOOKUP(C13,性价比!$T$25:$U$31,2,0)*VLOOKUP(--H13,性价比!$W$3:$Y$8,3,0)</f>
        <v>20</v>
      </c>
      <c r="G13" t="str">
        <f t="shared" si="1"/>
        <v>40302:20</v>
      </c>
      <c r="H13" s="25" t="str">
        <f t="shared" si="0"/>
        <v>41</v>
      </c>
      <c r="I13" s="37">
        <f>VLOOKUP(--H13,相关定价!$A$4:$D$9,4,0)*VLOOKUP(--H13,相关定价!$A$4:$D$9,3,0)</f>
        <v>900</v>
      </c>
      <c r="J13" s="35">
        <v>0</v>
      </c>
      <c r="K13" s="35">
        <f>进阶值!G15</f>
        <v>2448</v>
      </c>
      <c r="L13" s="35">
        <v>0</v>
      </c>
      <c r="M13" s="35">
        <f>进阶值!I15</f>
        <v>972</v>
      </c>
      <c r="N13">
        <f t="shared" si="2"/>
        <v>2</v>
      </c>
      <c r="O13" s="17" t="str">
        <f>IF(N13&gt;0,VLOOKUP(C13,极品属性表调整!$A$2:$B$8,2,0),0)</f>
        <v>205</v>
      </c>
      <c r="P13">
        <f t="shared" si="3"/>
        <v>0</v>
      </c>
      <c r="Q13" s="17">
        <f>IF(P13&gt;0,VLOOKUP(C13,极品属性表调整!$A$9:$B$15,2,0),0)</f>
        <v>0</v>
      </c>
      <c r="R13">
        <f t="shared" si="4"/>
        <v>0</v>
      </c>
      <c r="S13" s="17">
        <f>IF(R13&gt;0,VLOOKUP(C13,极品属性表调整!$A$16:$B$22,2,0),0)</f>
        <v>0</v>
      </c>
      <c r="T13" s="57" t="str">
        <f>VLOOKUP(--H13,套装调整!$Q$19:$R$24,2,0)</f>
        <v>101,102</v>
      </c>
      <c r="V13" s="1" t="s">
        <v>44</v>
      </c>
    </row>
    <row r="14" spans="1:24" x14ac:dyDescent="0.2">
      <c r="A14">
        <f t="shared" si="5"/>
        <v>1</v>
      </c>
      <c r="B14" s="12">
        <v>4</v>
      </c>
      <c r="C14">
        <v>6</v>
      </c>
      <c r="D14">
        <v>1</v>
      </c>
      <c r="E14">
        <v>40302</v>
      </c>
      <c r="F14">
        <f>VLOOKUP(C14,性价比!$T$25:$U$31,2,0)*VLOOKUP(--H14,性价比!$W$3:$Y$8,3,0)</f>
        <v>24</v>
      </c>
      <c r="G14" t="str">
        <f t="shared" si="1"/>
        <v>40302:24</v>
      </c>
      <c r="H14" s="25" t="str">
        <f t="shared" si="0"/>
        <v>41</v>
      </c>
      <c r="I14" s="37">
        <f>VLOOKUP(--H14,相关定价!$A$4:$D$9,4,0)*VLOOKUP(--H14,相关定价!$A$4:$D$9,3,0)</f>
        <v>900</v>
      </c>
      <c r="J14" s="35">
        <v>0</v>
      </c>
      <c r="K14" s="35">
        <f>进阶值!G16</f>
        <v>4382</v>
      </c>
      <c r="L14" s="35">
        <v>0</v>
      </c>
      <c r="M14" s="35">
        <f>进阶值!I16</f>
        <v>1738</v>
      </c>
      <c r="N14">
        <f t="shared" si="2"/>
        <v>2</v>
      </c>
      <c r="O14" s="17" t="str">
        <f>IF(N14&gt;0,VLOOKUP(C14,极品属性表调整!$A$2:$B$8,2,0),0)</f>
        <v>206</v>
      </c>
      <c r="P14">
        <f t="shared" si="3"/>
        <v>0</v>
      </c>
      <c r="Q14" s="17">
        <f>IF(P14&gt;0,VLOOKUP(C14,极品属性表调整!$A$9:$B$15,2,0),0)</f>
        <v>0</v>
      </c>
      <c r="R14">
        <f t="shared" si="4"/>
        <v>0</v>
      </c>
      <c r="S14" s="17">
        <f>IF(R14&gt;0,VLOOKUP(C14,极品属性表调整!$A$16:$B$22,2,0),0)</f>
        <v>0</v>
      </c>
      <c r="T14" s="57" t="str">
        <f>VLOOKUP(--H14,套装调整!$Q$19:$R$24,2,0)</f>
        <v>101,102</v>
      </c>
      <c r="V14" s="1" t="s">
        <v>43</v>
      </c>
    </row>
    <row r="15" spans="1:24" x14ac:dyDescent="0.2">
      <c r="A15">
        <f t="shared" si="5"/>
        <v>1</v>
      </c>
      <c r="B15" s="12">
        <v>4</v>
      </c>
      <c r="C15">
        <v>7</v>
      </c>
      <c r="D15">
        <v>1</v>
      </c>
      <c r="E15">
        <v>40302</v>
      </c>
      <c r="F15">
        <f>VLOOKUP(C15,性价比!$T$25:$U$31,2,0)*VLOOKUP(--H15,性价比!$W$3:$Y$8,3,0)</f>
        <v>0</v>
      </c>
      <c r="G15" t="str">
        <f t="shared" si="1"/>
        <v>40302:0</v>
      </c>
      <c r="H15" s="25" t="str">
        <f t="shared" si="0"/>
        <v>41</v>
      </c>
      <c r="I15" s="37">
        <f>VLOOKUP(--H15,相关定价!$A$4:$D$9,4,0)*VLOOKUP(--H15,相关定价!$A$4:$D$9,3,0)</f>
        <v>900</v>
      </c>
      <c r="J15" s="35">
        <v>0</v>
      </c>
      <c r="K15" s="35">
        <f>进阶值!G17</f>
        <v>7799</v>
      </c>
      <c r="L15" s="35">
        <v>0</v>
      </c>
      <c r="M15" s="35">
        <f>进阶值!I17</f>
        <v>3092</v>
      </c>
      <c r="N15">
        <f t="shared" si="2"/>
        <v>2</v>
      </c>
      <c r="O15" s="17" t="str">
        <f>IF(N15&gt;0,VLOOKUP(C15,极品属性表调整!$A$2:$B$8,2,0),0)</f>
        <v>207</v>
      </c>
      <c r="P15">
        <f t="shared" si="3"/>
        <v>0</v>
      </c>
      <c r="Q15" s="17">
        <f>IF(P15&gt;0,VLOOKUP(C15,极品属性表调整!$A$9:$B$15,2,0),0)</f>
        <v>0</v>
      </c>
      <c r="R15">
        <f t="shared" si="4"/>
        <v>0</v>
      </c>
      <c r="S15" s="17">
        <f>IF(R15&gt;0,VLOOKUP(C15,极品属性表调整!$A$16:$B$22,2,0),0)</f>
        <v>0</v>
      </c>
      <c r="T15" s="57" t="str">
        <f>VLOOKUP(--H15,套装调整!$Q$19:$R$24,2,0)</f>
        <v>101,102</v>
      </c>
      <c r="V15" s="1" t="s">
        <v>45</v>
      </c>
    </row>
    <row r="16" spans="1:24" x14ac:dyDescent="0.2">
      <c r="A16">
        <f t="shared" si="5"/>
        <v>1</v>
      </c>
      <c r="B16" s="12">
        <v>4</v>
      </c>
      <c r="C16">
        <v>1</v>
      </c>
      <c r="D16">
        <v>2</v>
      </c>
      <c r="E16">
        <v>40302</v>
      </c>
      <c r="F16">
        <f>VLOOKUP(C16,性价比!$T$25:$U$31,2,0)*VLOOKUP(--H16,性价比!$W$3:$Y$8,3,0)</f>
        <v>4</v>
      </c>
      <c r="G16" t="str">
        <f t="shared" si="1"/>
        <v>40302:4</v>
      </c>
      <c r="H16" s="25" t="str">
        <f t="shared" si="0"/>
        <v>42</v>
      </c>
      <c r="I16" s="37">
        <f>VLOOKUP(--H16,相关定价!$A$4:$D$9,4,0)*VLOOKUP(--H16,相关定价!$A$4:$D$9,3,0)</f>
        <v>1200</v>
      </c>
      <c r="J16" s="35">
        <v>0</v>
      </c>
      <c r="K16" s="35">
        <f>K9</f>
        <v>220</v>
      </c>
      <c r="L16" s="35">
        <v>0</v>
      </c>
      <c r="M16" s="35">
        <f>M9</f>
        <v>88</v>
      </c>
      <c r="N16">
        <f t="shared" si="2"/>
        <v>1</v>
      </c>
      <c r="O16" s="17" t="str">
        <f>IF(N16&gt;0,VLOOKUP(C16,极品属性表调整!$A$2:$B$8,2,0),0)</f>
        <v>201</v>
      </c>
      <c r="P16">
        <f t="shared" si="3"/>
        <v>1</v>
      </c>
      <c r="Q16" s="17" t="str">
        <f>IF(P16&gt;0,VLOOKUP(C16,极品属性表调整!$A$9:$B$15,2,0),0)</f>
        <v>301</v>
      </c>
      <c r="R16">
        <f t="shared" si="4"/>
        <v>0</v>
      </c>
      <c r="S16" s="17">
        <f>IF(R16&gt;0,VLOOKUP(C16,极品属性表调整!$A$16:$B$22,2,0),0)</f>
        <v>0</v>
      </c>
      <c r="T16" s="57" t="str">
        <f>VLOOKUP(--H16,套装调整!$Q$19:$R$24,2,0)</f>
        <v>201,202</v>
      </c>
      <c r="V16" s="1" t="s">
        <v>46</v>
      </c>
    </row>
    <row r="17" spans="1:22" x14ac:dyDescent="0.2">
      <c r="A17">
        <f t="shared" si="5"/>
        <v>1</v>
      </c>
      <c r="B17" s="12">
        <v>4</v>
      </c>
      <c r="C17">
        <v>2</v>
      </c>
      <c r="D17">
        <v>2</v>
      </c>
      <c r="E17">
        <v>40302</v>
      </c>
      <c r="F17">
        <f>VLOOKUP(C17,性价比!$T$25:$U$31,2,0)*VLOOKUP(--H17,性价比!$W$3:$Y$8,3,0)</f>
        <v>8</v>
      </c>
      <c r="G17" t="str">
        <f t="shared" si="1"/>
        <v>40302:8</v>
      </c>
      <c r="H17" s="25" t="str">
        <f t="shared" si="0"/>
        <v>42</v>
      </c>
      <c r="I17" s="37">
        <f>VLOOKUP(--H17,相关定价!$A$4:$D$9,4,0)*VLOOKUP(--H17,相关定价!$A$4:$D$9,3,0)</f>
        <v>1200</v>
      </c>
      <c r="J17" s="35">
        <v>0</v>
      </c>
      <c r="K17" s="35">
        <f t="shared" ref="K17:M22" si="6">K10</f>
        <v>385</v>
      </c>
      <c r="L17" s="35">
        <v>0</v>
      </c>
      <c r="M17" s="35">
        <f t="shared" si="6"/>
        <v>154</v>
      </c>
      <c r="N17">
        <f t="shared" si="2"/>
        <v>1</v>
      </c>
      <c r="O17" s="17" t="str">
        <f>IF(N17&gt;0,VLOOKUP(C17,极品属性表调整!$A$2:$B$8,2,0),0)</f>
        <v>202</v>
      </c>
      <c r="P17">
        <f t="shared" si="3"/>
        <v>1</v>
      </c>
      <c r="Q17" s="17" t="str">
        <f>IF(P17&gt;0,VLOOKUP(C17,极品属性表调整!$A$9:$B$15,2,0),0)</f>
        <v>302</v>
      </c>
      <c r="R17">
        <f t="shared" si="4"/>
        <v>0</v>
      </c>
      <c r="S17" s="17">
        <f>IF(R17&gt;0,VLOOKUP(C17,极品属性表调整!$A$16:$B$22,2,0),0)</f>
        <v>0</v>
      </c>
      <c r="T17" s="57" t="str">
        <f>VLOOKUP(--H17,套装调整!$Q$19:$R$24,2,0)</f>
        <v>201,202</v>
      </c>
      <c r="V17" s="1" t="s">
        <v>47</v>
      </c>
    </row>
    <row r="18" spans="1:22" x14ac:dyDescent="0.2">
      <c r="A18">
        <f t="shared" si="5"/>
        <v>1</v>
      </c>
      <c r="B18" s="12">
        <v>4</v>
      </c>
      <c r="C18">
        <v>3</v>
      </c>
      <c r="D18">
        <v>2</v>
      </c>
      <c r="E18">
        <v>40302</v>
      </c>
      <c r="F18">
        <f>VLOOKUP(C18,性价比!$T$25:$U$31,2,0)*VLOOKUP(--H18,性价比!$W$3:$Y$8,3,0)</f>
        <v>12</v>
      </c>
      <c r="G18" t="str">
        <f t="shared" si="1"/>
        <v>40302:12</v>
      </c>
      <c r="H18" s="25" t="str">
        <f t="shared" si="0"/>
        <v>42</v>
      </c>
      <c r="I18" s="37">
        <f>VLOOKUP(--H18,相关定价!$A$4:$D$9,4,0)*VLOOKUP(--H18,相关定价!$A$4:$D$9,3,0)</f>
        <v>1200</v>
      </c>
      <c r="J18" s="35">
        <v>0</v>
      </c>
      <c r="K18" s="35">
        <f t="shared" si="6"/>
        <v>739</v>
      </c>
      <c r="L18" s="35">
        <v>0</v>
      </c>
      <c r="M18" s="35">
        <f t="shared" si="6"/>
        <v>294</v>
      </c>
      <c r="N18">
        <f t="shared" si="2"/>
        <v>1</v>
      </c>
      <c r="O18" s="17" t="str">
        <f>IF(N18&gt;0,VLOOKUP(C18,极品属性表调整!$A$2:$B$8,2,0),0)</f>
        <v>203</v>
      </c>
      <c r="P18">
        <f t="shared" si="3"/>
        <v>1</v>
      </c>
      <c r="Q18" s="17" t="str">
        <f>IF(P18&gt;0,VLOOKUP(C18,极品属性表调整!$A$9:$B$15,2,0),0)</f>
        <v>303</v>
      </c>
      <c r="R18">
        <f t="shared" si="4"/>
        <v>0</v>
      </c>
      <c r="S18" s="17">
        <f>IF(R18&gt;0,VLOOKUP(C18,极品属性表调整!$A$16:$B$22,2,0),0)</f>
        <v>0</v>
      </c>
      <c r="T18" s="57" t="str">
        <f>VLOOKUP(--H18,套装调整!$Q$19:$R$24,2,0)</f>
        <v>201,202</v>
      </c>
      <c r="V18" s="1" t="s">
        <v>48</v>
      </c>
    </row>
    <row r="19" spans="1:22" x14ac:dyDescent="0.2">
      <c r="A19">
        <f t="shared" si="5"/>
        <v>1</v>
      </c>
      <c r="B19" s="12">
        <v>4</v>
      </c>
      <c r="C19">
        <v>4</v>
      </c>
      <c r="D19">
        <v>2</v>
      </c>
      <c r="E19">
        <v>40302</v>
      </c>
      <c r="F19">
        <f>VLOOKUP(C19,性价比!$T$25:$U$31,2,0)*VLOOKUP(--H19,性价比!$W$3:$Y$8,3,0)</f>
        <v>16</v>
      </c>
      <c r="G19" t="str">
        <f t="shared" si="1"/>
        <v>40302:16</v>
      </c>
      <c r="H19" s="25" t="str">
        <f t="shared" si="0"/>
        <v>42</v>
      </c>
      <c r="I19" s="37">
        <f>VLOOKUP(--H19,相关定价!$A$4:$D$9,4,0)*VLOOKUP(--H19,相关定价!$A$4:$D$9,3,0)</f>
        <v>1200</v>
      </c>
      <c r="J19" s="35">
        <v>0</v>
      </c>
      <c r="K19" s="35">
        <f t="shared" si="6"/>
        <v>1360</v>
      </c>
      <c r="L19" s="35">
        <v>0</v>
      </c>
      <c r="M19" s="35">
        <f t="shared" si="6"/>
        <v>540</v>
      </c>
      <c r="N19">
        <f t="shared" si="2"/>
        <v>1</v>
      </c>
      <c r="O19" s="17" t="str">
        <f>IF(N19&gt;0,VLOOKUP(C19,极品属性表调整!$A$2:$B$8,2,0),0)</f>
        <v>204</v>
      </c>
      <c r="P19">
        <f t="shared" si="3"/>
        <v>1</v>
      </c>
      <c r="Q19" s="17" t="str">
        <f>IF(P19&gt;0,VLOOKUP(C19,极品属性表调整!$A$9:$B$15,2,0),0)</f>
        <v>304</v>
      </c>
      <c r="R19">
        <f t="shared" si="4"/>
        <v>0</v>
      </c>
      <c r="S19" s="17">
        <f>IF(R19&gt;0,VLOOKUP(C19,极品属性表调整!$A$16:$B$22,2,0),0)</f>
        <v>0</v>
      </c>
      <c r="T19" s="57" t="str">
        <f>VLOOKUP(--H19,套装调整!$Q$19:$R$24,2,0)</f>
        <v>201,202</v>
      </c>
    </row>
    <row r="20" spans="1:22" x14ac:dyDescent="0.2">
      <c r="A20">
        <f t="shared" si="5"/>
        <v>1</v>
      </c>
      <c r="B20" s="12">
        <v>4</v>
      </c>
      <c r="C20">
        <v>5</v>
      </c>
      <c r="D20">
        <v>2</v>
      </c>
      <c r="E20">
        <v>40302</v>
      </c>
      <c r="F20">
        <f>VLOOKUP(C20,性价比!$T$25:$U$31,2,0)*VLOOKUP(--H20,性价比!$W$3:$Y$8,3,0)</f>
        <v>20</v>
      </c>
      <c r="G20" t="str">
        <f t="shared" si="1"/>
        <v>40302:20</v>
      </c>
      <c r="H20" s="25" t="str">
        <f t="shared" si="0"/>
        <v>42</v>
      </c>
      <c r="I20" s="37">
        <f>VLOOKUP(--H20,相关定价!$A$4:$D$9,4,0)*VLOOKUP(--H20,相关定价!$A$4:$D$9,3,0)</f>
        <v>1200</v>
      </c>
      <c r="J20" s="35">
        <v>0</v>
      </c>
      <c r="K20" s="35">
        <f t="shared" si="6"/>
        <v>2448</v>
      </c>
      <c r="L20" s="35">
        <v>0</v>
      </c>
      <c r="M20" s="35">
        <f t="shared" si="6"/>
        <v>972</v>
      </c>
      <c r="N20">
        <f t="shared" si="2"/>
        <v>1</v>
      </c>
      <c r="O20" s="17" t="str">
        <f>IF(N20&gt;0,VLOOKUP(C20,极品属性表调整!$A$2:$B$8,2,0),0)</f>
        <v>205</v>
      </c>
      <c r="P20">
        <f t="shared" si="3"/>
        <v>1</v>
      </c>
      <c r="Q20" s="17" t="str">
        <f>IF(P20&gt;0,VLOOKUP(C20,极品属性表调整!$A$9:$B$15,2,0),0)</f>
        <v>305</v>
      </c>
      <c r="R20">
        <f t="shared" si="4"/>
        <v>0</v>
      </c>
      <c r="S20" s="17">
        <f>IF(R20&gt;0,VLOOKUP(C20,极品属性表调整!$A$16:$B$22,2,0),0)</f>
        <v>0</v>
      </c>
      <c r="T20" s="57" t="str">
        <f>VLOOKUP(--H20,套装调整!$Q$19:$R$24,2,0)</f>
        <v>201,202</v>
      </c>
    </row>
    <row r="21" spans="1:22" x14ac:dyDescent="0.2">
      <c r="A21">
        <f t="shared" si="5"/>
        <v>1</v>
      </c>
      <c r="B21" s="12">
        <v>4</v>
      </c>
      <c r="C21">
        <v>6</v>
      </c>
      <c r="D21">
        <v>2</v>
      </c>
      <c r="E21">
        <v>40302</v>
      </c>
      <c r="F21">
        <f>VLOOKUP(C21,性价比!$T$25:$U$31,2,0)*VLOOKUP(--H21,性价比!$W$3:$Y$8,3,0)</f>
        <v>24</v>
      </c>
      <c r="G21" t="str">
        <f t="shared" si="1"/>
        <v>40302:24</v>
      </c>
      <c r="H21" s="25" t="str">
        <f t="shared" si="0"/>
        <v>42</v>
      </c>
      <c r="I21" s="37">
        <f>VLOOKUP(--H21,相关定价!$A$4:$D$9,4,0)*VLOOKUP(--H21,相关定价!$A$4:$D$9,3,0)</f>
        <v>1200</v>
      </c>
      <c r="J21" s="35">
        <v>0</v>
      </c>
      <c r="K21" s="35">
        <f t="shared" si="6"/>
        <v>4382</v>
      </c>
      <c r="L21" s="35">
        <v>0</v>
      </c>
      <c r="M21" s="35">
        <f t="shared" si="6"/>
        <v>1738</v>
      </c>
      <c r="N21">
        <f t="shared" si="2"/>
        <v>1</v>
      </c>
      <c r="O21" s="17" t="str">
        <f>IF(N21&gt;0,VLOOKUP(C21,极品属性表调整!$A$2:$B$8,2,0),0)</f>
        <v>206</v>
      </c>
      <c r="P21">
        <f t="shared" si="3"/>
        <v>1</v>
      </c>
      <c r="Q21" s="17" t="str">
        <f>IF(P21&gt;0,VLOOKUP(C21,极品属性表调整!$A$9:$B$15,2,0),0)</f>
        <v>306</v>
      </c>
      <c r="R21">
        <f t="shared" si="4"/>
        <v>0</v>
      </c>
      <c r="S21" s="17">
        <f>IF(R21&gt;0,VLOOKUP(C21,极品属性表调整!$A$16:$B$22,2,0),0)</f>
        <v>0</v>
      </c>
      <c r="T21" s="57" t="str">
        <f>VLOOKUP(--H21,套装调整!$Q$19:$R$24,2,0)</f>
        <v>201,202</v>
      </c>
    </row>
    <row r="22" spans="1:22" x14ac:dyDescent="0.2">
      <c r="A22">
        <f t="shared" si="5"/>
        <v>1</v>
      </c>
      <c r="B22" s="12">
        <v>4</v>
      </c>
      <c r="C22">
        <v>7</v>
      </c>
      <c r="D22">
        <v>2</v>
      </c>
      <c r="E22">
        <v>40302</v>
      </c>
      <c r="F22">
        <f>VLOOKUP(C22,性价比!$T$25:$U$31,2,0)*VLOOKUP(--H22,性价比!$W$3:$Y$8,3,0)</f>
        <v>0</v>
      </c>
      <c r="G22" t="str">
        <f t="shared" si="1"/>
        <v>40302:0</v>
      </c>
      <c r="H22" s="25" t="str">
        <f t="shared" si="0"/>
        <v>42</v>
      </c>
      <c r="I22" s="37">
        <f>VLOOKUP(--H22,相关定价!$A$4:$D$9,4,0)*VLOOKUP(--H22,相关定价!$A$4:$D$9,3,0)</f>
        <v>1200</v>
      </c>
      <c r="J22" s="35">
        <v>0</v>
      </c>
      <c r="K22" s="35">
        <f t="shared" si="6"/>
        <v>7799</v>
      </c>
      <c r="L22" s="35">
        <v>0</v>
      </c>
      <c r="M22" s="35">
        <f t="shared" si="6"/>
        <v>3092</v>
      </c>
      <c r="N22">
        <f t="shared" si="2"/>
        <v>1</v>
      </c>
      <c r="O22" s="17" t="str">
        <f>IF(N22&gt;0,VLOOKUP(C22,极品属性表调整!$A$2:$B$8,2,0),0)</f>
        <v>207</v>
      </c>
      <c r="P22">
        <f t="shared" si="3"/>
        <v>1</v>
      </c>
      <c r="Q22" s="17" t="str">
        <f>IF(P22&gt;0,VLOOKUP(C22,极品属性表调整!$A$9:$B$15,2,0),0)</f>
        <v>307</v>
      </c>
      <c r="R22">
        <f t="shared" si="4"/>
        <v>0</v>
      </c>
      <c r="S22" s="17">
        <f>IF(R22&gt;0,VLOOKUP(C22,极品属性表调整!$A$16:$B$22,2,0),0)</f>
        <v>0</v>
      </c>
      <c r="T22" s="57" t="str">
        <f>VLOOKUP(--H22,套装调整!$Q$19:$R$24,2,0)</f>
        <v>201,202</v>
      </c>
    </row>
    <row r="23" spans="1:22" x14ac:dyDescent="0.2">
      <c r="A23">
        <f t="shared" si="5"/>
        <v>1</v>
      </c>
      <c r="B23" s="4">
        <v>5</v>
      </c>
      <c r="C23">
        <v>1</v>
      </c>
      <c r="D23">
        <v>1</v>
      </c>
      <c r="E23">
        <v>40302</v>
      </c>
      <c r="F23">
        <f>VLOOKUP(C23,性价比!$T$25:$U$31,2,0)*VLOOKUP(--H23,性价比!$W$3:$Y$8,3,0)</f>
        <v>6</v>
      </c>
      <c r="G23" t="str">
        <f t="shared" si="1"/>
        <v>40302:6</v>
      </c>
      <c r="H23" s="25" t="str">
        <f t="shared" si="0"/>
        <v>51</v>
      </c>
      <c r="I23" s="37">
        <f>VLOOKUP(--H23,相关定价!$A$4:$D$9,4,0)*VLOOKUP(--H23,相关定价!$A$4:$D$9,3,0)</f>
        <v>2100</v>
      </c>
      <c r="J23" s="35">
        <v>0</v>
      </c>
      <c r="K23" s="35">
        <f>进阶值!G18</f>
        <v>396</v>
      </c>
      <c r="L23" s="35">
        <v>0</v>
      </c>
      <c r="M23" s="35">
        <f>进阶值!I18</f>
        <v>158</v>
      </c>
      <c r="N23">
        <f t="shared" si="2"/>
        <v>2</v>
      </c>
      <c r="O23" s="17" t="str">
        <f>IF(N23&gt;0,VLOOKUP(C23,极品属性表调整!$A$2:$B$8,2,0),0)</f>
        <v>201</v>
      </c>
      <c r="P23">
        <f t="shared" si="3"/>
        <v>1</v>
      </c>
      <c r="Q23" s="17" t="str">
        <f>IF(P23&gt;0,VLOOKUP(C23,极品属性表调整!$A$9:$B$15,2,0),0)</f>
        <v>301</v>
      </c>
      <c r="R23">
        <f t="shared" si="4"/>
        <v>0</v>
      </c>
      <c r="S23" s="17">
        <f>IF(R23&gt;0,VLOOKUP(C23,极品属性表调整!$A$16:$B$22,2,0),0)</f>
        <v>0</v>
      </c>
      <c r="T23" s="57">
        <f>VLOOKUP(--H23,套装调整!$Q$19:$R$24,2,0)</f>
        <v>0</v>
      </c>
    </row>
    <row r="24" spans="1:22" x14ac:dyDescent="0.2">
      <c r="A24">
        <f t="shared" si="5"/>
        <v>1</v>
      </c>
      <c r="B24" s="4">
        <v>5</v>
      </c>
      <c r="C24">
        <v>2</v>
      </c>
      <c r="D24">
        <v>1</v>
      </c>
      <c r="E24">
        <v>40302</v>
      </c>
      <c r="F24">
        <f>VLOOKUP(C24,性价比!$T$25:$U$31,2,0)*VLOOKUP(--H24,性价比!$W$3:$Y$8,3,0)</f>
        <v>12</v>
      </c>
      <c r="G24" t="str">
        <f t="shared" si="1"/>
        <v>40302:12</v>
      </c>
      <c r="H24" s="25" t="str">
        <f t="shared" si="0"/>
        <v>51</v>
      </c>
      <c r="I24" s="37">
        <f>VLOOKUP(--H24,相关定价!$A$4:$D$9,4,0)*VLOOKUP(--H24,相关定价!$A$4:$D$9,3,0)</f>
        <v>2100</v>
      </c>
      <c r="J24" s="35">
        <v>0</v>
      </c>
      <c r="K24" s="35">
        <f>进阶值!G19</f>
        <v>693</v>
      </c>
      <c r="L24" s="35">
        <v>0</v>
      </c>
      <c r="M24" s="35">
        <f>进阶值!I19</f>
        <v>277</v>
      </c>
      <c r="N24">
        <f t="shared" si="2"/>
        <v>2</v>
      </c>
      <c r="O24" s="17" t="str">
        <f>IF(N24&gt;0,VLOOKUP(C24,极品属性表调整!$A$2:$B$8,2,0),0)</f>
        <v>202</v>
      </c>
      <c r="P24">
        <f t="shared" si="3"/>
        <v>1</v>
      </c>
      <c r="Q24" s="17" t="str">
        <f>IF(P24&gt;0,VLOOKUP(C24,极品属性表调整!$A$9:$B$15,2,0),0)</f>
        <v>302</v>
      </c>
      <c r="R24">
        <f t="shared" si="4"/>
        <v>0</v>
      </c>
      <c r="S24" s="17">
        <f>IF(R24&gt;0,VLOOKUP(C24,极品属性表调整!$A$16:$B$22,2,0),0)</f>
        <v>0</v>
      </c>
      <c r="T24" s="57">
        <f>VLOOKUP(--H24,套装调整!$Q$19:$R$24,2,0)</f>
        <v>0</v>
      </c>
    </row>
    <row r="25" spans="1:22" x14ac:dyDescent="0.2">
      <c r="A25">
        <f t="shared" si="5"/>
        <v>1</v>
      </c>
      <c r="B25" s="4">
        <v>5</v>
      </c>
      <c r="C25">
        <v>3</v>
      </c>
      <c r="D25">
        <v>1</v>
      </c>
      <c r="E25">
        <v>40302</v>
      </c>
      <c r="F25">
        <f>VLOOKUP(C25,性价比!$T$25:$U$31,2,0)*VLOOKUP(--H25,性价比!$W$3:$Y$8,3,0)</f>
        <v>18</v>
      </c>
      <c r="G25" t="str">
        <f t="shared" si="1"/>
        <v>40302:18</v>
      </c>
      <c r="H25" s="25" t="str">
        <f t="shared" si="0"/>
        <v>51</v>
      </c>
      <c r="I25" s="37">
        <f>VLOOKUP(--H25,相关定价!$A$4:$D$9,4,0)*VLOOKUP(--H25,相关定价!$A$4:$D$9,3,0)</f>
        <v>2100</v>
      </c>
      <c r="J25" s="35">
        <v>0</v>
      </c>
      <c r="K25" s="35">
        <f>进阶值!G20</f>
        <v>1330</v>
      </c>
      <c r="L25" s="35">
        <v>0</v>
      </c>
      <c r="M25" s="35">
        <f>进阶值!I20</f>
        <v>529</v>
      </c>
      <c r="N25">
        <f t="shared" si="2"/>
        <v>2</v>
      </c>
      <c r="O25" s="17" t="str">
        <f>IF(N25&gt;0,VLOOKUP(C25,极品属性表调整!$A$2:$B$8,2,0),0)</f>
        <v>203</v>
      </c>
      <c r="P25">
        <f t="shared" si="3"/>
        <v>1</v>
      </c>
      <c r="Q25" s="17" t="str">
        <f>IF(P25&gt;0,VLOOKUP(C25,极品属性表调整!$A$9:$B$15,2,0),0)</f>
        <v>303</v>
      </c>
      <c r="R25">
        <f t="shared" si="4"/>
        <v>0</v>
      </c>
      <c r="S25" s="17">
        <f>IF(R25&gt;0,VLOOKUP(C25,极品属性表调整!$A$16:$B$22,2,0),0)</f>
        <v>0</v>
      </c>
      <c r="T25" s="57">
        <f>VLOOKUP(--H25,套装调整!$Q$19:$R$24,2,0)</f>
        <v>0</v>
      </c>
    </row>
    <row r="26" spans="1:22" x14ac:dyDescent="0.2">
      <c r="A26">
        <f t="shared" si="5"/>
        <v>1</v>
      </c>
      <c r="B26" s="4">
        <v>5</v>
      </c>
      <c r="C26">
        <v>4</v>
      </c>
      <c r="D26">
        <v>1</v>
      </c>
      <c r="E26">
        <v>40302</v>
      </c>
      <c r="F26">
        <f>VLOOKUP(C26,性价比!$T$25:$U$31,2,0)*VLOOKUP(--H26,性价比!$W$3:$Y$8,3,0)</f>
        <v>24</v>
      </c>
      <c r="G26" t="str">
        <f t="shared" si="1"/>
        <v>40302:24</v>
      </c>
      <c r="H26" s="25" t="str">
        <f t="shared" si="0"/>
        <v>51</v>
      </c>
      <c r="I26" s="37">
        <f>VLOOKUP(--H26,相关定价!$A$4:$D$9,4,0)*VLOOKUP(--H26,相关定价!$A$4:$D$9,3,0)</f>
        <v>2100</v>
      </c>
      <c r="J26" s="35">
        <v>0</v>
      </c>
      <c r="K26" s="35">
        <f>进阶值!G21</f>
        <v>2448</v>
      </c>
      <c r="L26" s="35">
        <v>0</v>
      </c>
      <c r="M26" s="35">
        <f>进阶值!I21</f>
        <v>972</v>
      </c>
      <c r="N26">
        <f t="shared" si="2"/>
        <v>2</v>
      </c>
      <c r="O26" s="17" t="str">
        <f>IF(N26&gt;0,VLOOKUP(C26,极品属性表调整!$A$2:$B$8,2,0),0)</f>
        <v>204</v>
      </c>
      <c r="P26">
        <f t="shared" si="3"/>
        <v>1</v>
      </c>
      <c r="Q26" s="17" t="str">
        <f>IF(P26&gt;0,VLOOKUP(C26,极品属性表调整!$A$9:$B$15,2,0),0)</f>
        <v>304</v>
      </c>
      <c r="R26">
        <f t="shared" si="4"/>
        <v>0</v>
      </c>
      <c r="S26" s="17">
        <f>IF(R26&gt;0,VLOOKUP(C26,极品属性表调整!$A$16:$B$22,2,0),0)</f>
        <v>0</v>
      </c>
      <c r="T26" s="57">
        <f>VLOOKUP(--H26,套装调整!$Q$19:$R$24,2,0)</f>
        <v>0</v>
      </c>
    </row>
    <row r="27" spans="1:22" x14ac:dyDescent="0.2">
      <c r="A27">
        <f t="shared" si="5"/>
        <v>1</v>
      </c>
      <c r="B27" s="4">
        <v>5</v>
      </c>
      <c r="C27">
        <v>5</v>
      </c>
      <c r="D27">
        <v>1</v>
      </c>
      <c r="E27">
        <v>40302</v>
      </c>
      <c r="F27">
        <f>VLOOKUP(C27,性价比!$T$25:$U$31,2,0)*VLOOKUP(--H27,性价比!$W$3:$Y$8,3,0)</f>
        <v>30</v>
      </c>
      <c r="G27" t="str">
        <f t="shared" si="1"/>
        <v>40302:30</v>
      </c>
      <c r="H27" s="25" t="str">
        <f t="shared" si="0"/>
        <v>51</v>
      </c>
      <c r="I27" s="37">
        <f>VLOOKUP(--H27,相关定价!$A$4:$D$9,4,0)*VLOOKUP(--H27,相关定价!$A$4:$D$9,3,0)</f>
        <v>2100</v>
      </c>
      <c r="J27" s="35">
        <v>0</v>
      </c>
      <c r="K27" s="35">
        <f>进阶值!G22</f>
        <v>4406</v>
      </c>
      <c r="L27" s="35">
        <v>0</v>
      </c>
      <c r="M27" s="35">
        <f>进阶值!I22</f>
        <v>1749</v>
      </c>
      <c r="N27">
        <f t="shared" si="2"/>
        <v>2</v>
      </c>
      <c r="O27" s="17" t="str">
        <f>IF(N27&gt;0,VLOOKUP(C27,极品属性表调整!$A$2:$B$8,2,0),0)</f>
        <v>205</v>
      </c>
      <c r="P27">
        <f t="shared" si="3"/>
        <v>1</v>
      </c>
      <c r="Q27" s="17" t="str">
        <f>IF(P27&gt;0,VLOOKUP(C27,极品属性表调整!$A$9:$B$15,2,0),0)</f>
        <v>305</v>
      </c>
      <c r="R27">
        <f t="shared" si="4"/>
        <v>0</v>
      </c>
      <c r="S27" s="17">
        <f>IF(R27&gt;0,VLOOKUP(C27,极品属性表调整!$A$16:$B$22,2,0),0)</f>
        <v>0</v>
      </c>
      <c r="T27" s="57">
        <f>VLOOKUP(--H27,套装调整!$Q$19:$R$24,2,0)</f>
        <v>0</v>
      </c>
    </row>
    <row r="28" spans="1:22" x14ac:dyDescent="0.2">
      <c r="A28">
        <f t="shared" si="5"/>
        <v>1</v>
      </c>
      <c r="B28" s="4">
        <v>5</v>
      </c>
      <c r="C28">
        <v>6</v>
      </c>
      <c r="D28">
        <v>1</v>
      </c>
      <c r="E28">
        <v>40302</v>
      </c>
      <c r="F28">
        <f>VLOOKUP(C28,性价比!$T$25:$U$31,2,0)*VLOOKUP(--H28,性价比!$W$3:$Y$8,3,0)</f>
        <v>36</v>
      </c>
      <c r="G28" t="str">
        <f t="shared" si="1"/>
        <v>40302:36</v>
      </c>
      <c r="H28" s="25" t="str">
        <f t="shared" si="0"/>
        <v>51</v>
      </c>
      <c r="I28" s="37">
        <f>VLOOKUP(--H28,相关定价!$A$4:$D$9,4,0)*VLOOKUP(--H28,相关定价!$A$4:$D$9,3,0)</f>
        <v>2100</v>
      </c>
      <c r="J28" s="35">
        <v>0</v>
      </c>
      <c r="K28" s="35">
        <f>进阶值!G23</f>
        <v>7887</v>
      </c>
      <c r="L28" s="35">
        <v>0</v>
      </c>
      <c r="M28" s="35">
        <f>进阶值!I23</f>
        <v>3128</v>
      </c>
      <c r="N28">
        <f t="shared" si="2"/>
        <v>2</v>
      </c>
      <c r="O28" s="17" t="str">
        <f>IF(N28&gt;0,VLOOKUP(C28,极品属性表调整!$A$2:$B$8,2,0),0)</f>
        <v>206</v>
      </c>
      <c r="P28">
        <f t="shared" si="3"/>
        <v>1</v>
      </c>
      <c r="Q28" s="17" t="str">
        <f>IF(P28&gt;0,VLOOKUP(C28,极品属性表调整!$A$9:$B$15,2,0),0)</f>
        <v>306</v>
      </c>
      <c r="R28">
        <f t="shared" si="4"/>
        <v>0</v>
      </c>
      <c r="S28" s="17">
        <f>IF(R28&gt;0,VLOOKUP(C28,极品属性表调整!$A$16:$B$22,2,0),0)</f>
        <v>0</v>
      </c>
      <c r="T28" s="57">
        <f>VLOOKUP(--H28,套装调整!$Q$19:$R$24,2,0)</f>
        <v>0</v>
      </c>
    </row>
    <row r="29" spans="1:22" x14ac:dyDescent="0.2">
      <c r="A29">
        <f t="shared" si="5"/>
        <v>1</v>
      </c>
      <c r="B29" s="4">
        <v>5</v>
      </c>
      <c r="C29">
        <v>7</v>
      </c>
      <c r="D29">
        <v>1</v>
      </c>
      <c r="E29">
        <v>40302</v>
      </c>
      <c r="F29">
        <f>VLOOKUP(C29,性价比!$T$25:$U$31,2,0)*VLOOKUP(--H29,性价比!$W$3:$Y$8,3,0)</f>
        <v>0</v>
      </c>
      <c r="G29" t="str">
        <f t="shared" si="1"/>
        <v>40302:0</v>
      </c>
      <c r="H29" s="25" t="str">
        <f t="shared" si="0"/>
        <v>51</v>
      </c>
      <c r="I29" s="37">
        <f>VLOOKUP(--H29,相关定价!$A$4:$D$9,4,0)*VLOOKUP(--H29,相关定价!$A$4:$D$9,3,0)</f>
        <v>2100</v>
      </c>
      <c r="J29" s="35">
        <v>0</v>
      </c>
      <c r="K29" s="35">
        <f>进阶值!G24</f>
        <v>14039</v>
      </c>
      <c r="L29" s="35">
        <v>0</v>
      </c>
      <c r="M29" s="35">
        <f>进阶值!I24</f>
        <v>5565</v>
      </c>
      <c r="N29">
        <f t="shared" si="2"/>
        <v>2</v>
      </c>
      <c r="O29" s="17" t="str">
        <f>IF(N29&gt;0,VLOOKUP(C29,极品属性表调整!$A$2:$B$8,2,0),0)</f>
        <v>207</v>
      </c>
      <c r="P29">
        <f t="shared" si="3"/>
        <v>1</v>
      </c>
      <c r="Q29" s="17" t="str">
        <f>IF(P29&gt;0,VLOOKUP(C29,极品属性表调整!$A$9:$B$15,2,0),0)</f>
        <v>307</v>
      </c>
      <c r="R29">
        <f t="shared" si="4"/>
        <v>0</v>
      </c>
      <c r="S29" s="17">
        <f>IF(R29&gt;0,VLOOKUP(C29,极品属性表调整!$A$16:$B$22,2,0),0)</f>
        <v>0</v>
      </c>
      <c r="T29" s="57">
        <f>VLOOKUP(--H29,套装调整!$Q$19:$R$24,2,0)</f>
        <v>0</v>
      </c>
    </row>
    <row r="30" spans="1:22" x14ac:dyDescent="0.2">
      <c r="A30">
        <f t="shared" si="5"/>
        <v>1</v>
      </c>
      <c r="B30" s="4">
        <v>5</v>
      </c>
      <c r="C30">
        <v>1</v>
      </c>
      <c r="D30">
        <v>2</v>
      </c>
      <c r="E30">
        <v>40302</v>
      </c>
      <c r="F30">
        <f>VLOOKUP(C30,性价比!$T$25:$U$31,2,0)*VLOOKUP(--H30,性价比!$W$3:$Y$8,3,0)</f>
        <v>6</v>
      </c>
      <c r="G30" t="str">
        <f t="shared" si="1"/>
        <v>40302:6</v>
      </c>
      <c r="H30" s="25" t="str">
        <f t="shared" si="0"/>
        <v>52</v>
      </c>
      <c r="I30" s="37">
        <f>VLOOKUP(--H30,相关定价!$A$4:$D$9,4,0)*VLOOKUP(--H30,相关定价!$A$4:$D$9,3,0)</f>
        <v>2700</v>
      </c>
      <c r="J30" s="35">
        <v>0</v>
      </c>
      <c r="K30" s="35">
        <f>K23</f>
        <v>396</v>
      </c>
      <c r="L30" s="35">
        <v>0</v>
      </c>
      <c r="M30" s="35">
        <f>M23</f>
        <v>158</v>
      </c>
      <c r="N30">
        <f t="shared" si="2"/>
        <v>1</v>
      </c>
      <c r="O30" s="17" t="str">
        <f>IF(N30&gt;0,VLOOKUP(C30,极品属性表调整!$A$2:$B$8,2,0),0)</f>
        <v>201</v>
      </c>
      <c r="P30">
        <f t="shared" si="3"/>
        <v>1</v>
      </c>
      <c r="Q30" s="17" t="str">
        <f>IF(P30&gt;0,VLOOKUP(C30,极品属性表调整!$A$9:$B$15,2,0),0)</f>
        <v>301</v>
      </c>
      <c r="R30">
        <f t="shared" si="4"/>
        <v>1</v>
      </c>
      <c r="S30" s="17" t="str">
        <f>IF(R30&gt;0,VLOOKUP(C30,极品属性表调整!$A$16:$B$22,2,0),0)</f>
        <v>401</v>
      </c>
      <c r="T30" s="57" t="str">
        <f>VLOOKUP(--H30,套装调整!$Q$19:$R$24,2,0)</f>
        <v>301,302</v>
      </c>
    </row>
    <row r="31" spans="1:22" x14ac:dyDescent="0.2">
      <c r="A31">
        <f t="shared" si="5"/>
        <v>1</v>
      </c>
      <c r="B31" s="4">
        <v>5</v>
      </c>
      <c r="C31">
        <v>2</v>
      </c>
      <c r="D31">
        <v>2</v>
      </c>
      <c r="E31">
        <v>40302</v>
      </c>
      <c r="F31">
        <f>VLOOKUP(C31,性价比!$T$25:$U$31,2,0)*VLOOKUP(--H31,性价比!$W$3:$Y$8,3,0)</f>
        <v>12</v>
      </c>
      <c r="G31" t="str">
        <f t="shared" si="1"/>
        <v>40302:12</v>
      </c>
      <c r="H31" s="25" t="str">
        <f t="shared" si="0"/>
        <v>52</v>
      </c>
      <c r="I31" s="37">
        <f>VLOOKUP(--H31,相关定价!$A$4:$D$9,4,0)*VLOOKUP(--H31,相关定价!$A$4:$D$9,3,0)</f>
        <v>2700</v>
      </c>
      <c r="J31" s="35">
        <v>0</v>
      </c>
      <c r="K31" s="35">
        <f t="shared" ref="K31:M36" si="7">K24</f>
        <v>693</v>
      </c>
      <c r="L31" s="35">
        <v>0</v>
      </c>
      <c r="M31" s="35">
        <f t="shared" si="7"/>
        <v>277</v>
      </c>
      <c r="N31">
        <f t="shared" si="2"/>
        <v>1</v>
      </c>
      <c r="O31" s="17" t="str">
        <f>IF(N31&gt;0,VLOOKUP(C31,极品属性表调整!$A$2:$B$8,2,0),0)</f>
        <v>202</v>
      </c>
      <c r="P31">
        <f t="shared" si="3"/>
        <v>1</v>
      </c>
      <c r="Q31" s="17" t="str">
        <f>IF(P31&gt;0,VLOOKUP(C31,极品属性表调整!$A$9:$B$15,2,0),0)</f>
        <v>302</v>
      </c>
      <c r="R31">
        <f t="shared" si="4"/>
        <v>1</v>
      </c>
      <c r="S31" s="17" t="str">
        <f>IF(R31&gt;0,VLOOKUP(C31,极品属性表调整!$A$16:$B$22,2,0),0)</f>
        <v>402</v>
      </c>
      <c r="T31" s="57" t="str">
        <f>VLOOKUP(--H31,套装调整!$Q$19:$R$24,2,0)</f>
        <v>301,302</v>
      </c>
    </row>
    <row r="32" spans="1:22" x14ac:dyDescent="0.2">
      <c r="A32">
        <f t="shared" si="5"/>
        <v>1</v>
      </c>
      <c r="B32" s="4">
        <v>5</v>
      </c>
      <c r="C32">
        <v>3</v>
      </c>
      <c r="D32">
        <v>2</v>
      </c>
      <c r="E32">
        <v>40302</v>
      </c>
      <c r="F32">
        <f>VLOOKUP(C32,性价比!$T$25:$U$31,2,0)*VLOOKUP(--H32,性价比!$W$3:$Y$8,3,0)</f>
        <v>18</v>
      </c>
      <c r="G32" t="str">
        <f t="shared" si="1"/>
        <v>40302:18</v>
      </c>
      <c r="H32" s="25" t="str">
        <f t="shared" si="0"/>
        <v>52</v>
      </c>
      <c r="I32" s="37">
        <f>VLOOKUP(--H32,相关定价!$A$4:$D$9,4,0)*VLOOKUP(--H32,相关定价!$A$4:$D$9,3,0)</f>
        <v>2700</v>
      </c>
      <c r="J32" s="35">
        <v>0</v>
      </c>
      <c r="K32" s="35">
        <f t="shared" si="7"/>
        <v>1330</v>
      </c>
      <c r="L32" s="35">
        <v>0</v>
      </c>
      <c r="M32" s="35">
        <f t="shared" si="7"/>
        <v>529</v>
      </c>
      <c r="N32">
        <f t="shared" si="2"/>
        <v>1</v>
      </c>
      <c r="O32" s="17" t="str">
        <f>IF(N32&gt;0,VLOOKUP(C32,极品属性表调整!$A$2:$B$8,2,0),0)</f>
        <v>203</v>
      </c>
      <c r="P32">
        <f t="shared" si="3"/>
        <v>1</v>
      </c>
      <c r="Q32" s="17" t="str">
        <f>IF(P32&gt;0,VLOOKUP(C32,极品属性表调整!$A$9:$B$15,2,0),0)</f>
        <v>303</v>
      </c>
      <c r="R32">
        <f t="shared" si="4"/>
        <v>1</v>
      </c>
      <c r="S32" s="17" t="str">
        <f>IF(R32&gt;0,VLOOKUP(C32,极品属性表调整!$A$16:$B$22,2,0),0)</f>
        <v>403</v>
      </c>
      <c r="T32" s="57" t="str">
        <f>VLOOKUP(--H32,套装调整!$Q$19:$R$24,2,0)</f>
        <v>301,302</v>
      </c>
    </row>
    <row r="33" spans="1:20" x14ac:dyDescent="0.2">
      <c r="A33">
        <f t="shared" si="5"/>
        <v>1</v>
      </c>
      <c r="B33" s="4">
        <v>5</v>
      </c>
      <c r="C33">
        <v>4</v>
      </c>
      <c r="D33">
        <v>2</v>
      </c>
      <c r="E33">
        <v>40302</v>
      </c>
      <c r="F33">
        <f>VLOOKUP(C33,性价比!$T$25:$U$31,2,0)*VLOOKUP(--H33,性价比!$W$3:$Y$8,3,0)</f>
        <v>24</v>
      </c>
      <c r="G33" t="str">
        <f t="shared" si="1"/>
        <v>40302:24</v>
      </c>
      <c r="H33" s="25" t="str">
        <f t="shared" si="0"/>
        <v>52</v>
      </c>
      <c r="I33" s="37">
        <f>VLOOKUP(--H33,相关定价!$A$4:$D$9,4,0)*VLOOKUP(--H33,相关定价!$A$4:$D$9,3,0)</f>
        <v>2700</v>
      </c>
      <c r="J33" s="35">
        <v>0</v>
      </c>
      <c r="K33" s="35">
        <f t="shared" si="7"/>
        <v>2448</v>
      </c>
      <c r="L33" s="35">
        <v>0</v>
      </c>
      <c r="M33" s="35">
        <f t="shared" si="7"/>
        <v>972</v>
      </c>
      <c r="N33">
        <f t="shared" si="2"/>
        <v>1</v>
      </c>
      <c r="O33" s="17" t="str">
        <f>IF(N33&gt;0,VLOOKUP(C33,极品属性表调整!$A$2:$B$8,2,0),0)</f>
        <v>204</v>
      </c>
      <c r="P33">
        <f t="shared" si="3"/>
        <v>1</v>
      </c>
      <c r="Q33" s="17" t="str">
        <f>IF(P33&gt;0,VLOOKUP(C33,极品属性表调整!$A$9:$B$15,2,0),0)</f>
        <v>304</v>
      </c>
      <c r="R33">
        <f t="shared" si="4"/>
        <v>1</v>
      </c>
      <c r="S33" s="17" t="str">
        <f>IF(R33&gt;0,VLOOKUP(C33,极品属性表调整!$A$16:$B$22,2,0),0)</f>
        <v>404</v>
      </c>
      <c r="T33" s="57" t="str">
        <f>VLOOKUP(--H33,套装调整!$Q$19:$R$24,2,0)</f>
        <v>301,302</v>
      </c>
    </row>
    <row r="34" spans="1:20" x14ac:dyDescent="0.2">
      <c r="A34">
        <f t="shared" si="5"/>
        <v>1</v>
      </c>
      <c r="B34" s="4">
        <v>5</v>
      </c>
      <c r="C34">
        <v>5</v>
      </c>
      <c r="D34">
        <v>2</v>
      </c>
      <c r="E34">
        <v>40302</v>
      </c>
      <c r="F34">
        <f>VLOOKUP(C34,性价比!$T$25:$U$31,2,0)*VLOOKUP(--H34,性价比!$W$3:$Y$8,3,0)</f>
        <v>30</v>
      </c>
      <c r="G34" t="str">
        <f t="shared" si="1"/>
        <v>40302:30</v>
      </c>
      <c r="H34" s="25" t="str">
        <f t="shared" ref="H34:H65" si="8">B34&amp;D34</f>
        <v>52</v>
      </c>
      <c r="I34" s="37">
        <f>VLOOKUP(--H34,相关定价!$A$4:$D$9,4,0)*VLOOKUP(--H34,相关定价!$A$4:$D$9,3,0)</f>
        <v>2700</v>
      </c>
      <c r="J34" s="35">
        <v>0</v>
      </c>
      <c r="K34" s="35">
        <f t="shared" si="7"/>
        <v>4406</v>
      </c>
      <c r="L34" s="35">
        <v>0</v>
      </c>
      <c r="M34" s="35">
        <f t="shared" si="7"/>
        <v>1749</v>
      </c>
      <c r="N34">
        <f t="shared" si="2"/>
        <v>1</v>
      </c>
      <c r="O34" s="17" t="str">
        <f>IF(N34&gt;0,VLOOKUP(C34,极品属性表调整!$A$2:$B$8,2,0),0)</f>
        <v>205</v>
      </c>
      <c r="P34">
        <f t="shared" si="3"/>
        <v>1</v>
      </c>
      <c r="Q34" s="17" t="str">
        <f>IF(P34&gt;0,VLOOKUP(C34,极品属性表调整!$A$9:$B$15,2,0),0)</f>
        <v>305</v>
      </c>
      <c r="R34">
        <f t="shared" si="4"/>
        <v>1</v>
      </c>
      <c r="S34" s="17" t="str">
        <f>IF(R34&gt;0,VLOOKUP(C34,极品属性表调整!$A$16:$B$22,2,0),0)</f>
        <v>405</v>
      </c>
      <c r="T34" s="57" t="str">
        <f>VLOOKUP(--H34,套装调整!$Q$19:$R$24,2,0)</f>
        <v>301,302</v>
      </c>
    </row>
    <row r="35" spans="1:20" x14ac:dyDescent="0.2">
      <c r="A35">
        <f t="shared" si="5"/>
        <v>1</v>
      </c>
      <c r="B35" s="4">
        <v>5</v>
      </c>
      <c r="C35">
        <v>6</v>
      </c>
      <c r="D35">
        <v>2</v>
      </c>
      <c r="E35">
        <v>40302</v>
      </c>
      <c r="F35">
        <f>VLOOKUP(C35,性价比!$T$25:$U$31,2,0)*VLOOKUP(--H35,性价比!$W$3:$Y$8,3,0)</f>
        <v>36</v>
      </c>
      <c r="G35" t="str">
        <f t="shared" si="1"/>
        <v>40302:36</v>
      </c>
      <c r="H35" s="25" t="str">
        <f t="shared" si="8"/>
        <v>52</v>
      </c>
      <c r="I35" s="37">
        <f>VLOOKUP(--H35,相关定价!$A$4:$D$9,4,0)*VLOOKUP(--H35,相关定价!$A$4:$D$9,3,0)</f>
        <v>2700</v>
      </c>
      <c r="J35" s="35">
        <v>0</v>
      </c>
      <c r="K35" s="35">
        <f t="shared" si="7"/>
        <v>7887</v>
      </c>
      <c r="L35" s="35">
        <v>0</v>
      </c>
      <c r="M35" s="35">
        <f t="shared" si="7"/>
        <v>3128</v>
      </c>
      <c r="N35">
        <f t="shared" si="2"/>
        <v>1</v>
      </c>
      <c r="O35" s="17" t="str">
        <f>IF(N35&gt;0,VLOOKUP(C35,极品属性表调整!$A$2:$B$8,2,0),0)</f>
        <v>206</v>
      </c>
      <c r="P35">
        <f t="shared" si="3"/>
        <v>1</v>
      </c>
      <c r="Q35" s="17" t="str">
        <f>IF(P35&gt;0,VLOOKUP(C35,极品属性表调整!$A$9:$B$15,2,0),0)</f>
        <v>306</v>
      </c>
      <c r="R35">
        <f t="shared" si="4"/>
        <v>1</v>
      </c>
      <c r="S35" s="17" t="str">
        <f>IF(R35&gt;0,VLOOKUP(C35,极品属性表调整!$A$16:$B$22,2,0),0)</f>
        <v>406</v>
      </c>
      <c r="T35" s="57" t="str">
        <f>VLOOKUP(--H35,套装调整!$Q$19:$R$24,2,0)</f>
        <v>301,302</v>
      </c>
    </row>
    <row r="36" spans="1:20" x14ac:dyDescent="0.2">
      <c r="A36">
        <f t="shared" si="5"/>
        <v>1</v>
      </c>
      <c r="B36" s="4">
        <v>5</v>
      </c>
      <c r="C36">
        <v>7</v>
      </c>
      <c r="D36">
        <v>2</v>
      </c>
      <c r="E36">
        <v>40302</v>
      </c>
      <c r="F36">
        <f>VLOOKUP(C36,性价比!$T$25:$U$31,2,0)*VLOOKUP(--H36,性价比!$W$3:$Y$8,3,0)</f>
        <v>0</v>
      </c>
      <c r="G36" t="str">
        <f t="shared" si="1"/>
        <v>40302:0</v>
      </c>
      <c r="H36" s="25" t="str">
        <f t="shared" si="8"/>
        <v>52</v>
      </c>
      <c r="I36" s="37">
        <f>VLOOKUP(--H36,相关定价!$A$4:$D$9,4,0)*VLOOKUP(--H36,相关定价!$A$4:$D$9,3,0)</f>
        <v>2700</v>
      </c>
      <c r="J36" s="35">
        <v>0</v>
      </c>
      <c r="K36" s="35">
        <f t="shared" si="7"/>
        <v>14039</v>
      </c>
      <c r="L36" s="35">
        <v>0</v>
      </c>
      <c r="M36" s="35">
        <f t="shared" si="7"/>
        <v>5565</v>
      </c>
      <c r="N36">
        <f t="shared" si="2"/>
        <v>1</v>
      </c>
      <c r="O36" s="17" t="str">
        <f>IF(N36&gt;0,VLOOKUP(C36,极品属性表调整!$A$2:$B$8,2,0),0)</f>
        <v>207</v>
      </c>
      <c r="P36">
        <f t="shared" si="3"/>
        <v>1</v>
      </c>
      <c r="Q36" s="17" t="str">
        <f>IF(P36&gt;0,VLOOKUP(C36,极品属性表调整!$A$9:$B$15,2,0),0)</f>
        <v>307</v>
      </c>
      <c r="R36">
        <f t="shared" si="4"/>
        <v>1</v>
      </c>
      <c r="S36" s="17" t="str">
        <f>IF(R36&gt;0,VLOOKUP(C36,极品属性表调整!$A$16:$B$22,2,0),0)</f>
        <v>407</v>
      </c>
      <c r="T36" s="57" t="str">
        <f>VLOOKUP(--H36,套装调整!$Q$19:$R$24,2,0)</f>
        <v>301,302</v>
      </c>
    </row>
    <row r="37" spans="1:20" x14ac:dyDescent="0.2">
      <c r="A37">
        <f t="shared" si="5"/>
        <v>1</v>
      </c>
      <c r="B37" s="4">
        <v>5</v>
      </c>
      <c r="C37">
        <v>1</v>
      </c>
      <c r="D37">
        <v>3</v>
      </c>
      <c r="E37">
        <v>40302</v>
      </c>
      <c r="F37">
        <f>VLOOKUP(C37,性价比!$T$25:$U$31,2,0)*VLOOKUP(--H37,性价比!$W$3:$Y$8,3,0)</f>
        <v>6</v>
      </c>
      <c r="G37" t="str">
        <f t="shared" si="1"/>
        <v>40302:6</v>
      </c>
      <c r="H37" s="25" t="str">
        <f t="shared" si="8"/>
        <v>53</v>
      </c>
      <c r="I37" s="37">
        <f>VLOOKUP(--H37,相关定价!$A$4:$D$9,4,0)*VLOOKUP(--H37,相关定价!$A$4:$D$9,3,0)</f>
        <v>6750</v>
      </c>
      <c r="J37" s="35">
        <v>0</v>
      </c>
      <c r="K37" s="35">
        <f>K30</f>
        <v>396</v>
      </c>
      <c r="L37" s="35">
        <v>0</v>
      </c>
      <c r="M37" s="35">
        <f>M30</f>
        <v>158</v>
      </c>
      <c r="N37">
        <f t="shared" si="2"/>
        <v>0</v>
      </c>
      <c r="O37" s="17">
        <f>IF(N37&gt;0,VLOOKUP(C37,极品属性表调整!$A$2:$B$8,2,0),0)</f>
        <v>0</v>
      </c>
      <c r="P37">
        <f t="shared" si="3"/>
        <v>1</v>
      </c>
      <c r="Q37" s="17" t="str">
        <f>IF(P37&gt;0,VLOOKUP(C37,极品属性表调整!$A$9:$B$15,2,0),0)</f>
        <v>301</v>
      </c>
      <c r="R37">
        <f t="shared" si="4"/>
        <v>2</v>
      </c>
      <c r="S37" s="17" t="str">
        <f>IF(R37&gt;0,VLOOKUP(C37,极品属性表调整!$A$16:$B$22,2,0),0)</f>
        <v>401</v>
      </c>
      <c r="T37" s="57" t="str">
        <f>VLOOKUP(--H37,套装调整!$Q$19:$R$24,2,0)</f>
        <v>401,402</v>
      </c>
    </row>
    <row r="38" spans="1:20" x14ac:dyDescent="0.2">
      <c r="A38">
        <f t="shared" si="5"/>
        <v>1</v>
      </c>
      <c r="B38" s="4">
        <v>5</v>
      </c>
      <c r="C38">
        <v>2</v>
      </c>
      <c r="D38">
        <v>3</v>
      </c>
      <c r="E38">
        <v>40302</v>
      </c>
      <c r="F38">
        <f>VLOOKUP(C38,性价比!$T$25:$U$31,2,0)*VLOOKUP(--H38,性价比!$W$3:$Y$8,3,0)</f>
        <v>12</v>
      </c>
      <c r="G38" t="str">
        <f t="shared" si="1"/>
        <v>40302:12</v>
      </c>
      <c r="H38" s="25" t="str">
        <f t="shared" si="8"/>
        <v>53</v>
      </c>
      <c r="I38" s="37">
        <f>VLOOKUP(--H38,相关定价!$A$4:$D$9,4,0)*VLOOKUP(--H38,相关定价!$A$4:$D$9,3,0)</f>
        <v>6750</v>
      </c>
      <c r="J38" s="35">
        <v>0</v>
      </c>
      <c r="K38" s="35">
        <f t="shared" ref="K38:M42" si="9">K31</f>
        <v>693</v>
      </c>
      <c r="L38" s="35">
        <v>0</v>
      </c>
      <c r="M38" s="35">
        <f t="shared" si="9"/>
        <v>277</v>
      </c>
      <c r="N38">
        <f t="shared" si="2"/>
        <v>0</v>
      </c>
      <c r="O38" s="17">
        <f>IF(N38&gt;0,VLOOKUP(C38,极品属性表调整!$A$2:$B$8,2,0),0)</f>
        <v>0</v>
      </c>
      <c r="P38">
        <f t="shared" si="3"/>
        <v>1</v>
      </c>
      <c r="Q38" s="17" t="str">
        <f>IF(P38&gt;0,VLOOKUP(C38,极品属性表调整!$A$9:$B$15,2,0),0)</f>
        <v>302</v>
      </c>
      <c r="R38">
        <f t="shared" si="4"/>
        <v>2</v>
      </c>
      <c r="S38" s="17" t="str">
        <f>IF(R38&gt;0,VLOOKUP(C38,极品属性表调整!$A$16:$B$22,2,0),0)</f>
        <v>402</v>
      </c>
      <c r="T38" s="57" t="str">
        <f>VLOOKUP(--H38,套装调整!$Q$19:$R$24,2,0)</f>
        <v>401,402</v>
      </c>
    </row>
    <row r="39" spans="1:20" x14ac:dyDescent="0.2">
      <c r="A39">
        <f t="shared" si="5"/>
        <v>1</v>
      </c>
      <c r="B39" s="4">
        <v>5</v>
      </c>
      <c r="C39">
        <v>3</v>
      </c>
      <c r="D39">
        <v>3</v>
      </c>
      <c r="E39">
        <v>40302</v>
      </c>
      <c r="F39">
        <f>VLOOKUP(C39,性价比!$T$25:$U$31,2,0)*VLOOKUP(--H39,性价比!$W$3:$Y$8,3,0)</f>
        <v>18</v>
      </c>
      <c r="G39" t="str">
        <f t="shared" si="1"/>
        <v>40302:18</v>
      </c>
      <c r="H39" s="25" t="str">
        <f t="shared" si="8"/>
        <v>53</v>
      </c>
      <c r="I39" s="37">
        <f>VLOOKUP(--H39,相关定价!$A$4:$D$9,4,0)*VLOOKUP(--H39,相关定价!$A$4:$D$9,3,0)</f>
        <v>6750</v>
      </c>
      <c r="J39" s="35">
        <v>0</v>
      </c>
      <c r="K39" s="35">
        <f t="shared" si="9"/>
        <v>1330</v>
      </c>
      <c r="L39" s="35">
        <v>0</v>
      </c>
      <c r="M39" s="35">
        <f t="shared" si="9"/>
        <v>529</v>
      </c>
      <c r="N39">
        <f t="shared" si="2"/>
        <v>0</v>
      </c>
      <c r="O39" s="17">
        <f>IF(N39&gt;0,VLOOKUP(C39,极品属性表调整!$A$2:$B$8,2,0),0)</f>
        <v>0</v>
      </c>
      <c r="P39">
        <f t="shared" si="3"/>
        <v>1</v>
      </c>
      <c r="Q39" s="17" t="str">
        <f>IF(P39&gt;0,VLOOKUP(C39,极品属性表调整!$A$9:$B$15,2,0),0)</f>
        <v>303</v>
      </c>
      <c r="R39">
        <f t="shared" si="4"/>
        <v>2</v>
      </c>
      <c r="S39" s="17" t="str">
        <f>IF(R39&gt;0,VLOOKUP(C39,极品属性表调整!$A$16:$B$22,2,0),0)</f>
        <v>403</v>
      </c>
      <c r="T39" s="57" t="str">
        <f>VLOOKUP(--H39,套装调整!$Q$19:$R$24,2,0)</f>
        <v>401,402</v>
      </c>
    </row>
    <row r="40" spans="1:20" x14ac:dyDescent="0.2">
      <c r="A40">
        <f t="shared" si="5"/>
        <v>1</v>
      </c>
      <c r="B40" s="4">
        <v>5</v>
      </c>
      <c r="C40">
        <v>4</v>
      </c>
      <c r="D40">
        <v>3</v>
      </c>
      <c r="E40">
        <v>40302</v>
      </c>
      <c r="F40">
        <f>VLOOKUP(C40,性价比!$T$25:$U$31,2,0)*VLOOKUP(--H40,性价比!$W$3:$Y$8,3,0)</f>
        <v>24</v>
      </c>
      <c r="G40" t="str">
        <f t="shared" si="1"/>
        <v>40302:24</v>
      </c>
      <c r="H40" s="25" t="str">
        <f t="shared" si="8"/>
        <v>53</v>
      </c>
      <c r="I40" s="37">
        <f>VLOOKUP(--H40,相关定价!$A$4:$D$9,4,0)*VLOOKUP(--H40,相关定价!$A$4:$D$9,3,0)</f>
        <v>6750</v>
      </c>
      <c r="J40" s="35">
        <v>0</v>
      </c>
      <c r="K40" s="35">
        <f t="shared" si="9"/>
        <v>2448</v>
      </c>
      <c r="L40" s="35">
        <v>0</v>
      </c>
      <c r="M40" s="35">
        <f t="shared" si="9"/>
        <v>972</v>
      </c>
      <c r="N40">
        <f t="shared" si="2"/>
        <v>0</v>
      </c>
      <c r="O40" s="17">
        <f>IF(N40&gt;0,VLOOKUP(C40,极品属性表调整!$A$2:$B$8,2,0),0)</f>
        <v>0</v>
      </c>
      <c r="P40">
        <f t="shared" si="3"/>
        <v>1</v>
      </c>
      <c r="Q40" s="17" t="str">
        <f>IF(P40&gt;0,VLOOKUP(C40,极品属性表调整!$A$9:$B$15,2,0),0)</f>
        <v>304</v>
      </c>
      <c r="R40">
        <f t="shared" si="4"/>
        <v>2</v>
      </c>
      <c r="S40" s="17" t="str">
        <f>IF(R40&gt;0,VLOOKUP(C40,极品属性表调整!$A$16:$B$22,2,0),0)</f>
        <v>404</v>
      </c>
      <c r="T40" s="57" t="str">
        <f>VLOOKUP(--H40,套装调整!$Q$19:$R$24,2,0)</f>
        <v>401,402</v>
      </c>
    </row>
    <row r="41" spans="1:20" x14ac:dyDescent="0.2">
      <c r="A41">
        <f t="shared" si="5"/>
        <v>1</v>
      </c>
      <c r="B41" s="4">
        <v>5</v>
      </c>
      <c r="C41">
        <v>5</v>
      </c>
      <c r="D41">
        <v>3</v>
      </c>
      <c r="E41">
        <v>40302</v>
      </c>
      <c r="F41">
        <f>VLOOKUP(C41,性价比!$T$25:$U$31,2,0)*VLOOKUP(--H41,性价比!$W$3:$Y$8,3,0)</f>
        <v>30</v>
      </c>
      <c r="G41" t="str">
        <f t="shared" si="1"/>
        <v>40302:30</v>
      </c>
      <c r="H41" s="25" t="str">
        <f t="shared" si="8"/>
        <v>53</v>
      </c>
      <c r="I41" s="37">
        <f>VLOOKUP(--H41,相关定价!$A$4:$D$9,4,0)*VLOOKUP(--H41,相关定价!$A$4:$D$9,3,0)</f>
        <v>6750</v>
      </c>
      <c r="J41" s="35">
        <v>0</v>
      </c>
      <c r="K41" s="35">
        <f t="shared" si="9"/>
        <v>4406</v>
      </c>
      <c r="L41" s="35">
        <v>0</v>
      </c>
      <c r="M41" s="35">
        <f t="shared" si="9"/>
        <v>1749</v>
      </c>
      <c r="N41">
        <f t="shared" si="2"/>
        <v>0</v>
      </c>
      <c r="O41" s="17">
        <f>IF(N41&gt;0,VLOOKUP(C41,极品属性表调整!$A$2:$B$8,2,0),0)</f>
        <v>0</v>
      </c>
      <c r="P41">
        <f t="shared" si="3"/>
        <v>1</v>
      </c>
      <c r="Q41" s="17" t="str">
        <f>IF(P41&gt;0,VLOOKUP(C41,极品属性表调整!$A$9:$B$15,2,0),0)</f>
        <v>305</v>
      </c>
      <c r="R41">
        <f t="shared" si="4"/>
        <v>2</v>
      </c>
      <c r="S41" s="17" t="str">
        <f>IF(R41&gt;0,VLOOKUP(C41,极品属性表调整!$A$16:$B$22,2,0),0)</f>
        <v>405</v>
      </c>
      <c r="T41" s="57" t="str">
        <f>VLOOKUP(--H41,套装调整!$Q$19:$R$24,2,0)</f>
        <v>401,402</v>
      </c>
    </row>
    <row r="42" spans="1:20" x14ac:dyDescent="0.2">
      <c r="A42">
        <f t="shared" si="5"/>
        <v>1</v>
      </c>
      <c r="B42" s="4">
        <v>5</v>
      </c>
      <c r="C42">
        <v>6</v>
      </c>
      <c r="D42">
        <v>3</v>
      </c>
      <c r="E42">
        <v>40302</v>
      </c>
      <c r="F42">
        <f>VLOOKUP(C42,性价比!$T$25:$U$31,2,0)*VLOOKUP(--H42,性价比!$W$3:$Y$8,3,0)</f>
        <v>36</v>
      </c>
      <c r="G42" t="str">
        <f t="shared" si="1"/>
        <v>40302:36</v>
      </c>
      <c r="H42" s="25" t="str">
        <f t="shared" si="8"/>
        <v>53</v>
      </c>
      <c r="I42" s="37">
        <f>VLOOKUP(--H42,相关定价!$A$4:$D$9,4,0)*VLOOKUP(--H42,相关定价!$A$4:$D$9,3,0)</f>
        <v>6750</v>
      </c>
      <c r="J42" s="35">
        <v>0</v>
      </c>
      <c r="K42" s="35">
        <f t="shared" si="9"/>
        <v>7887</v>
      </c>
      <c r="L42" s="35">
        <v>0</v>
      </c>
      <c r="M42" s="35">
        <f t="shared" si="9"/>
        <v>3128</v>
      </c>
      <c r="N42">
        <f t="shared" si="2"/>
        <v>0</v>
      </c>
      <c r="O42" s="17">
        <f>IF(N42&gt;0,VLOOKUP(C42,极品属性表调整!$A$2:$B$8,2,0),0)</f>
        <v>0</v>
      </c>
      <c r="P42">
        <f t="shared" si="3"/>
        <v>1</v>
      </c>
      <c r="Q42" s="17" t="str">
        <f>IF(P42&gt;0,VLOOKUP(C42,极品属性表调整!$A$9:$B$15,2,0),0)</f>
        <v>306</v>
      </c>
      <c r="R42">
        <f t="shared" si="4"/>
        <v>2</v>
      </c>
      <c r="S42" s="17" t="str">
        <f>IF(R42&gt;0,VLOOKUP(C42,极品属性表调整!$A$16:$B$22,2,0),0)</f>
        <v>406</v>
      </c>
      <c r="T42" s="57" t="str">
        <f>VLOOKUP(--H42,套装调整!$Q$19:$R$24,2,0)</f>
        <v>401,402</v>
      </c>
    </row>
    <row r="43" spans="1:20" x14ac:dyDescent="0.2">
      <c r="A43">
        <f t="shared" si="5"/>
        <v>1</v>
      </c>
      <c r="B43" s="4">
        <v>5</v>
      </c>
      <c r="C43">
        <v>7</v>
      </c>
      <c r="D43">
        <v>3</v>
      </c>
      <c r="E43">
        <v>40302</v>
      </c>
      <c r="F43">
        <f>VLOOKUP(C43,性价比!$T$25:$U$31,2,0)*VLOOKUP(--H43,性价比!$W$3:$Y$8,3,0)</f>
        <v>0</v>
      </c>
      <c r="G43" t="str">
        <f t="shared" si="1"/>
        <v>40302:0</v>
      </c>
      <c r="H43" s="25" t="str">
        <f t="shared" si="8"/>
        <v>53</v>
      </c>
      <c r="I43" s="37">
        <f>VLOOKUP(--H43,相关定价!$A$4:$D$9,4,0)*VLOOKUP(--H43,相关定价!$A$4:$D$9,3,0)</f>
        <v>6750</v>
      </c>
      <c r="J43" s="35">
        <v>0</v>
      </c>
      <c r="K43" s="35">
        <f>K36</f>
        <v>14039</v>
      </c>
      <c r="L43" s="35">
        <v>0</v>
      </c>
      <c r="M43" s="35">
        <f>M36</f>
        <v>5565</v>
      </c>
      <c r="N43">
        <f t="shared" si="2"/>
        <v>0</v>
      </c>
      <c r="O43" s="17">
        <f>IF(N43&gt;0,VLOOKUP(C43,极品属性表调整!$A$2:$B$8,2,0),0)</f>
        <v>0</v>
      </c>
      <c r="P43">
        <f t="shared" si="3"/>
        <v>1</v>
      </c>
      <c r="Q43" s="17" t="str">
        <f>IF(P43&gt;0,VLOOKUP(C43,极品属性表调整!$A$9:$B$15,2,0),0)</f>
        <v>307</v>
      </c>
      <c r="R43">
        <f t="shared" si="4"/>
        <v>2</v>
      </c>
      <c r="S43" s="17" t="str">
        <f>IF(R43&gt;0,VLOOKUP(C43,极品属性表调整!$A$16:$B$22,2,0),0)</f>
        <v>407</v>
      </c>
      <c r="T43" s="57" t="str">
        <f>VLOOKUP(--H43,套装调整!$Q$19:$R$24,2,0)</f>
        <v>401,402</v>
      </c>
    </row>
    <row r="44" spans="1:20" x14ac:dyDescent="0.2">
      <c r="A44">
        <v>2</v>
      </c>
      <c r="B44" s="11">
        <v>2</v>
      </c>
      <c r="C44">
        <v>1</v>
      </c>
      <c r="D44">
        <v>0</v>
      </c>
      <c r="E44">
        <v>40302</v>
      </c>
      <c r="F44">
        <f>VLOOKUP(C44,性价比!$T$25:$U$31,2,0)*VLOOKUP(--H44,性价比!$W$3:$Y$8,3,0)</f>
        <v>2</v>
      </c>
      <c r="G44" t="str">
        <f t="shared" si="1"/>
        <v>40302:2</v>
      </c>
      <c r="H44" s="25" t="str">
        <f t="shared" si="8"/>
        <v>20</v>
      </c>
      <c r="I44" s="37">
        <f>VLOOKUP(--H44,相关定价!$A$4:$D$9,4,0)*VLOOKUP(--H44,相关定价!$A$4:$D$9,3,0)</f>
        <v>100</v>
      </c>
      <c r="J44" s="35">
        <v>0</v>
      </c>
      <c r="K44" s="36">
        <f>K2</f>
        <v>110</v>
      </c>
      <c r="L44" s="36">
        <v>0</v>
      </c>
      <c r="M44" s="36">
        <f>M2</f>
        <v>44</v>
      </c>
      <c r="N44">
        <f t="shared" si="2"/>
        <v>0</v>
      </c>
      <c r="O44" s="17">
        <f>IF(N44&gt;0,VLOOKUP(C44,极品属性表调整!$A$2:$B$8,2,0),0)</f>
        <v>0</v>
      </c>
      <c r="P44">
        <f t="shared" si="3"/>
        <v>0</v>
      </c>
      <c r="Q44" s="17">
        <f>IF(P44&gt;0,VLOOKUP(C44,极品属性表调整!$A$9:$B$15,2,0),0)</f>
        <v>0</v>
      </c>
      <c r="R44">
        <f t="shared" si="4"/>
        <v>0</v>
      </c>
      <c r="S44" s="17">
        <f>IF(R44&gt;0,VLOOKUP(C44,极品属性表调整!$A$16:$B$22,2,0),0)</f>
        <v>0</v>
      </c>
      <c r="T44" s="57">
        <f>VLOOKUP(--H44,套装调整!$Q$19:$R$24,2,0)</f>
        <v>0</v>
      </c>
    </row>
    <row r="45" spans="1:20" x14ac:dyDescent="0.2">
      <c r="A45">
        <f t="shared" si="5"/>
        <v>2</v>
      </c>
      <c r="B45" s="11">
        <v>2</v>
      </c>
      <c r="C45">
        <v>2</v>
      </c>
      <c r="D45">
        <v>0</v>
      </c>
      <c r="E45">
        <v>40302</v>
      </c>
      <c r="F45">
        <f>VLOOKUP(C45,性价比!$T$25:$U$31,2,0)*VLOOKUP(--H45,性价比!$W$3:$Y$8,3,0)</f>
        <v>4</v>
      </c>
      <c r="G45" t="str">
        <f t="shared" si="1"/>
        <v>40302:4</v>
      </c>
      <c r="H45" s="25" t="str">
        <f t="shared" si="8"/>
        <v>20</v>
      </c>
      <c r="I45" s="37">
        <f>VLOOKUP(--H45,相关定价!$A$4:$D$9,4,0)*VLOOKUP(--H45,相关定价!$A$4:$D$9,3,0)</f>
        <v>100</v>
      </c>
      <c r="J45" s="35">
        <v>0</v>
      </c>
      <c r="K45" s="36">
        <f t="shared" ref="K45:M85" si="10">K3</f>
        <v>192</v>
      </c>
      <c r="L45" s="36">
        <v>0</v>
      </c>
      <c r="M45" s="36">
        <f t="shared" si="10"/>
        <v>77</v>
      </c>
      <c r="N45">
        <f t="shared" si="2"/>
        <v>0</v>
      </c>
      <c r="O45" s="17">
        <f>IF(N45&gt;0,VLOOKUP(C45,极品属性表调整!$A$2:$B$8,2,0),0)</f>
        <v>0</v>
      </c>
      <c r="P45">
        <f t="shared" si="3"/>
        <v>0</v>
      </c>
      <c r="Q45" s="17">
        <f>IF(P45&gt;0,VLOOKUP(C45,极品属性表调整!$A$9:$B$15,2,0),0)</f>
        <v>0</v>
      </c>
      <c r="R45">
        <f t="shared" si="4"/>
        <v>0</v>
      </c>
      <c r="S45" s="17">
        <f>IF(R45&gt;0,VLOOKUP(C45,极品属性表调整!$A$16:$B$22,2,0),0)</f>
        <v>0</v>
      </c>
      <c r="T45" s="57">
        <f>VLOOKUP(--H45,套装调整!$Q$19:$R$24,2,0)</f>
        <v>0</v>
      </c>
    </row>
    <row r="46" spans="1:20" x14ac:dyDescent="0.2">
      <c r="A46">
        <f t="shared" si="5"/>
        <v>2</v>
      </c>
      <c r="B46" s="11">
        <v>2</v>
      </c>
      <c r="C46">
        <v>3</v>
      </c>
      <c r="D46">
        <v>0</v>
      </c>
      <c r="E46">
        <v>40302</v>
      </c>
      <c r="F46">
        <f>VLOOKUP(C46,性价比!$T$25:$U$31,2,0)*VLOOKUP(--H46,性价比!$W$3:$Y$8,3,0)</f>
        <v>6</v>
      </c>
      <c r="G46" t="str">
        <f t="shared" si="1"/>
        <v>40302:6</v>
      </c>
      <c r="H46" s="25" t="str">
        <f t="shared" si="8"/>
        <v>20</v>
      </c>
      <c r="I46" s="37">
        <f>VLOOKUP(--H46,相关定价!$A$4:$D$9,4,0)*VLOOKUP(--H46,相关定价!$A$4:$D$9,3,0)</f>
        <v>100</v>
      </c>
      <c r="J46" s="35">
        <v>0</v>
      </c>
      <c r="K46" s="36">
        <f t="shared" si="10"/>
        <v>369</v>
      </c>
      <c r="L46" s="36">
        <v>0</v>
      </c>
      <c r="M46" s="36">
        <f t="shared" si="10"/>
        <v>147</v>
      </c>
      <c r="N46">
        <f t="shared" si="2"/>
        <v>0</v>
      </c>
      <c r="O46" s="17">
        <f>IF(N46&gt;0,VLOOKUP(C46,极品属性表调整!$A$2:$B$8,2,0),0)</f>
        <v>0</v>
      </c>
      <c r="P46">
        <f t="shared" si="3"/>
        <v>0</v>
      </c>
      <c r="Q46" s="17">
        <f>IF(P46&gt;0,VLOOKUP(C46,极品属性表调整!$A$9:$B$15,2,0),0)</f>
        <v>0</v>
      </c>
      <c r="R46">
        <f t="shared" si="4"/>
        <v>0</v>
      </c>
      <c r="S46" s="17">
        <f>IF(R46&gt;0,VLOOKUP(C46,极品属性表调整!$A$16:$B$22,2,0),0)</f>
        <v>0</v>
      </c>
      <c r="T46" s="57">
        <f>VLOOKUP(--H46,套装调整!$Q$19:$R$24,2,0)</f>
        <v>0</v>
      </c>
    </row>
    <row r="47" spans="1:20" x14ac:dyDescent="0.2">
      <c r="A47">
        <f t="shared" si="5"/>
        <v>2</v>
      </c>
      <c r="B47" s="11">
        <v>2</v>
      </c>
      <c r="C47">
        <v>4</v>
      </c>
      <c r="D47">
        <v>0</v>
      </c>
      <c r="E47">
        <v>40302</v>
      </c>
      <c r="F47">
        <f>VLOOKUP(C47,性价比!$T$25:$U$31,2,0)*VLOOKUP(--H47,性价比!$W$3:$Y$8,3,0)</f>
        <v>8</v>
      </c>
      <c r="G47" t="str">
        <f t="shared" si="1"/>
        <v>40302:8</v>
      </c>
      <c r="H47" s="25" t="str">
        <f t="shared" si="8"/>
        <v>20</v>
      </c>
      <c r="I47" s="37">
        <f>VLOOKUP(--H47,相关定价!$A$4:$D$9,4,0)*VLOOKUP(--H47,相关定价!$A$4:$D$9,3,0)</f>
        <v>100</v>
      </c>
      <c r="J47" s="35">
        <v>0</v>
      </c>
      <c r="K47" s="36">
        <f t="shared" si="10"/>
        <v>680</v>
      </c>
      <c r="L47" s="36">
        <v>0</v>
      </c>
      <c r="M47" s="36">
        <f t="shared" si="10"/>
        <v>270</v>
      </c>
      <c r="N47">
        <f t="shared" si="2"/>
        <v>0</v>
      </c>
      <c r="O47" s="17">
        <f>IF(N47&gt;0,VLOOKUP(C47,极品属性表调整!$A$2:$B$8,2,0),0)</f>
        <v>0</v>
      </c>
      <c r="P47">
        <f t="shared" si="3"/>
        <v>0</v>
      </c>
      <c r="Q47" s="17">
        <f>IF(P47&gt;0,VLOOKUP(C47,极品属性表调整!$A$9:$B$15,2,0),0)</f>
        <v>0</v>
      </c>
      <c r="R47">
        <f t="shared" si="4"/>
        <v>0</v>
      </c>
      <c r="S47" s="17">
        <f>IF(R47&gt;0,VLOOKUP(C47,极品属性表调整!$A$16:$B$22,2,0),0)</f>
        <v>0</v>
      </c>
      <c r="T47" s="57">
        <f>VLOOKUP(--H47,套装调整!$Q$19:$R$24,2,0)</f>
        <v>0</v>
      </c>
    </row>
    <row r="48" spans="1:20" x14ac:dyDescent="0.2">
      <c r="A48">
        <f t="shared" si="5"/>
        <v>2</v>
      </c>
      <c r="B48" s="11">
        <v>2</v>
      </c>
      <c r="C48">
        <v>5</v>
      </c>
      <c r="D48">
        <v>0</v>
      </c>
      <c r="E48">
        <v>40302</v>
      </c>
      <c r="F48">
        <f>VLOOKUP(C48,性价比!$T$25:$U$31,2,0)*VLOOKUP(--H48,性价比!$W$3:$Y$8,3,0)</f>
        <v>10</v>
      </c>
      <c r="G48" t="str">
        <f t="shared" si="1"/>
        <v>40302:10</v>
      </c>
      <c r="H48" s="25" t="str">
        <f t="shared" si="8"/>
        <v>20</v>
      </c>
      <c r="I48" s="37">
        <f>VLOOKUP(--H48,相关定价!$A$4:$D$9,4,0)*VLOOKUP(--H48,相关定价!$A$4:$D$9,3,0)</f>
        <v>100</v>
      </c>
      <c r="J48" s="35">
        <v>0</v>
      </c>
      <c r="K48" s="36">
        <f t="shared" si="10"/>
        <v>1224</v>
      </c>
      <c r="L48" s="36">
        <v>0</v>
      </c>
      <c r="M48" s="36">
        <f t="shared" si="10"/>
        <v>486</v>
      </c>
      <c r="N48">
        <f t="shared" si="2"/>
        <v>0</v>
      </c>
      <c r="O48" s="17">
        <f>IF(N48&gt;0,VLOOKUP(C48,极品属性表调整!$A$2:$B$8,2,0),0)</f>
        <v>0</v>
      </c>
      <c r="P48">
        <f t="shared" si="3"/>
        <v>0</v>
      </c>
      <c r="Q48" s="17">
        <f>IF(P48&gt;0,VLOOKUP(C48,极品属性表调整!$A$9:$B$15,2,0),0)</f>
        <v>0</v>
      </c>
      <c r="R48">
        <f t="shared" si="4"/>
        <v>0</v>
      </c>
      <c r="S48" s="17">
        <f>IF(R48&gt;0,VLOOKUP(C48,极品属性表调整!$A$16:$B$22,2,0),0)</f>
        <v>0</v>
      </c>
      <c r="T48" s="57">
        <f>VLOOKUP(--H48,套装调整!$Q$19:$R$24,2,0)</f>
        <v>0</v>
      </c>
    </row>
    <row r="49" spans="1:20" x14ac:dyDescent="0.2">
      <c r="A49">
        <f t="shared" si="5"/>
        <v>2</v>
      </c>
      <c r="B49" s="11">
        <v>2</v>
      </c>
      <c r="C49">
        <v>6</v>
      </c>
      <c r="D49">
        <v>0</v>
      </c>
      <c r="E49">
        <v>40302</v>
      </c>
      <c r="F49">
        <f>VLOOKUP(C49,性价比!$T$25:$U$31,2,0)*VLOOKUP(--H49,性价比!$W$3:$Y$8,3,0)</f>
        <v>12</v>
      </c>
      <c r="G49" t="str">
        <f t="shared" si="1"/>
        <v>40302:12</v>
      </c>
      <c r="H49" s="25" t="str">
        <f t="shared" si="8"/>
        <v>20</v>
      </c>
      <c r="I49" s="37">
        <f>VLOOKUP(--H49,相关定价!$A$4:$D$9,4,0)*VLOOKUP(--H49,相关定价!$A$4:$D$9,3,0)</f>
        <v>100</v>
      </c>
      <c r="J49" s="35">
        <v>0</v>
      </c>
      <c r="K49" s="36">
        <f t="shared" si="10"/>
        <v>2191</v>
      </c>
      <c r="L49" s="36">
        <v>0</v>
      </c>
      <c r="M49" s="36">
        <f t="shared" si="10"/>
        <v>869</v>
      </c>
      <c r="N49">
        <f t="shared" si="2"/>
        <v>0</v>
      </c>
      <c r="O49" s="17">
        <f>IF(N49&gt;0,VLOOKUP(C49,极品属性表调整!$A$2:$B$8,2,0),0)</f>
        <v>0</v>
      </c>
      <c r="P49">
        <f t="shared" si="3"/>
        <v>0</v>
      </c>
      <c r="Q49" s="17">
        <f>IF(P49&gt;0,VLOOKUP(C49,极品属性表调整!$A$9:$B$15,2,0),0)</f>
        <v>0</v>
      </c>
      <c r="R49">
        <f t="shared" si="4"/>
        <v>0</v>
      </c>
      <c r="S49" s="17">
        <f>IF(R49&gt;0,VLOOKUP(C49,极品属性表调整!$A$16:$B$22,2,0),0)</f>
        <v>0</v>
      </c>
      <c r="T49" s="57">
        <f>VLOOKUP(--H49,套装调整!$Q$19:$R$24,2,0)</f>
        <v>0</v>
      </c>
    </row>
    <row r="50" spans="1:20" x14ac:dyDescent="0.2">
      <c r="A50">
        <f t="shared" si="5"/>
        <v>2</v>
      </c>
      <c r="B50" s="11">
        <v>2</v>
      </c>
      <c r="C50">
        <v>7</v>
      </c>
      <c r="D50">
        <v>0</v>
      </c>
      <c r="E50">
        <v>40302</v>
      </c>
      <c r="F50">
        <f>VLOOKUP(C50,性价比!$T$25:$U$31,2,0)*VLOOKUP(--H50,性价比!$W$3:$Y$8,3,0)</f>
        <v>0</v>
      </c>
      <c r="G50" t="str">
        <f t="shared" si="1"/>
        <v>40302:0</v>
      </c>
      <c r="H50" s="25" t="str">
        <f t="shared" si="8"/>
        <v>20</v>
      </c>
      <c r="I50" s="37">
        <f>VLOOKUP(--H50,相关定价!$A$4:$D$9,4,0)*VLOOKUP(--H50,相关定价!$A$4:$D$9,3,0)</f>
        <v>100</v>
      </c>
      <c r="J50" s="35">
        <v>0</v>
      </c>
      <c r="K50" s="36">
        <f t="shared" si="10"/>
        <v>3899</v>
      </c>
      <c r="L50" s="36">
        <v>0</v>
      </c>
      <c r="M50" s="36">
        <f t="shared" si="10"/>
        <v>1546</v>
      </c>
      <c r="N50">
        <f t="shared" si="2"/>
        <v>0</v>
      </c>
      <c r="O50" s="17">
        <f>IF(N50&gt;0,VLOOKUP(C50,极品属性表调整!$A$2:$B$8,2,0),0)</f>
        <v>0</v>
      </c>
      <c r="P50">
        <f t="shared" si="3"/>
        <v>0</v>
      </c>
      <c r="Q50" s="17">
        <f>IF(P50&gt;0,VLOOKUP(C50,极品属性表调整!$A$9:$B$15,2,0),0)</f>
        <v>0</v>
      </c>
      <c r="R50">
        <f t="shared" si="4"/>
        <v>0</v>
      </c>
      <c r="S50" s="17">
        <f>IF(R50&gt;0,VLOOKUP(C50,极品属性表调整!$A$16:$B$22,2,0),0)</f>
        <v>0</v>
      </c>
      <c r="T50" s="57">
        <f>VLOOKUP(--H50,套装调整!$Q$19:$R$24,2,0)</f>
        <v>0</v>
      </c>
    </row>
    <row r="51" spans="1:20" x14ac:dyDescent="0.2">
      <c r="A51">
        <f t="shared" si="5"/>
        <v>2</v>
      </c>
      <c r="B51" s="12">
        <v>4</v>
      </c>
      <c r="C51">
        <v>1</v>
      </c>
      <c r="D51">
        <v>1</v>
      </c>
      <c r="E51">
        <v>40302</v>
      </c>
      <c r="F51">
        <f>VLOOKUP(C51,性价比!$T$25:$U$31,2,0)*VLOOKUP(--H51,性价比!$W$3:$Y$8,3,0)</f>
        <v>4</v>
      </c>
      <c r="G51" t="str">
        <f t="shared" si="1"/>
        <v>40302:4</v>
      </c>
      <c r="H51" s="25" t="str">
        <f t="shared" si="8"/>
        <v>41</v>
      </c>
      <c r="I51" s="37">
        <f>VLOOKUP(--H51,相关定价!$A$4:$D$9,4,0)*VLOOKUP(--H51,相关定价!$A$4:$D$9,3,0)</f>
        <v>900</v>
      </c>
      <c r="J51" s="35">
        <v>0</v>
      </c>
      <c r="K51" s="36">
        <f t="shared" si="10"/>
        <v>220</v>
      </c>
      <c r="L51" s="35">
        <v>0</v>
      </c>
      <c r="M51" s="36">
        <f t="shared" si="10"/>
        <v>88</v>
      </c>
      <c r="N51">
        <f t="shared" si="2"/>
        <v>2</v>
      </c>
      <c r="O51" s="17" t="str">
        <f>IF(N51&gt;0,VLOOKUP(C51,极品属性表调整!$A$2:$B$8,2,0),0)</f>
        <v>201</v>
      </c>
      <c r="P51">
        <f t="shared" si="3"/>
        <v>0</v>
      </c>
      <c r="Q51" s="17">
        <f>IF(P51&gt;0,VLOOKUP(C51,极品属性表调整!$A$9:$B$15,2,0),0)</f>
        <v>0</v>
      </c>
      <c r="R51">
        <f t="shared" si="4"/>
        <v>0</v>
      </c>
      <c r="S51" s="17">
        <f>IF(R51&gt;0,VLOOKUP(C51,极品属性表调整!$A$16:$B$22,2,0),0)</f>
        <v>0</v>
      </c>
      <c r="T51" s="57" t="str">
        <f>VLOOKUP(--H51,套装调整!$Q$19:$R$24,2,0)</f>
        <v>101,102</v>
      </c>
    </row>
    <row r="52" spans="1:20" x14ac:dyDescent="0.2">
      <c r="A52">
        <f t="shared" si="5"/>
        <v>2</v>
      </c>
      <c r="B52" s="12">
        <v>4</v>
      </c>
      <c r="C52">
        <v>2</v>
      </c>
      <c r="D52">
        <v>1</v>
      </c>
      <c r="E52">
        <v>40302</v>
      </c>
      <c r="F52">
        <f>VLOOKUP(C52,性价比!$T$25:$U$31,2,0)*VLOOKUP(--H52,性价比!$W$3:$Y$8,3,0)</f>
        <v>8</v>
      </c>
      <c r="G52" t="str">
        <f t="shared" si="1"/>
        <v>40302:8</v>
      </c>
      <c r="H52" s="25" t="str">
        <f t="shared" si="8"/>
        <v>41</v>
      </c>
      <c r="I52" s="37">
        <f>VLOOKUP(--H52,相关定价!$A$4:$D$9,4,0)*VLOOKUP(--H52,相关定价!$A$4:$D$9,3,0)</f>
        <v>900</v>
      </c>
      <c r="J52" s="35">
        <v>0</v>
      </c>
      <c r="K52" s="36">
        <f t="shared" si="10"/>
        <v>385</v>
      </c>
      <c r="L52" s="35">
        <v>0</v>
      </c>
      <c r="M52" s="36">
        <f t="shared" si="10"/>
        <v>154</v>
      </c>
      <c r="N52">
        <f t="shared" si="2"/>
        <v>2</v>
      </c>
      <c r="O52" s="17" t="str">
        <f>IF(N52&gt;0,VLOOKUP(C52,极品属性表调整!$A$2:$B$8,2,0),0)</f>
        <v>202</v>
      </c>
      <c r="P52">
        <f t="shared" si="3"/>
        <v>0</v>
      </c>
      <c r="Q52" s="17">
        <f>IF(P52&gt;0,VLOOKUP(C52,极品属性表调整!$A$9:$B$15,2,0),0)</f>
        <v>0</v>
      </c>
      <c r="R52">
        <f t="shared" si="4"/>
        <v>0</v>
      </c>
      <c r="S52" s="17">
        <f>IF(R52&gt;0,VLOOKUP(C52,极品属性表调整!$A$16:$B$22,2,0),0)</f>
        <v>0</v>
      </c>
      <c r="T52" s="57" t="str">
        <f>VLOOKUP(--H52,套装调整!$Q$19:$R$24,2,0)</f>
        <v>101,102</v>
      </c>
    </row>
    <row r="53" spans="1:20" x14ac:dyDescent="0.2">
      <c r="A53">
        <f t="shared" si="5"/>
        <v>2</v>
      </c>
      <c r="B53" s="12">
        <v>4</v>
      </c>
      <c r="C53">
        <v>3</v>
      </c>
      <c r="D53">
        <v>1</v>
      </c>
      <c r="E53">
        <v>40302</v>
      </c>
      <c r="F53">
        <f>VLOOKUP(C53,性价比!$T$25:$U$31,2,0)*VLOOKUP(--H53,性价比!$W$3:$Y$8,3,0)</f>
        <v>12</v>
      </c>
      <c r="G53" t="str">
        <f t="shared" si="1"/>
        <v>40302:12</v>
      </c>
      <c r="H53" s="25" t="str">
        <f t="shared" si="8"/>
        <v>41</v>
      </c>
      <c r="I53" s="37">
        <f>VLOOKUP(--H53,相关定价!$A$4:$D$9,4,0)*VLOOKUP(--H53,相关定价!$A$4:$D$9,3,0)</f>
        <v>900</v>
      </c>
      <c r="J53" s="35">
        <v>0</v>
      </c>
      <c r="K53" s="36">
        <f t="shared" si="10"/>
        <v>739</v>
      </c>
      <c r="L53" s="35">
        <v>0</v>
      </c>
      <c r="M53" s="36">
        <f t="shared" si="10"/>
        <v>294</v>
      </c>
      <c r="N53">
        <f t="shared" si="2"/>
        <v>2</v>
      </c>
      <c r="O53" s="17" t="str">
        <f>IF(N53&gt;0,VLOOKUP(C53,极品属性表调整!$A$2:$B$8,2,0),0)</f>
        <v>203</v>
      </c>
      <c r="P53">
        <f t="shared" si="3"/>
        <v>0</v>
      </c>
      <c r="Q53" s="17">
        <f>IF(P53&gt;0,VLOOKUP(C53,极品属性表调整!$A$9:$B$15,2,0),0)</f>
        <v>0</v>
      </c>
      <c r="R53">
        <f t="shared" si="4"/>
        <v>0</v>
      </c>
      <c r="S53" s="17">
        <f>IF(R53&gt;0,VLOOKUP(C53,极品属性表调整!$A$16:$B$22,2,0),0)</f>
        <v>0</v>
      </c>
      <c r="T53" s="57" t="str">
        <f>VLOOKUP(--H53,套装调整!$Q$19:$R$24,2,0)</f>
        <v>101,102</v>
      </c>
    </row>
    <row r="54" spans="1:20" x14ac:dyDescent="0.2">
      <c r="A54">
        <f t="shared" si="5"/>
        <v>2</v>
      </c>
      <c r="B54" s="12">
        <v>4</v>
      </c>
      <c r="C54">
        <v>4</v>
      </c>
      <c r="D54">
        <v>1</v>
      </c>
      <c r="E54">
        <v>40302</v>
      </c>
      <c r="F54">
        <f>VLOOKUP(C54,性价比!$T$25:$U$31,2,0)*VLOOKUP(--H54,性价比!$W$3:$Y$8,3,0)</f>
        <v>16</v>
      </c>
      <c r="G54" t="str">
        <f t="shared" si="1"/>
        <v>40302:16</v>
      </c>
      <c r="H54" s="25" t="str">
        <f t="shared" si="8"/>
        <v>41</v>
      </c>
      <c r="I54" s="37">
        <f>VLOOKUP(--H54,相关定价!$A$4:$D$9,4,0)*VLOOKUP(--H54,相关定价!$A$4:$D$9,3,0)</f>
        <v>900</v>
      </c>
      <c r="J54" s="35">
        <v>0</v>
      </c>
      <c r="K54" s="36">
        <f t="shared" si="10"/>
        <v>1360</v>
      </c>
      <c r="L54" s="35">
        <v>0</v>
      </c>
      <c r="M54" s="36">
        <f t="shared" si="10"/>
        <v>540</v>
      </c>
      <c r="N54">
        <f t="shared" si="2"/>
        <v>2</v>
      </c>
      <c r="O54" s="17" t="str">
        <f>IF(N54&gt;0,VLOOKUP(C54,极品属性表调整!$A$2:$B$8,2,0),0)</f>
        <v>204</v>
      </c>
      <c r="P54">
        <f t="shared" si="3"/>
        <v>0</v>
      </c>
      <c r="Q54" s="17">
        <f>IF(P54&gt;0,VLOOKUP(C54,极品属性表调整!$A$9:$B$15,2,0),0)</f>
        <v>0</v>
      </c>
      <c r="R54">
        <f t="shared" si="4"/>
        <v>0</v>
      </c>
      <c r="S54" s="17">
        <f>IF(R54&gt;0,VLOOKUP(C54,极品属性表调整!$A$16:$B$22,2,0),0)</f>
        <v>0</v>
      </c>
      <c r="T54" s="57" t="str">
        <f>VLOOKUP(--H54,套装调整!$Q$19:$R$24,2,0)</f>
        <v>101,102</v>
      </c>
    </row>
    <row r="55" spans="1:20" x14ac:dyDescent="0.2">
      <c r="A55">
        <f t="shared" si="5"/>
        <v>2</v>
      </c>
      <c r="B55" s="12">
        <v>4</v>
      </c>
      <c r="C55">
        <v>5</v>
      </c>
      <c r="D55">
        <v>1</v>
      </c>
      <c r="E55">
        <v>40302</v>
      </c>
      <c r="F55">
        <f>VLOOKUP(C55,性价比!$T$25:$U$31,2,0)*VLOOKUP(--H55,性价比!$W$3:$Y$8,3,0)</f>
        <v>20</v>
      </c>
      <c r="G55" t="str">
        <f t="shared" si="1"/>
        <v>40302:20</v>
      </c>
      <c r="H55" s="25" t="str">
        <f t="shared" si="8"/>
        <v>41</v>
      </c>
      <c r="I55" s="37">
        <f>VLOOKUP(--H55,相关定价!$A$4:$D$9,4,0)*VLOOKUP(--H55,相关定价!$A$4:$D$9,3,0)</f>
        <v>900</v>
      </c>
      <c r="J55" s="35">
        <v>0</v>
      </c>
      <c r="K55" s="36">
        <f t="shared" si="10"/>
        <v>2448</v>
      </c>
      <c r="L55" s="35">
        <v>0</v>
      </c>
      <c r="M55" s="36">
        <f t="shared" si="10"/>
        <v>972</v>
      </c>
      <c r="N55">
        <f t="shared" si="2"/>
        <v>2</v>
      </c>
      <c r="O55" s="17" t="str">
        <f>IF(N55&gt;0,VLOOKUP(C55,极品属性表调整!$A$2:$B$8,2,0),0)</f>
        <v>205</v>
      </c>
      <c r="P55">
        <f t="shared" si="3"/>
        <v>0</v>
      </c>
      <c r="Q55" s="17">
        <f>IF(P55&gt;0,VLOOKUP(C55,极品属性表调整!$A$9:$B$15,2,0),0)</f>
        <v>0</v>
      </c>
      <c r="R55">
        <f t="shared" si="4"/>
        <v>0</v>
      </c>
      <c r="S55" s="17">
        <f>IF(R55&gt;0,VLOOKUP(C55,极品属性表调整!$A$16:$B$22,2,0),0)</f>
        <v>0</v>
      </c>
      <c r="T55" s="57" t="str">
        <f>VLOOKUP(--H55,套装调整!$Q$19:$R$24,2,0)</f>
        <v>101,102</v>
      </c>
    </row>
    <row r="56" spans="1:20" x14ac:dyDescent="0.2">
      <c r="A56">
        <f t="shared" si="5"/>
        <v>2</v>
      </c>
      <c r="B56" s="12">
        <v>4</v>
      </c>
      <c r="C56">
        <v>6</v>
      </c>
      <c r="D56">
        <v>1</v>
      </c>
      <c r="E56">
        <v>40302</v>
      </c>
      <c r="F56">
        <f>VLOOKUP(C56,性价比!$T$25:$U$31,2,0)*VLOOKUP(--H56,性价比!$W$3:$Y$8,3,0)</f>
        <v>24</v>
      </c>
      <c r="G56" t="str">
        <f t="shared" si="1"/>
        <v>40302:24</v>
      </c>
      <c r="H56" s="25" t="str">
        <f t="shared" si="8"/>
        <v>41</v>
      </c>
      <c r="I56" s="37">
        <f>VLOOKUP(--H56,相关定价!$A$4:$D$9,4,0)*VLOOKUP(--H56,相关定价!$A$4:$D$9,3,0)</f>
        <v>900</v>
      </c>
      <c r="J56" s="35">
        <v>0</v>
      </c>
      <c r="K56" s="36">
        <f t="shared" si="10"/>
        <v>4382</v>
      </c>
      <c r="L56" s="35">
        <v>0</v>
      </c>
      <c r="M56" s="36">
        <f t="shared" si="10"/>
        <v>1738</v>
      </c>
      <c r="N56">
        <f t="shared" si="2"/>
        <v>2</v>
      </c>
      <c r="O56" s="17" t="str">
        <f>IF(N56&gt;0,VLOOKUP(C56,极品属性表调整!$A$2:$B$8,2,0),0)</f>
        <v>206</v>
      </c>
      <c r="P56">
        <f t="shared" si="3"/>
        <v>0</v>
      </c>
      <c r="Q56" s="17">
        <f>IF(P56&gt;0,VLOOKUP(C56,极品属性表调整!$A$9:$B$15,2,0),0)</f>
        <v>0</v>
      </c>
      <c r="R56">
        <f t="shared" si="4"/>
        <v>0</v>
      </c>
      <c r="S56" s="17">
        <f>IF(R56&gt;0,VLOOKUP(C56,极品属性表调整!$A$16:$B$22,2,0),0)</f>
        <v>0</v>
      </c>
      <c r="T56" s="57" t="str">
        <f>VLOOKUP(--H56,套装调整!$Q$19:$R$24,2,0)</f>
        <v>101,102</v>
      </c>
    </row>
    <row r="57" spans="1:20" x14ac:dyDescent="0.2">
      <c r="A57">
        <f t="shared" si="5"/>
        <v>2</v>
      </c>
      <c r="B57" s="12">
        <v>4</v>
      </c>
      <c r="C57">
        <v>7</v>
      </c>
      <c r="D57">
        <v>1</v>
      </c>
      <c r="E57">
        <v>40302</v>
      </c>
      <c r="F57">
        <f>VLOOKUP(C57,性价比!$T$25:$U$31,2,0)*VLOOKUP(--H57,性价比!$W$3:$Y$8,3,0)</f>
        <v>0</v>
      </c>
      <c r="G57" t="str">
        <f t="shared" si="1"/>
        <v>40302:0</v>
      </c>
      <c r="H57" s="25" t="str">
        <f t="shared" si="8"/>
        <v>41</v>
      </c>
      <c r="I57" s="37">
        <f>VLOOKUP(--H57,相关定价!$A$4:$D$9,4,0)*VLOOKUP(--H57,相关定价!$A$4:$D$9,3,0)</f>
        <v>900</v>
      </c>
      <c r="J57" s="35">
        <v>0</v>
      </c>
      <c r="K57" s="36">
        <f t="shared" si="10"/>
        <v>7799</v>
      </c>
      <c r="L57" s="35">
        <v>0</v>
      </c>
      <c r="M57" s="36">
        <f t="shared" si="10"/>
        <v>3092</v>
      </c>
      <c r="N57">
        <f t="shared" si="2"/>
        <v>2</v>
      </c>
      <c r="O57" s="17" t="str">
        <f>IF(N57&gt;0,VLOOKUP(C57,极品属性表调整!$A$2:$B$8,2,0),0)</f>
        <v>207</v>
      </c>
      <c r="P57">
        <f t="shared" si="3"/>
        <v>0</v>
      </c>
      <c r="Q57" s="17">
        <f>IF(P57&gt;0,VLOOKUP(C57,极品属性表调整!$A$9:$B$15,2,0),0)</f>
        <v>0</v>
      </c>
      <c r="R57">
        <f t="shared" si="4"/>
        <v>0</v>
      </c>
      <c r="S57" s="17">
        <f>IF(R57&gt;0,VLOOKUP(C57,极品属性表调整!$A$16:$B$22,2,0),0)</f>
        <v>0</v>
      </c>
      <c r="T57" s="57" t="str">
        <f>VLOOKUP(--H57,套装调整!$Q$19:$R$24,2,0)</f>
        <v>101,102</v>
      </c>
    </row>
    <row r="58" spans="1:20" x14ac:dyDescent="0.2">
      <c r="A58">
        <f t="shared" si="5"/>
        <v>2</v>
      </c>
      <c r="B58" s="12">
        <v>4</v>
      </c>
      <c r="C58">
        <v>1</v>
      </c>
      <c r="D58">
        <v>2</v>
      </c>
      <c r="E58">
        <v>40302</v>
      </c>
      <c r="F58">
        <f>VLOOKUP(C58,性价比!$T$25:$U$31,2,0)*VLOOKUP(--H58,性价比!$W$3:$Y$8,3,0)</f>
        <v>4</v>
      </c>
      <c r="G58" t="str">
        <f t="shared" si="1"/>
        <v>40302:4</v>
      </c>
      <c r="H58" s="25" t="str">
        <f t="shared" si="8"/>
        <v>42</v>
      </c>
      <c r="I58" s="37">
        <f>VLOOKUP(--H58,相关定价!$A$4:$D$9,4,0)*VLOOKUP(--H58,相关定价!$A$4:$D$9,3,0)</f>
        <v>1200</v>
      </c>
      <c r="J58" s="35">
        <v>0</v>
      </c>
      <c r="K58" s="36">
        <f t="shared" si="10"/>
        <v>220</v>
      </c>
      <c r="L58" s="35">
        <v>0</v>
      </c>
      <c r="M58" s="36">
        <f t="shared" si="10"/>
        <v>88</v>
      </c>
      <c r="N58">
        <f t="shared" si="2"/>
        <v>1</v>
      </c>
      <c r="O58" s="17" t="str">
        <f>IF(N58&gt;0,VLOOKUP(C58,极品属性表调整!$A$2:$B$8,2,0),0)</f>
        <v>201</v>
      </c>
      <c r="P58">
        <f t="shared" si="3"/>
        <v>1</v>
      </c>
      <c r="Q58" s="17" t="str">
        <f>IF(P58&gt;0,VLOOKUP(C58,极品属性表调整!$A$9:$B$15,2,0),0)</f>
        <v>301</v>
      </c>
      <c r="R58">
        <f t="shared" si="4"/>
        <v>0</v>
      </c>
      <c r="S58" s="17">
        <f>IF(R58&gt;0,VLOOKUP(C58,极品属性表调整!$A$16:$B$22,2,0),0)</f>
        <v>0</v>
      </c>
      <c r="T58" s="57" t="str">
        <f>VLOOKUP(--H58,套装调整!$Q$19:$R$24,2,0)</f>
        <v>201,202</v>
      </c>
    </row>
    <row r="59" spans="1:20" x14ac:dyDescent="0.2">
      <c r="A59">
        <f t="shared" si="5"/>
        <v>2</v>
      </c>
      <c r="B59" s="12">
        <v>4</v>
      </c>
      <c r="C59">
        <v>2</v>
      </c>
      <c r="D59">
        <v>2</v>
      </c>
      <c r="E59">
        <v>40302</v>
      </c>
      <c r="F59">
        <f>VLOOKUP(C59,性价比!$T$25:$U$31,2,0)*VLOOKUP(--H59,性价比!$W$3:$Y$8,3,0)</f>
        <v>8</v>
      </c>
      <c r="G59" t="str">
        <f t="shared" si="1"/>
        <v>40302:8</v>
      </c>
      <c r="H59" s="25" t="str">
        <f t="shared" si="8"/>
        <v>42</v>
      </c>
      <c r="I59" s="37">
        <f>VLOOKUP(--H59,相关定价!$A$4:$D$9,4,0)*VLOOKUP(--H59,相关定价!$A$4:$D$9,3,0)</f>
        <v>1200</v>
      </c>
      <c r="J59" s="35">
        <v>0</v>
      </c>
      <c r="K59" s="36">
        <f t="shared" si="10"/>
        <v>385</v>
      </c>
      <c r="L59" s="35">
        <v>0</v>
      </c>
      <c r="M59" s="36">
        <f t="shared" si="10"/>
        <v>154</v>
      </c>
      <c r="N59">
        <f t="shared" si="2"/>
        <v>1</v>
      </c>
      <c r="O59" s="17" t="str">
        <f>IF(N59&gt;0,VLOOKUP(C59,极品属性表调整!$A$2:$B$8,2,0),0)</f>
        <v>202</v>
      </c>
      <c r="P59">
        <f t="shared" si="3"/>
        <v>1</v>
      </c>
      <c r="Q59" s="17" t="str">
        <f>IF(P59&gt;0,VLOOKUP(C59,极品属性表调整!$A$9:$B$15,2,0),0)</f>
        <v>302</v>
      </c>
      <c r="R59">
        <f t="shared" si="4"/>
        <v>0</v>
      </c>
      <c r="S59" s="17">
        <f>IF(R59&gt;0,VLOOKUP(C59,极品属性表调整!$A$16:$B$22,2,0),0)</f>
        <v>0</v>
      </c>
      <c r="T59" s="57" t="str">
        <f>VLOOKUP(--H59,套装调整!$Q$19:$R$24,2,0)</f>
        <v>201,202</v>
      </c>
    </row>
    <row r="60" spans="1:20" x14ac:dyDescent="0.2">
      <c r="A60">
        <f t="shared" si="5"/>
        <v>2</v>
      </c>
      <c r="B60" s="12">
        <v>4</v>
      </c>
      <c r="C60">
        <v>3</v>
      </c>
      <c r="D60">
        <v>2</v>
      </c>
      <c r="E60">
        <v>40302</v>
      </c>
      <c r="F60">
        <f>VLOOKUP(C60,性价比!$T$25:$U$31,2,0)*VLOOKUP(--H60,性价比!$W$3:$Y$8,3,0)</f>
        <v>12</v>
      </c>
      <c r="G60" t="str">
        <f t="shared" si="1"/>
        <v>40302:12</v>
      </c>
      <c r="H60" s="25" t="str">
        <f t="shared" si="8"/>
        <v>42</v>
      </c>
      <c r="I60" s="37">
        <f>VLOOKUP(--H60,相关定价!$A$4:$D$9,4,0)*VLOOKUP(--H60,相关定价!$A$4:$D$9,3,0)</f>
        <v>1200</v>
      </c>
      <c r="J60" s="35">
        <v>0</v>
      </c>
      <c r="K60" s="36">
        <f t="shared" si="10"/>
        <v>739</v>
      </c>
      <c r="L60" s="35">
        <v>0</v>
      </c>
      <c r="M60" s="36">
        <f t="shared" si="10"/>
        <v>294</v>
      </c>
      <c r="N60">
        <f t="shared" si="2"/>
        <v>1</v>
      </c>
      <c r="O60" s="17" t="str">
        <f>IF(N60&gt;0,VLOOKUP(C60,极品属性表调整!$A$2:$B$8,2,0),0)</f>
        <v>203</v>
      </c>
      <c r="P60">
        <f t="shared" si="3"/>
        <v>1</v>
      </c>
      <c r="Q60" s="17" t="str">
        <f>IF(P60&gt;0,VLOOKUP(C60,极品属性表调整!$A$9:$B$15,2,0),0)</f>
        <v>303</v>
      </c>
      <c r="R60">
        <f t="shared" si="4"/>
        <v>0</v>
      </c>
      <c r="S60" s="17">
        <f>IF(R60&gt;0,VLOOKUP(C60,极品属性表调整!$A$16:$B$22,2,0),0)</f>
        <v>0</v>
      </c>
      <c r="T60" s="57" t="str">
        <f>VLOOKUP(--H60,套装调整!$Q$19:$R$24,2,0)</f>
        <v>201,202</v>
      </c>
    </row>
    <row r="61" spans="1:20" x14ac:dyDescent="0.2">
      <c r="A61">
        <f t="shared" si="5"/>
        <v>2</v>
      </c>
      <c r="B61" s="12">
        <v>4</v>
      </c>
      <c r="C61">
        <v>4</v>
      </c>
      <c r="D61">
        <v>2</v>
      </c>
      <c r="E61">
        <v>40302</v>
      </c>
      <c r="F61">
        <f>VLOOKUP(C61,性价比!$T$25:$U$31,2,0)*VLOOKUP(--H61,性价比!$W$3:$Y$8,3,0)</f>
        <v>16</v>
      </c>
      <c r="G61" t="str">
        <f t="shared" si="1"/>
        <v>40302:16</v>
      </c>
      <c r="H61" s="25" t="str">
        <f t="shared" si="8"/>
        <v>42</v>
      </c>
      <c r="I61" s="37">
        <f>VLOOKUP(--H61,相关定价!$A$4:$D$9,4,0)*VLOOKUP(--H61,相关定价!$A$4:$D$9,3,0)</f>
        <v>1200</v>
      </c>
      <c r="J61" s="35">
        <v>0</v>
      </c>
      <c r="K61" s="36">
        <f t="shared" si="10"/>
        <v>1360</v>
      </c>
      <c r="L61" s="35">
        <v>0</v>
      </c>
      <c r="M61" s="36">
        <f t="shared" si="10"/>
        <v>540</v>
      </c>
      <c r="N61">
        <f t="shared" si="2"/>
        <v>1</v>
      </c>
      <c r="O61" s="17" t="str">
        <f>IF(N61&gt;0,VLOOKUP(C61,极品属性表调整!$A$2:$B$8,2,0),0)</f>
        <v>204</v>
      </c>
      <c r="P61">
        <f t="shared" si="3"/>
        <v>1</v>
      </c>
      <c r="Q61" s="17" t="str">
        <f>IF(P61&gt;0,VLOOKUP(C61,极品属性表调整!$A$9:$B$15,2,0),0)</f>
        <v>304</v>
      </c>
      <c r="R61">
        <f t="shared" si="4"/>
        <v>0</v>
      </c>
      <c r="S61" s="17">
        <f>IF(R61&gt;0,VLOOKUP(C61,极品属性表调整!$A$16:$B$22,2,0),0)</f>
        <v>0</v>
      </c>
      <c r="T61" s="57" t="str">
        <f>VLOOKUP(--H61,套装调整!$Q$19:$R$24,2,0)</f>
        <v>201,202</v>
      </c>
    </row>
    <row r="62" spans="1:20" x14ac:dyDescent="0.2">
      <c r="A62">
        <f t="shared" si="5"/>
        <v>2</v>
      </c>
      <c r="B62" s="12">
        <v>4</v>
      </c>
      <c r="C62">
        <v>5</v>
      </c>
      <c r="D62">
        <v>2</v>
      </c>
      <c r="E62">
        <v>40302</v>
      </c>
      <c r="F62">
        <f>VLOOKUP(C62,性价比!$T$25:$U$31,2,0)*VLOOKUP(--H62,性价比!$W$3:$Y$8,3,0)</f>
        <v>20</v>
      </c>
      <c r="G62" t="str">
        <f t="shared" si="1"/>
        <v>40302:20</v>
      </c>
      <c r="H62" s="25" t="str">
        <f t="shared" si="8"/>
        <v>42</v>
      </c>
      <c r="I62" s="37">
        <f>VLOOKUP(--H62,相关定价!$A$4:$D$9,4,0)*VLOOKUP(--H62,相关定价!$A$4:$D$9,3,0)</f>
        <v>1200</v>
      </c>
      <c r="J62" s="35">
        <v>0</v>
      </c>
      <c r="K62" s="36">
        <f t="shared" si="10"/>
        <v>2448</v>
      </c>
      <c r="L62" s="35">
        <v>0</v>
      </c>
      <c r="M62" s="36">
        <f t="shared" si="10"/>
        <v>972</v>
      </c>
      <c r="N62">
        <f t="shared" si="2"/>
        <v>1</v>
      </c>
      <c r="O62" s="17" t="str">
        <f>IF(N62&gt;0,VLOOKUP(C62,极品属性表调整!$A$2:$B$8,2,0),0)</f>
        <v>205</v>
      </c>
      <c r="P62">
        <f t="shared" si="3"/>
        <v>1</v>
      </c>
      <c r="Q62" s="17" t="str">
        <f>IF(P62&gt;0,VLOOKUP(C62,极品属性表调整!$A$9:$B$15,2,0),0)</f>
        <v>305</v>
      </c>
      <c r="R62">
        <f t="shared" si="4"/>
        <v>0</v>
      </c>
      <c r="S62" s="17">
        <f>IF(R62&gt;0,VLOOKUP(C62,极品属性表调整!$A$16:$B$22,2,0),0)</f>
        <v>0</v>
      </c>
      <c r="T62" s="57" t="str">
        <f>VLOOKUP(--H62,套装调整!$Q$19:$R$24,2,0)</f>
        <v>201,202</v>
      </c>
    </row>
    <row r="63" spans="1:20" x14ac:dyDescent="0.2">
      <c r="A63">
        <f t="shared" si="5"/>
        <v>2</v>
      </c>
      <c r="B63" s="12">
        <v>4</v>
      </c>
      <c r="C63">
        <v>6</v>
      </c>
      <c r="D63">
        <v>2</v>
      </c>
      <c r="E63">
        <v>40302</v>
      </c>
      <c r="F63">
        <f>VLOOKUP(C63,性价比!$T$25:$U$31,2,0)*VLOOKUP(--H63,性价比!$W$3:$Y$8,3,0)</f>
        <v>24</v>
      </c>
      <c r="G63" t="str">
        <f t="shared" si="1"/>
        <v>40302:24</v>
      </c>
      <c r="H63" s="25" t="str">
        <f t="shared" si="8"/>
        <v>42</v>
      </c>
      <c r="I63" s="37">
        <f>VLOOKUP(--H63,相关定价!$A$4:$D$9,4,0)*VLOOKUP(--H63,相关定价!$A$4:$D$9,3,0)</f>
        <v>1200</v>
      </c>
      <c r="J63" s="35">
        <v>0</v>
      </c>
      <c r="K63" s="36">
        <f t="shared" si="10"/>
        <v>4382</v>
      </c>
      <c r="L63" s="35">
        <v>0</v>
      </c>
      <c r="M63" s="36">
        <f t="shared" si="10"/>
        <v>1738</v>
      </c>
      <c r="N63">
        <f t="shared" si="2"/>
        <v>1</v>
      </c>
      <c r="O63" s="17" t="str">
        <f>IF(N63&gt;0,VLOOKUP(C63,极品属性表调整!$A$2:$B$8,2,0),0)</f>
        <v>206</v>
      </c>
      <c r="P63">
        <f t="shared" si="3"/>
        <v>1</v>
      </c>
      <c r="Q63" s="17" t="str">
        <f>IF(P63&gt;0,VLOOKUP(C63,极品属性表调整!$A$9:$B$15,2,0),0)</f>
        <v>306</v>
      </c>
      <c r="R63">
        <f t="shared" si="4"/>
        <v>0</v>
      </c>
      <c r="S63" s="17">
        <f>IF(R63&gt;0,VLOOKUP(C63,极品属性表调整!$A$16:$B$22,2,0),0)</f>
        <v>0</v>
      </c>
      <c r="T63" s="57" t="str">
        <f>VLOOKUP(--H63,套装调整!$Q$19:$R$24,2,0)</f>
        <v>201,202</v>
      </c>
    </row>
    <row r="64" spans="1:20" x14ac:dyDescent="0.2">
      <c r="A64">
        <f t="shared" si="5"/>
        <v>2</v>
      </c>
      <c r="B64" s="12">
        <v>4</v>
      </c>
      <c r="C64">
        <v>7</v>
      </c>
      <c r="D64">
        <v>2</v>
      </c>
      <c r="E64">
        <v>40302</v>
      </c>
      <c r="F64">
        <f>VLOOKUP(C64,性价比!$T$25:$U$31,2,0)*VLOOKUP(--H64,性价比!$W$3:$Y$8,3,0)</f>
        <v>0</v>
      </c>
      <c r="G64" t="str">
        <f t="shared" si="1"/>
        <v>40302:0</v>
      </c>
      <c r="H64" s="25" t="str">
        <f t="shared" si="8"/>
        <v>42</v>
      </c>
      <c r="I64" s="37">
        <f>VLOOKUP(--H64,相关定价!$A$4:$D$9,4,0)*VLOOKUP(--H64,相关定价!$A$4:$D$9,3,0)</f>
        <v>1200</v>
      </c>
      <c r="J64" s="35">
        <v>0</v>
      </c>
      <c r="K64" s="36">
        <f t="shared" si="10"/>
        <v>7799</v>
      </c>
      <c r="L64" s="35">
        <v>0</v>
      </c>
      <c r="M64" s="36">
        <f t="shared" si="10"/>
        <v>3092</v>
      </c>
      <c r="N64">
        <f t="shared" si="2"/>
        <v>1</v>
      </c>
      <c r="O64" s="17" t="str">
        <f>IF(N64&gt;0,VLOOKUP(C64,极品属性表调整!$A$2:$B$8,2,0),0)</f>
        <v>207</v>
      </c>
      <c r="P64">
        <f t="shared" si="3"/>
        <v>1</v>
      </c>
      <c r="Q64" s="17" t="str">
        <f>IF(P64&gt;0,VLOOKUP(C64,极品属性表调整!$A$9:$B$15,2,0),0)</f>
        <v>307</v>
      </c>
      <c r="R64">
        <f t="shared" si="4"/>
        <v>0</v>
      </c>
      <c r="S64" s="17">
        <f>IF(R64&gt;0,VLOOKUP(C64,极品属性表调整!$A$16:$B$22,2,0),0)</f>
        <v>0</v>
      </c>
      <c r="T64" s="57" t="str">
        <f>VLOOKUP(--H64,套装调整!$Q$19:$R$24,2,0)</f>
        <v>201,202</v>
      </c>
    </row>
    <row r="65" spans="1:20" x14ac:dyDescent="0.2">
      <c r="A65">
        <f t="shared" si="5"/>
        <v>2</v>
      </c>
      <c r="B65" s="4">
        <v>5</v>
      </c>
      <c r="C65">
        <v>1</v>
      </c>
      <c r="D65">
        <v>1</v>
      </c>
      <c r="E65">
        <v>40302</v>
      </c>
      <c r="F65">
        <f>VLOOKUP(C65,性价比!$T$25:$U$31,2,0)*VLOOKUP(--H65,性价比!$W$3:$Y$8,3,0)</f>
        <v>6</v>
      </c>
      <c r="G65" t="str">
        <f t="shared" si="1"/>
        <v>40302:6</v>
      </c>
      <c r="H65" s="25" t="str">
        <f t="shared" si="8"/>
        <v>51</v>
      </c>
      <c r="I65" s="37">
        <f>VLOOKUP(--H65,相关定价!$A$4:$D$9,4,0)*VLOOKUP(--H65,相关定价!$A$4:$D$9,3,0)</f>
        <v>2100</v>
      </c>
      <c r="J65" s="35">
        <v>0</v>
      </c>
      <c r="K65" s="36">
        <f t="shared" si="10"/>
        <v>396</v>
      </c>
      <c r="L65" s="35">
        <v>0</v>
      </c>
      <c r="M65" s="36">
        <f t="shared" si="10"/>
        <v>158</v>
      </c>
      <c r="N65">
        <f t="shared" si="2"/>
        <v>2</v>
      </c>
      <c r="O65" s="17" t="str">
        <f>IF(N65&gt;0,VLOOKUP(C65,极品属性表调整!$A$2:$B$8,2,0),0)</f>
        <v>201</v>
      </c>
      <c r="P65">
        <f t="shared" si="3"/>
        <v>1</v>
      </c>
      <c r="Q65" s="17" t="str">
        <f>IF(P65&gt;0,VLOOKUP(C65,极品属性表调整!$A$9:$B$15,2,0),0)</f>
        <v>301</v>
      </c>
      <c r="R65">
        <f t="shared" si="4"/>
        <v>0</v>
      </c>
      <c r="S65" s="17">
        <f>IF(R65&gt;0,VLOOKUP(C65,极品属性表调整!$A$16:$B$22,2,0),0)</f>
        <v>0</v>
      </c>
      <c r="T65" s="57">
        <f>VLOOKUP(--H65,套装调整!$Q$19:$R$24,2,0)</f>
        <v>0</v>
      </c>
    </row>
    <row r="66" spans="1:20" x14ac:dyDescent="0.2">
      <c r="A66">
        <f t="shared" si="5"/>
        <v>2</v>
      </c>
      <c r="B66" s="4">
        <v>5</v>
      </c>
      <c r="C66">
        <v>2</v>
      </c>
      <c r="D66">
        <v>1</v>
      </c>
      <c r="E66">
        <v>40302</v>
      </c>
      <c r="F66">
        <f>VLOOKUP(C66,性价比!$T$25:$U$31,2,0)*VLOOKUP(--H66,性价比!$W$3:$Y$8,3,0)</f>
        <v>12</v>
      </c>
      <c r="G66" t="str">
        <f t="shared" si="1"/>
        <v>40302:12</v>
      </c>
      <c r="H66" s="25" t="str">
        <f t="shared" ref="H66:H97" si="11">B66&amp;D66</f>
        <v>51</v>
      </c>
      <c r="I66" s="37">
        <f>VLOOKUP(--H66,相关定价!$A$4:$D$9,4,0)*VLOOKUP(--H66,相关定价!$A$4:$D$9,3,0)</f>
        <v>2100</v>
      </c>
      <c r="J66" s="35">
        <v>0</v>
      </c>
      <c r="K66" s="36">
        <f t="shared" si="10"/>
        <v>693</v>
      </c>
      <c r="L66" s="35">
        <v>0</v>
      </c>
      <c r="M66" s="36">
        <f t="shared" si="10"/>
        <v>277</v>
      </c>
      <c r="N66">
        <f t="shared" si="2"/>
        <v>2</v>
      </c>
      <c r="O66" s="17" t="str">
        <f>IF(N66&gt;0,VLOOKUP(C66,极品属性表调整!$A$2:$B$8,2,0),0)</f>
        <v>202</v>
      </c>
      <c r="P66">
        <f t="shared" si="3"/>
        <v>1</v>
      </c>
      <c r="Q66" s="17" t="str">
        <f>IF(P66&gt;0,VLOOKUP(C66,极品属性表调整!$A$9:$B$15,2,0),0)</f>
        <v>302</v>
      </c>
      <c r="R66">
        <f t="shared" si="4"/>
        <v>0</v>
      </c>
      <c r="S66" s="17">
        <f>IF(R66&gt;0,VLOOKUP(C66,极品属性表调整!$A$16:$B$22,2,0),0)</f>
        <v>0</v>
      </c>
      <c r="T66" s="57">
        <f>VLOOKUP(--H66,套装调整!$Q$19:$R$24,2,0)</f>
        <v>0</v>
      </c>
    </row>
    <row r="67" spans="1:20" x14ac:dyDescent="0.2">
      <c r="A67">
        <f t="shared" si="5"/>
        <v>2</v>
      </c>
      <c r="B67" s="4">
        <v>5</v>
      </c>
      <c r="C67">
        <v>3</v>
      </c>
      <c r="D67">
        <v>1</v>
      </c>
      <c r="E67">
        <v>40302</v>
      </c>
      <c r="F67">
        <f>VLOOKUP(C67,性价比!$T$25:$U$31,2,0)*VLOOKUP(--H67,性价比!$W$3:$Y$8,3,0)</f>
        <v>18</v>
      </c>
      <c r="G67" t="str">
        <f t="shared" ref="G67:G130" si="12">E67&amp;":"&amp;F67</f>
        <v>40302:18</v>
      </c>
      <c r="H67" s="25" t="str">
        <f t="shared" si="11"/>
        <v>51</v>
      </c>
      <c r="I67" s="37">
        <f>VLOOKUP(--H67,相关定价!$A$4:$D$9,4,0)*VLOOKUP(--H67,相关定价!$A$4:$D$9,3,0)</f>
        <v>2100</v>
      </c>
      <c r="J67" s="35">
        <v>0</v>
      </c>
      <c r="K67" s="36">
        <f t="shared" si="10"/>
        <v>1330</v>
      </c>
      <c r="L67" s="35">
        <v>0</v>
      </c>
      <c r="M67" s="36">
        <f t="shared" si="10"/>
        <v>529</v>
      </c>
      <c r="N67">
        <f t="shared" ref="N67:N130" si="13">VLOOKUP(--H67,$U$5:$X$10,2,0)</f>
        <v>2</v>
      </c>
      <c r="O67" s="17" t="str">
        <f>IF(N67&gt;0,VLOOKUP(C67,极品属性表调整!$A$2:$B$8,2,0),0)</f>
        <v>203</v>
      </c>
      <c r="P67">
        <f t="shared" ref="P67:P130" si="14">VLOOKUP(--H67,$U$5:$X$10,3,0)</f>
        <v>1</v>
      </c>
      <c r="Q67" s="17" t="str">
        <f>IF(P67&gt;0,VLOOKUP(C67,极品属性表调整!$A$9:$B$15,2,0),0)</f>
        <v>303</v>
      </c>
      <c r="R67">
        <f t="shared" ref="R67:R130" si="15">VLOOKUP(--H67,$U$5:$X$10,4,0)</f>
        <v>0</v>
      </c>
      <c r="S67" s="17">
        <f>IF(R67&gt;0,VLOOKUP(C67,极品属性表调整!$A$16:$B$22,2,0),0)</f>
        <v>0</v>
      </c>
      <c r="T67" s="57">
        <f>VLOOKUP(--H67,套装调整!$Q$19:$R$24,2,0)</f>
        <v>0</v>
      </c>
    </row>
    <row r="68" spans="1:20" x14ac:dyDescent="0.2">
      <c r="A68">
        <f t="shared" ref="A68:A131" si="16">A67</f>
        <v>2</v>
      </c>
      <c r="B68" s="4">
        <v>5</v>
      </c>
      <c r="C68">
        <v>4</v>
      </c>
      <c r="D68">
        <v>1</v>
      </c>
      <c r="E68">
        <v>40302</v>
      </c>
      <c r="F68">
        <f>VLOOKUP(C68,性价比!$T$25:$U$31,2,0)*VLOOKUP(--H68,性价比!$W$3:$Y$8,3,0)</f>
        <v>24</v>
      </c>
      <c r="G68" t="str">
        <f t="shared" si="12"/>
        <v>40302:24</v>
      </c>
      <c r="H68" s="25" t="str">
        <f t="shared" si="11"/>
        <v>51</v>
      </c>
      <c r="I68" s="37">
        <f>VLOOKUP(--H68,相关定价!$A$4:$D$9,4,0)*VLOOKUP(--H68,相关定价!$A$4:$D$9,3,0)</f>
        <v>2100</v>
      </c>
      <c r="J68" s="35">
        <v>0</v>
      </c>
      <c r="K68" s="36">
        <f t="shared" si="10"/>
        <v>2448</v>
      </c>
      <c r="L68" s="35">
        <v>0</v>
      </c>
      <c r="M68" s="36">
        <f t="shared" si="10"/>
        <v>972</v>
      </c>
      <c r="N68">
        <f t="shared" si="13"/>
        <v>2</v>
      </c>
      <c r="O68" s="17" t="str">
        <f>IF(N68&gt;0,VLOOKUP(C68,极品属性表调整!$A$2:$B$8,2,0),0)</f>
        <v>204</v>
      </c>
      <c r="P68">
        <f t="shared" si="14"/>
        <v>1</v>
      </c>
      <c r="Q68" s="17" t="str">
        <f>IF(P68&gt;0,VLOOKUP(C68,极品属性表调整!$A$9:$B$15,2,0),0)</f>
        <v>304</v>
      </c>
      <c r="R68">
        <f t="shared" si="15"/>
        <v>0</v>
      </c>
      <c r="S68" s="17">
        <f>IF(R68&gt;0,VLOOKUP(C68,极品属性表调整!$A$16:$B$22,2,0),0)</f>
        <v>0</v>
      </c>
      <c r="T68" s="57">
        <f>VLOOKUP(--H68,套装调整!$Q$19:$R$24,2,0)</f>
        <v>0</v>
      </c>
    </row>
    <row r="69" spans="1:20" x14ac:dyDescent="0.2">
      <c r="A69">
        <f t="shared" si="16"/>
        <v>2</v>
      </c>
      <c r="B69" s="4">
        <v>5</v>
      </c>
      <c r="C69">
        <v>5</v>
      </c>
      <c r="D69">
        <v>1</v>
      </c>
      <c r="E69">
        <v>40302</v>
      </c>
      <c r="F69">
        <f>VLOOKUP(C69,性价比!$T$25:$U$31,2,0)*VLOOKUP(--H69,性价比!$W$3:$Y$8,3,0)</f>
        <v>30</v>
      </c>
      <c r="G69" t="str">
        <f t="shared" si="12"/>
        <v>40302:30</v>
      </c>
      <c r="H69" s="25" t="str">
        <f t="shared" si="11"/>
        <v>51</v>
      </c>
      <c r="I69" s="37">
        <f>VLOOKUP(--H69,相关定价!$A$4:$D$9,4,0)*VLOOKUP(--H69,相关定价!$A$4:$D$9,3,0)</f>
        <v>2100</v>
      </c>
      <c r="J69" s="35">
        <v>0</v>
      </c>
      <c r="K69" s="36">
        <f t="shared" si="10"/>
        <v>4406</v>
      </c>
      <c r="L69" s="35">
        <v>0</v>
      </c>
      <c r="M69" s="36">
        <f t="shared" si="10"/>
        <v>1749</v>
      </c>
      <c r="N69">
        <f t="shared" si="13"/>
        <v>2</v>
      </c>
      <c r="O69" s="17" t="str">
        <f>IF(N69&gt;0,VLOOKUP(C69,极品属性表调整!$A$2:$B$8,2,0),0)</f>
        <v>205</v>
      </c>
      <c r="P69">
        <f t="shared" si="14"/>
        <v>1</v>
      </c>
      <c r="Q69" s="17" t="str">
        <f>IF(P69&gt;0,VLOOKUP(C69,极品属性表调整!$A$9:$B$15,2,0),0)</f>
        <v>305</v>
      </c>
      <c r="R69">
        <f t="shared" si="15"/>
        <v>0</v>
      </c>
      <c r="S69" s="17">
        <f>IF(R69&gt;0,VLOOKUP(C69,极品属性表调整!$A$16:$B$22,2,0),0)</f>
        <v>0</v>
      </c>
      <c r="T69" s="57">
        <f>VLOOKUP(--H69,套装调整!$Q$19:$R$24,2,0)</f>
        <v>0</v>
      </c>
    </row>
    <row r="70" spans="1:20" x14ac:dyDescent="0.2">
      <c r="A70">
        <f t="shared" si="16"/>
        <v>2</v>
      </c>
      <c r="B70" s="4">
        <v>5</v>
      </c>
      <c r="C70">
        <v>6</v>
      </c>
      <c r="D70">
        <v>1</v>
      </c>
      <c r="E70">
        <v>40302</v>
      </c>
      <c r="F70">
        <f>VLOOKUP(C70,性价比!$T$25:$U$31,2,0)*VLOOKUP(--H70,性价比!$W$3:$Y$8,3,0)</f>
        <v>36</v>
      </c>
      <c r="G70" t="str">
        <f t="shared" si="12"/>
        <v>40302:36</v>
      </c>
      <c r="H70" s="25" t="str">
        <f t="shared" si="11"/>
        <v>51</v>
      </c>
      <c r="I70" s="37">
        <f>VLOOKUP(--H70,相关定价!$A$4:$D$9,4,0)*VLOOKUP(--H70,相关定价!$A$4:$D$9,3,0)</f>
        <v>2100</v>
      </c>
      <c r="J70" s="35">
        <v>0</v>
      </c>
      <c r="K70" s="36">
        <f t="shared" si="10"/>
        <v>7887</v>
      </c>
      <c r="L70" s="35">
        <v>0</v>
      </c>
      <c r="M70" s="36">
        <f t="shared" si="10"/>
        <v>3128</v>
      </c>
      <c r="N70">
        <f t="shared" si="13"/>
        <v>2</v>
      </c>
      <c r="O70" s="17" t="str">
        <f>IF(N70&gt;0,VLOOKUP(C70,极品属性表调整!$A$2:$B$8,2,0),0)</f>
        <v>206</v>
      </c>
      <c r="P70">
        <f t="shared" si="14"/>
        <v>1</v>
      </c>
      <c r="Q70" s="17" t="str">
        <f>IF(P70&gt;0,VLOOKUP(C70,极品属性表调整!$A$9:$B$15,2,0),0)</f>
        <v>306</v>
      </c>
      <c r="R70">
        <f t="shared" si="15"/>
        <v>0</v>
      </c>
      <c r="S70" s="17">
        <f>IF(R70&gt;0,VLOOKUP(C70,极品属性表调整!$A$16:$B$22,2,0),0)</f>
        <v>0</v>
      </c>
      <c r="T70" s="57">
        <f>VLOOKUP(--H70,套装调整!$Q$19:$R$24,2,0)</f>
        <v>0</v>
      </c>
    </row>
    <row r="71" spans="1:20" x14ac:dyDescent="0.2">
      <c r="A71">
        <f t="shared" si="16"/>
        <v>2</v>
      </c>
      <c r="B71" s="4">
        <v>5</v>
      </c>
      <c r="C71">
        <v>7</v>
      </c>
      <c r="D71">
        <v>1</v>
      </c>
      <c r="E71">
        <v>40302</v>
      </c>
      <c r="F71">
        <f>VLOOKUP(C71,性价比!$T$25:$U$31,2,0)*VLOOKUP(--H71,性价比!$W$3:$Y$8,3,0)</f>
        <v>0</v>
      </c>
      <c r="G71" t="str">
        <f t="shared" si="12"/>
        <v>40302:0</v>
      </c>
      <c r="H71" s="25" t="str">
        <f t="shared" si="11"/>
        <v>51</v>
      </c>
      <c r="I71" s="37">
        <f>VLOOKUP(--H71,相关定价!$A$4:$D$9,4,0)*VLOOKUP(--H71,相关定价!$A$4:$D$9,3,0)</f>
        <v>2100</v>
      </c>
      <c r="J71" s="35">
        <v>0</v>
      </c>
      <c r="K71" s="36">
        <f t="shared" si="10"/>
        <v>14039</v>
      </c>
      <c r="L71" s="35">
        <v>0</v>
      </c>
      <c r="M71" s="36">
        <f t="shared" si="10"/>
        <v>5565</v>
      </c>
      <c r="N71">
        <f t="shared" si="13"/>
        <v>2</v>
      </c>
      <c r="O71" s="17" t="str">
        <f>IF(N71&gt;0,VLOOKUP(C71,极品属性表调整!$A$2:$B$8,2,0),0)</f>
        <v>207</v>
      </c>
      <c r="P71">
        <f t="shared" si="14"/>
        <v>1</v>
      </c>
      <c r="Q71" s="17" t="str">
        <f>IF(P71&gt;0,VLOOKUP(C71,极品属性表调整!$A$9:$B$15,2,0),0)</f>
        <v>307</v>
      </c>
      <c r="R71">
        <f t="shared" si="15"/>
        <v>0</v>
      </c>
      <c r="S71" s="17">
        <f>IF(R71&gt;0,VLOOKUP(C71,极品属性表调整!$A$16:$B$22,2,0),0)</f>
        <v>0</v>
      </c>
      <c r="T71" s="57">
        <f>VLOOKUP(--H71,套装调整!$Q$19:$R$24,2,0)</f>
        <v>0</v>
      </c>
    </row>
    <row r="72" spans="1:20" x14ac:dyDescent="0.2">
      <c r="A72">
        <f t="shared" si="16"/>
        <v>2</v>
      </c>
      <c r="B72" s="4">
        <v>5</v>
      </c>
      <c r="C72">
        <v>1</v>
      </c>
      <c r="D72">
        <v>2</v>
      </c>
      <c r="E72">
        <v>40302</v>
      </c>
      <c r="F72">
        <f>VLOOKUP(C72,性价比!$T$25:$U$31,2,0)*VLOOKUP(--H72,性价比!$W$3:$Y$8,3,0)</f>
        <v>6</v>
      </c>
      <c r="G72" t="str">
        <f t="shared" si="12"/>
        <v>40302:6</v>
      </c>
      <c r="H72" s="25" t="str">
        <f t="shared" si="11"/>
        <v>52</v>
      </c>
      <c r="I72" s="37">
        <f>VLOOKUP(--H72,相关定价!$A$4:$D$9,4,0)*VLOOKUP(--H72,相关定价!$A$4:$D$9,3,0)</f>
        <v>2700</v>
      </c>
      <c r="J72" s="35">
        <v>0</v>
      </c>
      <c r="K72" s="36">
        <f t="shared" si="10"/>
        <v>396</v>
      </c>
      <c r="L72" s="35">
        <v>0</v>
      </c>
      <c r="M72" s="36">
        <f t="shared" si="10"/>
        <v>158</v>
      </c>
      <c r="N72">
        <f t="shared" si="13"/>
        <v>1</v>
      </c>
      <c r="O72" s="17" t="str">
        <f>IF(N72&gt;0,VLOOKUP(C72,极品属性表调整!$A$2:$B$8,2,0),0)</f>
        <v>201</v>
      </c>
      <c r="P72">
        <f t="shared" si="14"/>
        <v>1</v>
      </c>
      <c r="Q72" s="17" t="str">
        <f>IF(P72&gt;0,VLOOKUP(C72,极品属性表调整!$A$9:$B$15,2,0),0)</f>
        <v>301</v>
      </c>
      <c r="R72">
        <f t="shared" si="15"/>
        <v>1</v>
      </c>
      <c r="S72" s="17" t="str">
        <f>IF(R72&gt;0,VLOOKUP(C72,极品属性表调整!$A$16:$B$22,2,0),0)</f>
        <v>401</v>
      </c>
      <c r="T72" s="57" t="str">
        <f>VLOOKUP(--H72,套装调整!$Q$19:$R$24,2,0)</f>
        <v>301,302</v>
      </c>
    </row>
    <row r="73" spans="1:20" x14ac:dyDescent="0.2">
      <c r="A73">
        <f t="shared" si="16"/>
        <v>2</v>
      </c>
      <c r="B73" s="4">
        <v>5</v>
      </c>
      <c r="C73">
        <v>2</v>
      </c>
      <c r="D73">
        <v>2</v>
      </c>
      <c r="E73">
        <v>40302</v>
      </c>
      <c r="F73">
        <f>VLOOKUP(C73,性价比!$T$25:$U$31,2,0)*VLOOKUP(--H73,性价比!$W$3:$Y$8,3,0)</f>
        <v>12</v>
      </c>
      <c r="G73" t="str">
        <f t="shared" si="12"/>
        <v>40302:12</v>
      </c>
      <c r="H73" s="25" t="str">
        <f t="shared" si="11"/>
        <v>52</v>
      </c>
      <c r="I73" s="37">
        <f>VLOOKUP(--H73,相关定价!$A$4:$D$9,4,0)*VLOOKUP(--H73,相关定价!$A$4:$D$9,3,0)</f>
        <v>2700</v>
      </c>
      <c r="J73" s="35">
        <v>0</v>
      </c>
      <c r="K73" s="36">
        <f t="shared" si="10"/>
        <v>693</v>
      </c>
      <c r="L73" s="35">
        <v>0</v>
      </c>
      <c r="M73" s="36">
        <f t="shared" si="10"/>
        <v>277</v>
      </c>
      <c r="N73">
        <f t="shared" si="13"/>
        <v>1</v>
      </c>
      <c r="O73" s="17" t="str">
        <f>IF(N73&gt;0,VLOOKUP(C73,极品属性表调整!$A$2:$B$8,2,0),0)</f>
        <v>202</v>
      </c>
      <c r="P73">
        <f t="shared" si="14"/>
        <v>1</v>
      </c>
      <c r="Q73" s="17" t="str">
        <f>IF(P73&gt;0,VLOOKUP(C73,极品属性表调整!$A$9:$B$15,2,0),0)</f>
        <v>302</v>
      </c>
      <c r="R73">
        <f t="shared" si="15"/>
        <v>1</v>
      </c>
      <c r="S73" s="17" t="str">
        <f>IF(R73&gt;0,VLOOKUP(C73,极品属性表调整!$A$16:$B$22,2,0),0)</f>
        <v>402</v>
      </c>
      <c r="T73" s="57" t="str">
        <f>VLOOKUP(--H73,套装调整!$Q$19:$R$24,2,0)</f>
        <v>301,302</v>
      </c>
    </row>
    <row r="74" spans="1:20" x14ac:dyDescent="0.2">
      <c r="A74">
        <f t="shared" si="16"/>
        <v>2</v>
      </c>
      <c r="B74" s="4">
        <v>5</v>
      </c>
      <c r="C74">
        <v>3</v>
      </c>
      <c r="D74">
        <v>2</v>
      </c>
      <c r="E74">
        <v>40302</v>
      </c>
      <c r="F74">
        <f>VLOOKUP(C74,性价比!$T$25:$U$31,2,0)*VLOOKUP(--H74,性价比!$W$3:$Y$8,3,0)</f>
        <v>18</v>
      </c>
      <c r="G74" t="str">
        <f t="shared" si="12"/>
        <v>40302:18</v>
      </c>
      <c r="H74" s="25" t="str">
        <f t="shared" si="11"/>
        <v>52</v>
      </c>
      <c r="I74" s="37">
        <f>VLOOKUP(--H74,相关定价!$A$4:$D$9,4,0)*VLOOKUP(--H74,相关定价!$A$4:$D$9,3,0)</f>
        <v>2700</v>
      </c>
      <c r="J74" s="35">
        <v>0</v>
      </c>
      <c r="K74" s="36">
        <f t="shared" si="10"/>
        <v>1330</v>
      </c>
      <c r="L74" s="35">
        <v>0</v>
      </c>
      <c r="M74" s="36">
        <f t="shared" si="10"/>
        <v>529</v>
      </c>
      <c r="N74">
        <f t="shared" si="13"/>
        <v>1</v>
      </c>
      <c r="O74" s="17" t="str">
        <f>IF(N74&gt;0,VLOOKUP(C74,极品属性表调整!$A$2:$B$8,2,0),0)</f>
        <v>203</v>
      </c>
      <c r="P74">
        <f t="shared" si="14"/>
        <v>1</v>
      </c>
      <c r="Q74" s="17" t="str">
        <f>IF(P74&gt;0,VLOOKUP(C74,极品属性表调整!$A$9:$B$15,2,0),0)</f>
        <v>303</v>
      </c>
      <c r="R74">
        <f t="shared" si="15"/>
        <v>1</v>
      </c>
      <c r="S74" s="17" t="str">
        <f>IF(R74&gt;0,VLOOKUP(C74,极品属性表调整!$A$16:$B$22,2,0),0)</f>
        <v>403</v>
      </c>
      <c r="T74" s="57" t="str">
        <f>VLOOKUP(--H74,套装调整!$Q$19:$R$24,2,0)</f>
        <v>301,302</v>
      </c>
    </row>
    <row r="75" spans="1:20" x14ac:dyDescent="0.2">
      <c r="A75">
        <f t="shared" si="16"/>
        <v>2</v>
      </c>
      <c r="B75" s="4">
        <v>5</v>
      </c>
      <c r="C75">
        <v>4</v>
      </c>
      <c r="D75">
        <v>2</v>
      </c>
      <c r="E75">
        <v>40302</v>
      </c>
      <c r="F75">
        <f>VLOOKUP(C75,性价比!$T$25:$U$31,2,0)*VLOOKUP(--H75,性价比!$W$3:$Y$8,3,0)</f>
        <v>24</v>
      </c>
      <c r="G75" t="str">
        <f t="shared" si="12"/>
        <v>40302:24</v>
      </c>
      <c r="H75" s="25" t="str">
        <f t="shared" si="11"/>
        <v>52</v>
      </c>
      <c r="I75" s="37">
        <f>VLOOKUP(--H75,相关定价!$A$4:$D$9,4,0)*VLOOKUP(--H75,相关定价!$A$4:$D$9,3,0)</f>
        <v>2700</v>
      </c>
      <c r="J75" s="35">
        <v>0</v>
      </c>
      <c r="K75" s="36">
        <f t="shared" si="10"/>
        <v>2448</v>
      </c>
      <c r="L75" s="35">
        <v>0</v>
      </c>
      <c r="M75" s="36">
        <f t="shared" si="10"/>
        <v>972</v>
      </c>
      <c r="N75">
        <f t="shared" si="13"/>
        <v>1</v>
      </c>
      <c r="O75" s="17" t="str">
        <f>IF(N75&gt;0,VLOOKUP(C75,极品属性表调整!$A$2:$B$8,2,0),0)</f>
        <v>204</v>
      </c>
      <c r="P75">
        <f t="shared" si="14"/>
        <v>1</v>
      </c>
      <c r="Q75" s="17" t="str">
        <f>IF(P75&gt;0,VLOOKUP(C75,极品属性表调整!$A$9:$B$15,2,0),0)</f>
        <v>304</v>
      </c>
      <c r="R75">
        <f t="shared" si="15"/>
        <v>1</v>
      </c>
      <c r="S75" s="17" t="str">
        <f>IF(R75&gt;0,VLOOKUP(C75,极品属性表调整!$A$16:$B$22,2,0),0)</f>
        <v>404</v>
      </c>
      <c r="T75" s="57" t="str">
        <f>VLOOKUP(--H75,套装调整!$Q$19:$R$24,2,0)</f>
        <v>301,302</v>
      </c>
    </row>
    <row r="76" spans="1:20" x14ac:dyDescent="0.2">
      <c r="A76">
        <f t="shared" si="16"/>
        <v>2</v>
      </c>
      <c r="B76" s="4">
        <v>5</v>
      </c>
      <c r="C76">
        <v>5</v>
      </c>
      <c r="D76">
        <v>2</v>
      </c>
      <c r="E76">
        <v>40302</v>
      </c>
      <c r="F76">
        <f>VLOOKUP(C76,性价比!$T$25:$U$31,2,0)*VLOOKUP(--H76,性价比!$W$3:$Y$8,3,0)</f>
        <v>30</v>
      </c>
      <c r="G76" t="str">
        <f t="shared" si="12"/>
        <v>40302:30</v>
      </c>
      <c r="H76" s="25" t="str">
        <f t="shared" si="11"/>
        <v>52</v>
      </c>
      <c r="I76" s="37">
        <f>VLOOKUP(--H76,相关定价!$A$4:$D$9,4,0)*VLOOKUP(--H76,相关定价!$A$4:$D$9,3,0)</f>
        <v>2700</v>
      </c>
      <c r="J76" s="35">
        <v>0</v>
      </c>
      <c r="K76" s="36">
        <f t="shared" si="10"/>
        <v>4406</v>
      </c>
      <c r="L76" s="35">
        <v>0</v>
      </c>
      <c r="M76" s="36">
        <f t="shared" si="10"/>
        <v>1749</v>
      </c>
      <c r="N76">
        <f t="shared" si="13"/>
        <v>1</v>
      </c>
      <c r="O76" s="17" t="str">
        <f>IF(N76&gt;0,VLOOKUP(C76,极品属性表调整!$A$2:$B$8,2,0),0)</f>
        <v>205</v>
      </c>
      <c r="P76">
        <f t="shared" si="14"/>
        <v>1</v>
      </c>
      <c r="Q76" s="17" t="str">
        <f>IF(P76&gt;0,VLOOKUP(C76,极品属性表调整!$A$9:$B$15,2,0),0)</f>
        <v>305</v>
      </c>
      <c r="R76">
        <f t="shared" si="15"/>
        <v>1</v>
      </c>
      <c r="S76" s="17" t="str">
        <f>IF(R76&gt;0,VLOOKUP(C76,极品属性表调整!$A$16:$B$22,2,0),0)</f>
        <v>405</v>
      </c>
      <c r="T76" s="57" t="str">
        <f>VLOOKUP(--H76,套装调整!$Q$19:$R$24,2,0)</f>
        <v>301,302</v>
      </c>
    </row>
    <row r="77" spans="1:20" x14ac:dyDescent="0.2">
      <c r="A77">
        <f t="shared" si="16"/>
        <v>2</v>
      </c>
      <c r="B77" s="4">
        <v>5</v>
      </c>
      <c r="C77">
        <v>6</v>
      </c>
      <c r="D77">
        <v>2</v>
      </c>
      <c r="E77">
        <v>40302</v>
      </c>
      <c r="F77">
        <f>VLOOKUP(C77,性价比!$T$25:$U$31,2,0)*VLOOKUP(--H77,性价比!$W$3:$Y$8,3,0)</f>
        <v>36</v>
      </c>
      <c r="G77" t="str">
        <f t="shared" si="12"/>
        <v>40302:36</v>
      </c>
      <c r="H77" s="25" t="str">
        <f t="shared" si="11"/>
        <v>52</v>
      </c>
      <c r="I77" s="37">
        <f>VLOOKUP(--H77,相关定价!$A$4:$D$9,4,0)*VLOOKUP(--H77,相关定价!$A$4:$D$9,3,0)</f>
        <v>2700</v>
      </c>
      <c r="J77" s="35">
        <v>0</v>
      </c>
      <c r="K77" s="36">
        <f t="shared" si="10"/>
        <v>7887</v>
      </c>
      <c r="L77" s="35">
        <v>0</v>
      </c>
      <c r="M77" s="36">
        <f t="shared" si="10"/>
        <v>3128</v>
      </c>
      <c r="N77">
        <f t="shared" si="13"/>
        <v>1</v>
      </c>
      <c r="O77" s="17" t="str">
        <f>IF(N77&gt;0,VLOOKUP(C77,极品属性表调整!$A$2:$B$8,2,0),0)</f>
        <v>206</v>
      </c>
      <c r="P77">
        <f t="shared" si="14"/>
        <v>1</v>
      </c>
      <c r="Q77" s="17" t="str">
        <f>IF(P77&gt;0,VLOOKUP(C77,极品属性表调整!$A$9:$B$15,2,0),0)</f>
        <v>306</v>
      </c>
      <c r="R77">
        <f t="shared" si="15"/>
        <v>1</v>
      </c>
      <c r="S77" s="17" t="str">
        <f>IF(R77&gt;0,VLOOKUP(C77,极品属性表调整!$A$16:$B$22,2,0),0)</f>
        <v>406</v>
      </c>
      <c r="T77" s="57" t="str">
        <f>VLOOKUP(--H77,套装调整!$Q$19:$R$24,2,0)</f>
        <v>301,302</v>
      </c>
    </row>
    <row r="78" spans="1:20" x14ac:dyDescent="0.2">
      <c r="A78">
        <f t="shared" si="16"/>
        <v>2</v>
      </c>
      <c r="B78" s="4">
        <v>5</v>
      </c>
      <c r="C78">
        <v>7</v>
      </c>
      <c r="D78">
        <v>2</v>
      </c>
      <c r="E78">
        <v>40302</v>
      </c>
      <c r="F78">
        <f>VLOOKUP(C78,性价比!$T$25:$U$31,2,0)*VLOOKUP(--H78,性价比!$W$3:$Y$8,3,0)</f>
        <v>0</v>
      </c>
      <c r="G78" t="str">
        <f t="shared" si="12"/>
        <v>40302:0</v>
      </c>
      <c r="H78" s="25" t="str">
        <f t="shared" si="11"/>
        <v>52</v>
      </c>
      <c r="I78" s="37">
        <f>VLOOKUP(--H78,相关定价!$A$4:$D$9,4,0)*VLOOKUP(--H78,相关定价!$A$4:$D$9,3,0)</f>
        <v>2700</v>
      </c>
      <c r="J78" s="35">
        <v>0</v>
      </c>
      <c r="K78" s="36">
        <f t="shared" si="10"/>
        <v>14039</v>
      </c>
      <c r="L78" s="35">
        <v>0</v>
      </c>
      <c r="M78" s="36">
        <f t="shared" si="10"/>
        <v>5565</v>
      </c>
      <c r="N78">
        <f t="shared" si="13"/>
        <v>1</v>
      </c>
      <c r="O78" s="17" t="str">
        <f>IF(N78&gt;0,VLOOKUP(C78,极品属性表调整!$A$2:$B$8,2,0),0)</f>
        <v>207</v>
      </c>
      <c r="P78">
        <f t="shared" si="14"/>
        <v>1</v>
      </c>
      <c r="Q78" s="17" t="str">
        <f>IF(P78&gt;0,VLOOKUP(C78,极品属性表调整!$A$9:$B$15,2,0),0)</f>
        <v>307</v>
      </c>
      <c r="R78">
        <f t="shared" si="15"/>
        <v>1</v>
      </c>
      <c r="S78" s="17" t="str">
        <f>IF(R78&gt;0,VLOOKUP(C78,极品属性表调整!$A$16:$B$22,2,0),0)</f>
        <v>407</v>
      </c>
      <c r="T78" s="57" t="str">
        <f>VLOOKUP(--H78,套装调整!$Q$19:$R$24,2,0)</f>
        <v>301,302</v>
      </c>
    </row>
    <row r="79" spans="1:20" x14ac:dyDescent="0.2">
      <c r="A79">
        <f t="shared" si="16"/>
        <v>2</v>
      </c>
      <c r="B79" s="4">
        <v>5</v>
      </c>
      <c r="C79">
        <v>1</v>
      </c>
      <c r="D79">
        <v>3</v>
      </c>
      <c r="E79">
        <v>40302</v>
      </c>
      <c r="F79">
        <f>VLOOKUP(C79,性价比!$T$25:$U$31,2,0)*VLOOKUP(--H79,性价比!$W$3:$Y$8,3,0)</f>
        <v>6</v>
      </c>
      <c r="G79" t="str">
        <f t="shared" si="12"/>
        <v>40302:6</v>
      </c>
      <c r="H79" s="25" t="str">
        <f t="shared" si="11"/>
        <v>53</v>
      </c>
      <c r="I79" s="37">
        <f>VLOOKUP(--H79,相关定价!$A$4:$D$9,4,0)*VLOOKUP(--H79,相关定价!$A$4:$D$9,3,0)</f>
        <v>6750</v>
      </c>
      <c r="J79" s="35">
        <v>0</v>
      </c>
      <c r="K79" s="36">
        <f t="shared" si="10"/>
        <v>396</v>
      </c>
      <c r="L79" s="35">
        <v>0</v>
      </c>
      <c r="M79" s="36">
        <f t="shared" si="10"/>
        <v>158</v>
      </c>
      <c r="N79">
        <f t="shared" si="13"/>
        <v>0</v>
      </c>
      <c r="O79" s="17">
        <f>IF(N79&gt;0,VLOOKUP(C79,极品属性表调整!$A$2:$B$8,2,0),0)</f>
        <v>0</v>
      </c>
      <c r="P79">
        <f t="shared" si="14"/>
        <v>1</v>
      </c>
      <c r="Q79" s="17" t="str">
        <f>IF(P79&gt;0,VLOOKUP(C79,极品属性表调整!$A$9:$B$15,2,0),0)</f>
        <v>301</v>
      </c>
      <c r="R79">
        <f t="shared" si="15"/>
        <v>2</v>
      </c>
      <c r="S79" s="17" t="str">
        <f>IF(R79&gt;0,VLOOKUP(C79,极品属性表调整!$A$16:$B$22,2,0),0)</f>
        <v>401</v>
      </c>
      <c r="T79" s="57" t="str">
        <f>VLOOKUP(--H79,套装调整!$Q$19:$R$24,2,0)</f>
        <v>401,402</v>
      </c>
    </row>
    <row r="80" spans="1:20" x14ac:dyDescent="0.2">
      <c r="A80">
        <f t="shared" si="16"/>
        <v>2</v>
      </c>
      <c r="B80" s="4">
        <v>5</v>
      </c>
      <c r="C80">
        <v>2</v>
      </c>
      <c r="D80">
        <v>3</v>
      </c>
      <c r="E80">
        <v>40302</v>
      </c>
      <c r="F80">
        <f>VLOOKUP(C80,性价比!$T$25:$U$31,2,0)*VLOOKUP(--H80,性价比!$W$3:$Y$8,3,0)</f>
        <v>12</v>
      </c>
      <c r="G80" t="str">
        <f t="shared" si="12"/>
        <v>40302:12</v>
      </c>
      <c r="H80" s="25" t="str">
        <f t="shared" si="11"/>
        <v>53</v>
      </c>
      <c r="I80" s="37">
        <f>VLOOKUP(--H80,相关定价!$A$4:$D$9,4,0)*VLOOKUP(--H80,相关定价!$A$4:$D$9,3,0)</f>
        <v>6750</v>
      </c>
      <c r="J80" s="35">
        <v>0</v>
      </c>
      <c r="K80" s="36">
        <f t="shared" si="10"/>
        <v>693</v>
      </c>
      <c r="L80" s="35">
        <v>0</v>
      </c>
      <c r="M80" s="36">
        <f t="shared" si="10"/>
        <v>277</v>
      </c>
      <c r="N80">
        <f t="shared" si="13"/>
        <v>0</v>
      </c>
      <c r="O80" s="17">
        <f>IF(N80&gt;0,VLOOKUP(C80,极品属性表调整!$A$2:$B$8,2,0),0)</f>
        <v>0</v>
      </c>
      <c r="P80">
        <f t="shared" si="14"/>
        <v>1</v>
      </c>
      <c r="Q80" s="17" t="str">
        <f>IF(P80&gt;0,VLOOKUP(C80,极品属性表调整!$A$9:$B$15,2,0),0)</f>
        <v>302</v>
      </c>
      <c r="R80">
        <f t="shared" si="15"/>
        <v>2</v>
      </c>
      <c r="S80" s="17" t="str">
        <f>IF(R80&gt;0,VLOOKUP(C80,极品属性表调整!$A$16:$B$22,2,0),0)</f>
        <v>402</v>
      </c>
      <c r="T80" s="57" t="str">
        <f>VLOOKUP(--H80,套装调整!$Q$19:$R$24,2,0)</f>
        <v>401,402</v>
      </c>
    </row>
    <row r="81" spans="1:20" x14ac:dyDescent="0.2">
      <c r="A81">
        <f t="shared" si="16"/>
        <v>2</v>
      </c>
      <c r="B81" s="4">
        <v>5</v>
      </c>
      <c r="C81">
        <v>3</v>
      </c>
      <c r="D81">
        <v>3</v>
      </c>
      <c r="E81">
        <v>40302</v>
      </c>
      <c r="F81">
        <f>VLOOKUP(C81,性价比!$T$25:$U$31,2,0)*VLOOKUP(--H81,性价比!$W$3:$Y$8,3,0)</f>
        <v>18</v>
      </c>
      <c r="G81" t="str">
        <f t="shared" si="12"/>
        <v>40302:18</v>
      </c>
      <c r="H81" s="25" t="str">
        <f t="shared" si="11"/>
        <v>53</v>
      </c>
      <c r="I81" s="37">
        <f>VLOOKUP(--H81,相关定价!$A$4:$D$9,4,0)*VLOOKUP(--H81,相关定价!$A$4:$D$9,3,0)</f>
        <v>6750</v>
      </c>
      <c r="J81" s="35">
        <v>0</v>
      </c>
      <c r="K81" s="36">
        <f t="shared" si="10"/>
        <v>1330</v>
      </c>
      <c r="L81" s="35">
        <v>0</v>
      </c>
      <c r="M81" s="36">
        <f t="shared" si="10"/>
        <v>529</v>
      </c>
      <c r="N81">
        <f t="shared" si="13"/>
        <v>0</v>
      </c>
      <c r="O81" s="17">
        <f>IF(N81&gt;0,VLOOKUP(C81,极品属性表调整!$A$2:$B$8,2,0),0)</f>
        <v>0</v>
      </c>
      <c r="P81">
        <f t="shared" si="14"/>
        <v>1</v>
      </c>
      <c r="Q81" s="17" t="str">
        <f>IF(P81&gt;0,VLOOKUP(C81,极品属性表调整!$A$9:$B$15,2,0),0)</f>
        <v>303</v>
      </c>
      <c r="R81">
        <f t="shared" si="15"/>
        <v>2</v>
      </c>
      <c r="S81" s="17" t="str">
        <f>IF(R81&gt;0,VLOOKUP(C81,极品属性表调整!$A$16:$B$22,2,0),0)</f>
        <v>403</v>
      </c>
      <c r="T81" s="57" t="str">
        <f>VLOOKUP(--H81,套装调整!$Q$19:$R$24,2,0)</f>
        <v>401,402</v>
      </c>
    </row>
    <row r="82" spans="1:20" x14ac:dyDescent="0.2">
      <c r="A82">
        <f t="shared" si="16"/>
        <v>2</v>
      </c>
      <c r="B82" s="4">
        <v>5</v>
      </c>
      <c r="C82">
        <v>4</v>
      </c>
      <c r="D82">
        <v>3</v>
      </c>
      <c r="E82">
        <v>40302</v>
      </c>
      <c r="F82">
        <f>VLOOKUP(C82,性价比!$T$25:$U$31,2,0)*VLOOKUP(--H82,性价比!$W$3:$Y$8,3,0)</f>
        <v>24</v>
      </c>
      <c r="G82" t="str">
        <f t="shared" si="12"/>
        <v>40302:24</v>
      </c>
      <c r="H82" s="25" t="str">
        <f t="shared" si="11"/>
        <v>53</v>
      </c>
      <c r="I82" s="37">
        <f>VLOOKUP(--H82,相关定价!$A$4:$D$9,4,0)*VLOOKUP(--H82,相关定价!$A$4:$D$9,3,0)</f>
        <v>6750</v>
      </c>
      <c r="J82" s="35">
        <v>0</v>
      </c>
      <c r="K82" s="36">
        <f t="shared" si="10"/>
        <v>2448</v>
      </c>
      <c r="L82" s="35">
        <v>0</v>
      </c>
      <c r="M82" s="36">
        <f t="shared" si="10"/>
        <v>972</v>
      </c>
      <c r="N82">
        <f t="shared" si="13"/>
        <v>0</v>
      </c>
      <c r="O82" s="17">
        <f>IF(N82&gt;0,VLOOKUP(C82,极品属性表调整!$A$2:$B$8,2,0),0)</f>
        <v>0</v>
      </c>
      <c r="P82">
        <f t="shared" si="14"/>
        <v>1</v>
      </c>
      <c r="Q82" s="17" t="str">
        <f>IF(P82&gt;0,VLOOKUP(C82,极品属性表调整!$A$9:$B$15,2,0),0)</f>
        <v>304</v>
      </c>
      <c r="R82">
        <f t="shared" si="15"/>
        <v>2</v>
      </c>
      <c r="S82" s="17" t="str">
        <f>IF(R82&gt;0,VLOOKUP(C82,极品属性表调整!$A$16:$B$22,2,0),0)</f>
        <v>404</v>
      </c>
      <c r="T82" s="57" t="str">
        <f>VLOOKUP(--H82,套装调整!$Q$19:$R$24,2,0)</f>
        <v>401,402</v>
      </c>
    </row>
    <row r="83" spans="1:20" x14ac:dyDescent="0.2">
      <c r="A83">
        <f t="shared" si="16"/>
        <v>2</v>
      </c>
      <c r="B83" s="4">
        <v>5</v>
      </c>
      <c r="C83">
        <v>5</v>
      </c>
      <c r="D83">
        <v>3</v>
      </c>
      <c r="E83">
        <v>40302</v>
      </c>
      <c r="F83">
        <f>VLOOKUP(C83,性价比!$T$25:$U$31,2,0)*VLOOKUP(--H83,性价比!$W$3:$Y$8,3,0)</f>
        <v>30</v>
      </c>
      <c r="G83" t="str">
        <f t="shared" si="12"/>
        <v>40302:30</v>
      </c>
      <c r="H83" s="25" t="str">
        <f t="shared" si="11"/>
        <v>53</v>
      </c>
      <c r="I83" s="37">
        <f>VLOOKUP(--H83,相关定价!$A$4:$D$9,4,0)*VLOOKUP(--H83,相关定价!$A$4:$D$9,3,0)</f>
        <v>6750</v>
      </c>
      <c r="J83" s="35">
        <v>0</v>
      </c>
      <c r="K83" s="36">
        <f t="shared" si="10"/>
        <v>4406</v>
      </c>
      <c r="L83" s="35">
        <v>0</v>
      </c>
      <c r="M83" s="36">
        <f t="shared" si="10"/>
        <v>1749</v>
      </c>
      <c r="N83">
        <f t="shared" si="13"/>
        <v>0</v>
      </c>
      <c r="O83" s="17">
        <f>IF(N83&gt;0,VLOOKUP(C83,极品属性表调整!$A$2:$B$8,2,0),0)</f>
        <v>0</v>
      </c>
      <c r="P83">
        <f t="shared" si="14"/>
        <v>1</v>
      </c>
      <c r="Q83" s="17" t="str">
        <f>IF(P83&gt;0,VLOOKUP(C83,极品属性表调整!$A$9:$B$15,2,0),0)</f>
        <v>305</v>
      </c>
      <c r="R83">
        <f t="shared" si="15"/>
        <v>2</v>
      </c>
      <c r="S83" s="17" t="str">
        <f>IF(R83&gt;0,VLOOKUP(C83,极品属性表调整!$A$16:$B$22,2,0),0)</f>
        <v>405</v>
      </c>
      <c r="T83" s="57" t="str">
        <f>VLOOKUP(--H83,套装调整!$Q$19:$R$24,2,0)</f>
        <v>401,402</v>
      </c>
    </row>
    <row r="84" spans="1:20" x14ac:dyDescent="0.2">
      <c r="A84">
        <f t="shared" si="16"/>
        <v>2</v>
      </c>
      <c r="B84" s="4">
        <v>5</v>
      </c>
      <c r="C84">
        <v>6</v>
      </c>
      <c r="D84">
        <v>3</v>
      </c>
      <c r="E84">
        <v>40302</v>
      </c>
      <c r="F84">
        <f>VLOOKUP(C84,性价比!$T$25:$U$31,2,0)*VLOOKUP(--H84,性价比!$W$3:$Y$8,3,0)</f>
        <v>36</v>
      </c>
      <c r="G84" t="str">
        <f t="shared" si="12"/>
        <v>40302:36</v>
      </c>
      <c r="H84" s="25" t="str">
        <f t="shared" si="11"/>
        <v>53</v>
      </c>
      <c r="I84" s="37">
        <f>VLOOKUP(--H84,相关定价!$A$4:$D$9,4,0)*VLOOKUP(--H84,相关定价!$A$4:$D$9,3,0)</f>
        <v>6750</v>
      </c>
      <c r="J84" s="35">
        <v>0</v>
      </c>
      <c r="K84" s="36">
        <f t="shared" si="10"/>
        <v>7887</v>
      </c>
      <c r="L84" s="35">
        <v>0</v>
      </c>
      <c r="M84" s="36">
        <f t="shared" si="10"/>
        <v>3128</v>
      </c>
      <c r="N84">
        <f t="shared" si="13"/>
        <v>0</v>
      </c>
      <c r="O84" s="17">
        <f>IF(N84&gt;0,VLOOKUP(C84,极品属性表调整!$A$2:$B$8,2,0),0)</f>
        <v>0</v>
      </c>
      <c r="P84">
        <f t="shared" si="14"/>
        <v>1</v>
      </c>
      <c r="Q84" s="17" t="str">
        <f>IF(P84&gt;0,VLOOKUP(C84,极品属性表调整!$A$9:$B$15,2,0),0)</f>
        <v>306</v>
      </c>
      <c r="R84">
        <f t="shared" si="15"/>
        <v>2</v>
      </c>
      <c r="S84" s="17" t="str">
        <f>IF(R84&gt;0,VLOOKUP(C84,极品属性表调整!$A$16:$B$22,2,0),0)</f>
        <v>406</v>
      </c>
      <c r="T84" s="57" t="str">
        <f>VLOOKUP(--H84,套装调整!$Q$19:$R$24,2,0)</f>
        <v>401,402</v>
      </c>
    </row>
    <row r="85" spans="1:20" x14ac:dyDescent="0.2">
      <c r="A85">
        <f t="shared" si="16"/>
        <v>2</v>
      </c>
      <c r="B85" s="4">
        <v>5</v>
      </c>
      <c r="C85">
        <v>7</v>
      </c>
      <c r="D85">
        <v>3</v>
      </c>
      <c r="E85">
        <v>40302</v>
      </c>
      <c r="F85">
        <f>VLOOKUP(C85,性价比!$T$25:$U$31,2,0)*VLOOKUP(--H85,性价比!$W$3:$Y$8,3,0)</f>
        <v>0</v>
      </c>
      <c r="G85" t="str">
        <f t="shared" si="12"/>
        <v>40302:0</v>
      </c>
      <c r="H85" s="25" t="str">
        <f t="shared" si="11"/>
        <v>53</v>
      </c>
      <c r="I85" s="37">
        <f>VLOOKUP(--H85,相关定价!$A$4:$D$9,4,0)*VLOOKUP(--H85,相关定价!$A$4:$D$9,3,0)</f>
        <v>6750</v>
      </c>
      <c r="J85" s="35">
        <v>0</v>
      </c>
      <c r="K85" s="36">
        <f t="shared" si="10"/>
        <v>14039</v>
      </c>
      <c r="L85" s="35">
        <v>0</v>
      </c>
      <c r="M85" s="36">
        <f t="shared" si="10"/>
        <v>5565</v>
      </c>
      <c r="N85">
        <f t="shared" si="13"/>
        <v>0</v>
      </c>
      <c r="O85" s="17">
        <f>IF(N85&gt;0,VLOOKUP(C85,极品属性表调整!$A$2:$B$8,2,0),0)</f>
        <v>0</v>
      </c>
      <c r="P85">
        <f t="shared" si="14"/>
        <v>1</v>
      </c>
      <c r="Q85" s="17" t="str">
        <f>IF(P85&gt;0,VLOOKUP(C85,极品属性表调整!$A$9:$B$15,2,0),0)</f>
        <v>307</v>
      </c>
      <c r="R85">
        <f t="shared" si="15"/>
        <v>2</v>
      </c>
      <c r="S85" s="17" t="str">
        <f>IF(R85&gt;0,VLOOKUP(C85,极品属性表调整!$A$16:$B$22,2,0),0)</f>
        <v>407</v>
      </c>
      <c r="T85" s="57" t="str">
        <f>VLOOKUP(--H85,套装调整!$Q$19:$R$24,2,0)</f>
        <v>401,402</v>
      </c>
    </row>
    <row r="86" spans="1:20" x14ac:dyDescent="0.2">
      <c r="A86">
        <v>3</v>
      </c>
      <c r="B86" s="11">
        <v>2</v>
      </c>
      <c r="C86">
        <v>1</v>
      </c>
      <c r="D86">
        <v>0</v>
      </c>
      <c r="E86">
        <v>40302</v>
      </c>
      <c r="F86">
        <f>VLOOKUP(C86,性价比!$T$25:$U$31,2,0)*VLOOKUP(--H86,性价比!$W$3:$Y$8,3,0)</f>
        <v>2</v>
      </c>
      <c r="G86" t="str">
        <f t="shared" si="12"/>
        <v>40302:2</v>
      </c>
      <c r="H86" s="25" t="str">
        <f t="shared" si="11"/>
        <v>20</v>
      </c>
      <c r="I86" s="37">
        <f>VLOOKUP(--H86,相关定价!$A$4:$D$9,4,0)*VLOOKUP(--H86,相关定价!$A$4:$D$9,3,0)</f>
        <v>100</v>
      </c>
      <c r="J86" s="35">
        <f>进阶值!C4</f>
        <v>2200</v>
      </c>
      <c r="K86" s="35">
        <v>0</v>
      </c>
      <c r="L86" s="35">
        <f>进阶值!E4</f>
        <v>44</v>
      </c>
      <c r="M86" s="35">
        <v>0</v>
      </c>
      <c r="N86">
        <f t="shared" si="13"/>
        <v>0</v>
      </c>
      <c r="O86" s="17">
        <f>IF(N86&gt;0,VLOOKUP(C86,极品属性表调整!$A$2:$B$8,2,0),0)</f>
        <v>0</v>
      </c>
      <c r="P86">
        <f t="shared" si="14"/>
        <v>0</v>
      </c>
      <c r="Q86" s="17">
        <f>IF(P86&gt;0,VLOOKUP(C86,极品属性表调整!$A$9:$B$15,2,0),0)</f>
        <v>0</v>
      </c>
      <c r="R86">
        <f t="shared" si="15"/>
        <v>0</v>
      </c>
      <c r="S86" s="17">
        <f>IF(R86&gt;0,VLOOKUP(C86,极品属性表调整!$A$16:$B$22,2,0),0)</f>
        <v>0</v>
      </c>
      <c r="T86" s="57">
        <f>VLOOKUP(--H86,套装调整!$Q$19:$R$24,2,0)</f>
        <v>0</v>
      </c>
    </row>
    <row r="87" spans="1:20" x14ac:dyDescent="0.2">
      <c r="A87">
        <f t="shared" si="16"/>
        <v>3</v>
      </c>
      <c r="B87" s="11">
        <v>2</v>
      </c>
      <c r="C87">
        <v>2</v>
      </c>
      <c r="D87">
        <v>0</v>
      </c>
      <c r="E87">
        <v>40302</v>
      </c>
      <c r="F87">
        <f>VLOOKUP(C87,性价比!$T$25:$U$31,2,0)*VLOOKUP(--H87,性价比!$W$3:$Y$8,3,0)</f>
        <v>4</v>
      </c>
      <c r="G87" t="str">
        <f t="shared" si="12"/>
        <v>40302:4</v>
      </c>
      <c r="H87" s="25" t="str">
        <f t="shared" si="11"/>
        <v>20</v>
      </c>
      <c r="I87" s="37">
        <f>VLOOKUP(--H87,相关定价!$A$4:$D$9,4,0)*VLOOKUP(--H87,相关定价!$A$4:$D$9,3,0)</f>
        <v>100</v>
      </c>
      <c r="J87" s="35">
        <f>进阶值!C5</f>
        <v>3850</v>
      </c>
      <c r="K87" s="35">
        <v>0</v>
      </c>
      <c r="L87" s="35">
        <f>进阶值!E5</f>
        <v>77</v>
      </c>
      <c r="M87" s="35">
        <v>0</v>
      </c>
      <c r="N87">
        <f t="shared" si="13"/>
        <v>0</v>
      </c>
      <c r="O87" s="17">
        <f>IF(N87&gt;0,VLOOKUP(C87,极品属性表调整!$A$2:$B$8,2,0),0)</f>
        <v>0</v>
      </c>
      <c r="P87">
        <f t="shared" si="14"/>
        <v>0</v>
      </c>
      <c r="Q87" s="17">
        <f>IF(P87&gt;0,VLOOKUP(C87,极品属性表调整!$A$9:$B$15,2,0),0)</f>
        <v>0</v>
      </c>
      <c r="R87">
        <f t="shared" si="15"/>
        <v>0</v>
      </c>
      <c r="S87" s="17">
        <f>IF(R87&gt;0,VLOOKUP(C87,极品属性表调整!$A$16:$B$22,2,0),0)</f>
        <v>0</v>
      </c>
      <c r="T87" s="57">
        <f>VLOOKUP(--H87,套装调整!$Q$19:$R$24,2,0)</f>
        <v>0</v>
      </c>
    </row>
    <row r="88" spans="1:20" x14ac:dyDescent="0.2">
      <c r="A88">
        <f t="shared" si="16"/>
        <v>3</v>
      </c>
      <c r="B88" s="11">
        <v>2</v>
      </c>
      <c r="C88">
        <v>3</v>
      </c>
      <c r="D88">
        <v>0</v>
      </c>
      <c r="E88">
        <v>40302</v>
      </c>
      <c r="F88">
        <f>VLOOKUP(C88,性价比!$T$25:$U$31,2,0)*VLOOKUP(--H88,性价比!$W$3:$Y$8,3,0)</f>
        <v>6</v>
      </c>
      <c r="G88" t="str">
        <f t="shared" si="12"/>
        <v>40302:6</v>
      </c>
      <c r="H88" s="25" t="str">
        <f t="shared" si="11"/>
        <v>20</v>
      </c>
      <c r="I88" s="37">
        <f>VLOOKUP(--H88,相关定价!$A$4:$D$9,4,0)*VLOOKUP(--H88,相关定价!$A$4:$D$9,3,0)</f>
        <v>100</v>
      </c>
      <c r="J88" s="35">
        <f>进阶值!C6</f>
        <v>7392</v>
      </c>
      <c r="K88" s="35">
        <v>0</v>
      </c>
      <c r="L88" s="35">
        <f>进阶值!E6</f>
        <v>147</v>
      </c>
      <c r="M88" s="35">
        <v>0</v>
      </c>
      <c r="N88">
        <f t="shared" si="13"/>
        <v>0</v>
      </c>
      <c r="O88" s="17">
        <f>IF(N88&gt;0,VLOOKUP(C88,极品属性表调整!$A$2:$B$8,2,0),0)</f>
        <v>0</v>
      </c>
      <c r="P88">
        <f t="shared" si="14"/>
        <v>0</v>
      </c>
      <c r="Q88" s="17">
        <f>IF(P88&gt;0,VLOOKUP(C88,极品属性表调整!$A$9:$B$15,2,0),0)</f>
        <v>0</v>
      </c>
      <c r="R88">
        <f t="shared" si="15"/>
        <v>0</v>
      </c>
      <c r="S88" s="17">
        <f>IF(R88&gt;0,VLOOKUP(C88,极品属性表调整!$A$16:$B$22,2,0),0)</f>
        <v>0</v>
      </c>
      <c r="T88" s="57">
        <f>VLOOKUP(--H88,套装调整!$Q$19:$R$24,2,0)</f>
        <v>0</v>
      </c>
    </row>
    <row r="89" spans="1:20" x14ac:dyDescent="0.2">
      <c r="A89">
        <f t="shared" si="16"/>
        <v>3</v>
      </c>
      <c r="B89" s="11">
        <v>2</v>
      </c>
      <c r="C89">
        <v>4</v>
      </c>
      <c r="D89">
        <v>0</v>
      </c>
      <c r="E89">
        <v>40302</v>
      </c>
      <c r="F89">
        <f>VLOOKUP(C89,性价比!$T$25:$U$31,2,0)*VLOOKUP(--H89,性价比!$W$3:$Y$8,3,0)</f>
        <v>8</v>
      </c>
      <c r="G89" t="str">
        <f t="shared" si="12"/>
        <v>40302:8</v>
      </c>
      <c r="H89" s="25" t="str">
        <f t="shared" si="11"/>
        <v>20</v>
      </c>
      <c r="I89" s="37">
        <f>VLOOKUP(--H89,相关定价!$A$4:$D$9,4,0)*VLOOKUP(--H89,相关定价!$A$4:$D$9,3,0)</f>
        <v>100</v>
      </c>
      <c r="J89" s="35">
        <f>进阶值!C7</f>
        <v>13601</v>
      </c>
      <c r="K89" s="35">
        <v>0</v>
      </c>
      <c r="L89" s="35">
        <f>进阶值!E7</f>
        <v>270</v>
      </c>
      <c r="M89" s="35">
        <v>0</v>
      </c>
      <c r="N89">
        <f t="shared" si="13"/>
        <v>0</v>
      </c>
      <c r="O89" s="17">
        <f>IF(N89&gt;0,VLOOKUP(C89,极品属性表调整!$A$2:$B$8,2,0),0)</f>
        <v>0</v>
      </c>
      <c r="P89">
        <f t="shared" si="14"/>
        <v>0</v>
      </c>
      <c r="Q89" s="17">
        <f>IF(P89&gt;0,VLOOKUP(C89,极品属性表调整!$A$9:$B$15,2,0),0)</f>
        <v>0</v>
      </c>
      <c r="R89">
        <f t="shared" si="15"/>
        <v>0</v>
      </c>
      <c r="S89" s="17">
        <f>IF(R89&gt;0,VLOOKUP(C89,极品属性表调整!$A$16:$B$22,2,0),0)</f>
        <v>0</v>
      </c>
      <c r="T89" s="57">
        <f>VLOOKUP(--H89,套装调整!$Q$19:$R$24,2,0)</f>
        <v>0</v>
      </c>
    </row>
    <row r="90" spans="1:20" x14ac:dyDescent="0.2">
      <c r="A90">
        <f t="shared" si="16"/>
        <v>3</v>
      </c>
      <c r="B90" s="11">
        <v>2</v>
      </c>
      <c r="C90">
        <v>5</v>
      </c>
      <c r="D90">
        <v>0</v>
      </c>
      <c r="E90">
        <v>40302</v>
      </c>
      <c r="F90">
        <f>VLOOKUP(C90,性价比!$T$25:$U$31,2,0)*VLOOKUP(--H90,性价比!$W$3:$Y$8,3,0)</f>
        <v>10</v>
      </c>
      <c r="G90" t="str">
        <f t="shared" si="12"/>
        <v>40302:10</v>
      </c>
      <c r="H90" s="25" t="str">
        <f t="shared" si="11"/>
        <v>20</v>
      </c>
      <c r="I90" s="37">
        <f>VLOOKUP(--H90,相关定价!$A$4:$D$9,4,0)*VLOOKUP(--H90,相关定价!$A$4:$D$9,3,0)</f>
        <v>100</v>
      </c>
      <c r="J90" s="35">
        <f>进阶值!C8</f>
        <v>24481</v>
      </c>
      <c r="K90" s="35">
        <v>0</v>
      </c>
      <c r="L90" s="35">
        <f>进阶值!E8</f>
        <v>486</v>
      </c>
      <c r="M90" s="35">
        <v>0</v>
      </c>
      <c r="N90">
        <f t="shared" si="13"/>
        <v>0</v>
      </c>
      <c r="O90" s="17">
        <f>IF(N90&gt;0,VLOOKUP(C90,极品属性表调整!$A$2:$B$8,2,0),0)</f>
        <v>0</v>
      </c>
      <c r="P90">
        <f t="shared" si="14"/>
        <v>0</v>
      </c>
      <c r="Q90" s="17">
        <f>IF(P90&gt;0,VLOOKUP(C90,极品属性表调整!$A$9:$B$15,2,0),0)</f>
        <v>0</v>
      </c>
      <c r="R90">
        <f t="shared" si="15"/>
        <v>0</v>
      </c>
      <c r="S90" s="17">
        <f>IF(R90&gt;0,VLOOKUP(C90,极品属性表调整!$A$16:$B$22,2,0),0)</f>
        <v>0</v>
      </c>
      <c r="T90" s="57">
        <f>VLOOKUP(--H90,套装调整!$Q$19:$R$24,2,0)</f>
        <v>0</v>
      </c>
    </row>
    <row r="91" spans="1:20" x14ac:dyDescent="0.2">
      <c r="A91">
        <f t="shared" si="16"/>
        <v>3</v>
      </c>
      <c r="B91" s="11">
        <v>2</v>
      </c>
      <c r="C91">
        <v>6</v>
      </c>
      <c r="D91">
        <v>0</v>
      </c>
      <c r="E91">
        <v>40302</v>
      </c>
      <c r="F91">
        <f>VLOOKUP(C91,性价比!$T$25:$U$31,2,0)*VLOOKUP(--H91,性价比!$W$3:$Y$8,3,0)</f>
        <v>12</v>
      </c>
      <c r="G91" t="str">
        <f t="shared" si="12"/>
        <v>40302:12</v>
      </c>
      <c r="H91" s="25" t="str">
        <f t="shared" si="11"/>
        <v>20</v>
      </c>
      <c r="I91" s="37">
        <f>VLOOKUP(--H91,相关定价!$A$4:$D$9,4,0)*VLOOKUP(--H91,相关定价!$A$4:$D$9,3,0)</f>
        <v>100</v>
      </c>
      <c r="J91" s="35">
        <f>进阶值!C9</f>
        <v>43820</v>
      </c>
      <c r="K91" s="35">
        <v>0</v>
      </c>
      <c r="L91" s="35">
        <f>进阶值!E9</f>
        <v>869</v>
      </c>
      <c r="M91" s="35">
        <v>0</v>
      </c>
      <c r="N91">
        <f t="shared" si="13"/>
        <v>0</v>
      </c>
      <c r="O91" s="17">
        <f>IF(N91&gt;0,VLOOKUP(C91,极品属性表调整!$A$2:$B$8,2,0),0)</f>
        <v>0</v>
      </c>
      <c r="P91">
        <f t="shared" si="14"/>
        <v>0</v>
      </c>
      <c r="Q91" s="17">
        <f>IF(P91&gt;0,VLOOKUP(C91,极品属性表调整!$A$9:$B$15,2,0),0)</f>
        <v>0</v>
      </c>
      <c r="R91">
        <f t="shared" si="15"/>
        <v>0</v>
      </c>
      <c r="S91" s="17">
        <f>IF(R91&gt;0,VLOOKUP(C91,极品属性表调整!$A$16:$B$22,2,0),0)</f>
        <v>0</v>
      </c>
      <c r="T91" s="57">
        <f>VLOOKUP(--H91,套装调整!$Q$19:$R$24,2,0)</f>
        <v>0</v>
      </c>
    </row>
    <row r="92" spans="1:20" x14ac:dyDescent="0.2">
      <c r="A92">
        <f t="shared" si="16"/>
        <v>3</v>
      </c>
      <c r="B92" s="11">
        <v>2</v>
      </c>
      <c r="C92">
        <v>7</v>
      </c>
      <c r="D92">
        <v>0</v>
      </c>
      <c r="E92">
        <v>40302</v>
      </c>
      <c r="F92">
        <f>VLOOKUP(C92,性价比!$T$25:$U$31,2,0)*VLOOKUP(--H92,性价比!$W$3:$Y$8,3,0)</f>
        <v>0</v>
      </c>
      <c r="G92" t="str">
        <f t="shared" si="12"/>
        <v>40302:0</v>
      </c>
      <c r="H92" s="25" t="str">
        <f t="shared" si="11"/>
        <v>20</v>
      </c>
      <c r="I92" s="37">
        <f>VLOOKUP(--H92,相关定价!$A$4:$D$9,4,0)*VLOOKUP(--H92,相关定价!$A$4:$D$9,3,0)</f>
        <v>100</v>
      </c>
      <c r="J92" s="35">
        <f>进阶值!C10</f>
        <v>77999</v>
      </c>
      <c r="K92" s="35">
        <v>0</v>
      </c>
      <c r="L92" s="35">
        <f>进阶值!E10</f>
        <v>1546</v>
      </c>
      <c r="M92" s="35">
        <v>0</v>
      </c>
      <c r="N92">
        <f t="shared" si="13"/>
        <v>0</v>
      </c>
      <c r="O92" s="17">
        <f>IF(N92&gt;0,VLOOKUP(C92,极品属性表调整!$A$2:$B$8,2,0),0)</f>
        <v>0</v>
      </c>
      <c r="P92">
        <f t="shared" si="14"/>
        <v>0</v>
      </c>
      <c r="Q92" s="17">
        <f>IF(P92&gt;0,VLOOKUP(C92,极品属性表调整!$A$9:$B$15,2,0),0)</f>
        <v>0</v>
      </c>
      <c r="R92">
        <f t="shared" si="15"/>
        <v>0</v>
      </c>
      <c r="S92" s="17">
        <f>IF(R92&gt;0,VLOOKUP(C92,极品属性表调整!$A$16:$B$22,2,0),0)</f>
        <v>0</v>
      </c>
      <c r="T92" s="57">
        <f>VLOOKUP(--H92,套装调整!$Q$19:$R$24,2,0)</f>
        <v>0</v>
      </c>
    </row>
    <row r="93" spans="1:20" x14ac:dyDescent="0.2">
      <c r="A93">
        <f t="shared" si="16"/>
        <v>3</v>
      </c>
      <c r="B93" s="12">
        <v>4</v>
      </c>
      <c r="C93">
        <v>1</v>
      </c>
      <c r="D93">
        <v>1</v>
      </c>
      <c r="E93">
        <v>40302</v>
      </c>
      <c r="F93">
        <f>VLOOKUP(C93,性价比!$T$25:$U$31,2,0)*VLOOKUP(--H93,性价比!$W$3:$Y$8,3,0)</f>
        <v>4</v>
      </c>
      <c r="G93" t="str">
        <f t="shared" si="12"/>
        <v>40302:4</v>
      </c>
      <c r="H93" s="25" t="str">
        <f t="shared" si="11"/>
        <v>41</v>
      </c>
      <c r="I93" s="37">
        <f>VLOOKUP(--H93,相关定价!$A$4:$D$9,4,0)*VLOOKUP(--H93,相关定价!$A$4:$D$9,3,0)</f>
        <v>900</v>
      </c>
      <c r="J93" s="35">
        <f>进阶值!C11</f>
        <v>4400</v>
      </c>
      <c r="K93" s="35">
        <v>0</v>
      </c>
      <c r="L93" s="35">
        <f>进阶值!E11</f>
        <v>88</v>
      </c>
      <c r="M93" s="35">
        <v>0</v>
      </c>
      <c r="N93">
        <f t="shared" si="13"/>
        <v>2</v>
      </c>
      <c r="O93" s="17" t="str">
        <f>IF(N93&gt;0,VLOOKUP(C93,极品属性表调整!$A$2:$B$8,2,0),0)</f>
        <v>201</v>
      </c>
      <c r="P93">
        <f t="shared" si="14"/>
        <v>0</v>
      </c>
      <c r="Q93" s="17">
        <f>IF(P93&gt;0,VLOOKUP(C93,极品属性表调整!$A$9:$B$15,2,0),0)</f>
        <v>0</v>
      </c>
      <c r="R93">
        <f t="shared" si="15"/>
        <v>0</v>
      </c>
      <c r="S93" s="17">
        <f>IF(R93&gt;0,VLOOKUP(C93,极品属性表调整!$A$16:$B$22,2,0),0)</f>
        <v>0</v>
      </c>
      <c r="T93" s="57" t="str">
        <f>VLOOKUP(--H93,套装调整!$Q$19:$R$24,2,0)</f>
        <v>101,102</v>
      </c>
    </row>
    <row r="94" spans="1:20" x14ac:dyDescent="0.2">
      <c r="A94">
        <f t="shared" si="16"/>
        <v>3</v>
      </c>
      <c r="B94" s="12">
        <v>4</v>
      </c>
      <c r="C94">
        <v>2</v>
      </c>
      <c r="D94">
        <v>1</v>
      </c>
      <c r="E94">
        <v>40302</v>
      </c>
      <c r="F94">
        <f>VLOOKUP(C94,性价比!$T$25:$U$31,2,0)*VLOOKUP(--H94,性价比!$W$3:$Y$8,3,0)</f>
        <v>8</v>
      </c>
      <c r="G94" t="str">
        <f t="shared" si="12"/>
        <v>40302:8</v>
      </c>
      <c r="H94" s="25" t="str">
        <f t="shared" si="11"/>
        <v>41</v>
      </c>
      <c r="I94" s="37">
        <f>VLOOKUP(--H94,相关定价!$A$4:$D$9,4,0)*VLOOKUP(--H94,相关定价!$A$4:$D$9,3,0)</f>
        <v>900</v>
      </c>
      <c r="J94" s="35">
        <f>进阶值!C12</f>
        <v>7700</v>
      </c>
      <c r="K94" s="35">
        <v>0</v>
      </c>
      <c r="L94" s="35">
        <f>进阶值!E12</f>
        <v>154</v>
      </c>
      <c r="M94" s="35">
        <v>0</v>
      </c>
      <c r="N94">
        <f t="shared" si="13"/>
        <v>2</v>
      </c>
      <c r="O94" s="17" t="str">
        <f>IF(N94&gt;0,VLOOKUP(C94,极品属性表调整!$A$2:$B$8,2,0),0)</f>
        <v>202</v>
      </c>
      <c r="P94">
        <f t="shared" si="14"/>
        <v>0</v>
      </c>
      <c r="Q94" s="17">
        <f>IF(P94&gt;0,VLOOKUP(C94,极品属性表调整!$A$9:$B$15,2,0),0)</f>
        <v>0</v>
      </c>
      <c r="R94">
        <f t="shared" si="15"/>
        <v>0</v>
      </c>
      <c r="S94" s="17">
        <f>IF(R94&gt;0,VLOOKUP(C94,极品属性表调整!$A$16:$B$22,2,0),0)</f>
        <v>0</v>
      </c>
      <c r="T94" s="57" t="str">
        <f>VLOOKUP(--H94,套装调整!$Q$19:$R$24,2,0)</f>
        <v>101,102</v>
      </c>
    </row>
    <row r="95" spans="1:20" x14ac:dyDescent="0.2">
      <c r="A95">
        <f t="shared" si="16"/>
        <v>3</v>
      </c>
      <c r="B95" s="12">
        <v>4</v>
      </c>
      <c r="C95">
        <v>3</v>
      </c>
      <c r="D95">
        <v>1</v>
      </c>
      <c r="E95">
        <v>40302</v>
      </c>
      <c r="F95">
        <f>VLOOKUP(C95,性价比!$T$25:$U$31,2,0)*VLOOKUP(--H95,性价比!$W$3:$Y$8,3,0)</f>
        <v>12</v>
      </c>
      <c r="G95" t="str">
        <f t="shared" si="12"/>
        <v>40302:12</v>
      </c>
      <c r="H95" s="25" t="str">
        <f t="shared" si="11"/>
        <v>41</v>
      </c>
      <c r="I95" s="37">
        <f>VLOOKUP(--H95,相关定价!$A$4:$D$9,4,0)*VLOOKUP(--H95,相关定价!$A$4:$D$9,3,0)</f>
        <v>900</v>
      </c>
      <c r="J95" s="35">
        <f>进阶值!C13</f>
        <v>14784</v>
      </c>
      <c r="K95" s="35">
        <v>0</v>
      </c>
      <c r="L95" s="35">
        <f>进阶值!E13</f>
        <v>294</v>
      </c>
      <c r="M95" s="35">
        <v>0</v>
      </c>
      <c r="N95">
        <f t="shared" si="13"/>
        <v>2</v>
      </c>
      <c r="O95" s="17" t="str">
        <f>IF(N95&gt;0,VLOOKUP(C95,极品属性表调整!$A$2:$B$8,2,0),0)</f>
        <v>203</v>
      </c>
      <c r="P95">
        <f t="shared" si="14"/>
        <v>0</v>
      </c>
      <c r="Q95" s="17">
        <f>IF(P95&gt;0,VLOOKUP(C95,极品属性表调整!$A$9:$B$15,2,0),0)</f>
        <v>0</v>
      </c>
      <c r="R95">
        <f t="shared" si="15"/>
        <v>0</v>
      </c>
      <c r="S95" s="17">
        <f>IF(R95&gt;0,VLOOKUP(C95,极品属性表调整!$A$16:$B$22,2,0),0)</f>
        <v>0</v>
      </c>
      <c r="T95" s="57" t="str">
        <f>VLOOKUP(--H95,套装调整!$Q$19:$R$24,2,0)</f>
        <v>101,102</v>
      </c>
    </row>
    <row r="96" spans="1:20" x14ac:dyDescent="0.2">
      <c r="A96">
        <f t="shared" si="16"/>
        <v>3</v>
      </c>
      <c r="B96" s="12">
        <v>4</v>
      </c>
      <c r="C96">
        <v>4</v>
      </c>
      <c r="D96">
        <v>1</v>
      </c>
      <c r="E96">
        <v>40302</v>
      </c>
      <c r="F96">
        <f>VLOOKUP(C96,性价比!$T$25:$U$31,2,0)*VLOOKUP(--H96,性价比!$W$3:$Y$8,3,0)</f>
        <v>16</v>
      </c>
      <c r="G96" t="str">
        <f t="shared" si="12"/>
        <v>40302:16</v>
      </c>
      <c r="H96" s="25" t="str">
        <f t="shared" si="11"/>
        <v>41</v>
      </c>
      <c r="I96" s="37">
        <f>VLOOKUP(--H96,相关定价!$A$4:$D$9,4,0)*VLOOKUP(--H96,相关定价!$A$4:$D$9,3,0)</f>
        <v>900</v>
      </c>
      <c r="J96" s="35">
        <f>进阶值!C14</f>
        <v>27202</v>
      </c>
      <c r="K96" s="35">
        <v>0</v>
      </c>
      <c r="L96" s="35">
        <f>进阶值!E14</f>
        <v>540</v>
      </c>
      <c r="M96" s="35">
        <v>0</v>
      </c>
      <c r="N96">
        <f t="shared" si="13"/>
        <v>2</v>
      </c>
      <c r="O96" s="17" t="str">
        <f>IF(N96&gt;0,VLOOKUP(C96,极品属性表调整!$A$2:$B$8,2,0),0)</f>
        <v>204</v>
      </c>
      <c r="P96">
        <f t="shared" si="14"/>
        <v>0</v>
      </c>
      <c r="Q96" s="17">
        <f>IF(P96&gt;0,VLOOKUP(C96,极品属性表调整!$A$9:$B$15,2,0),0)</f>
        <v>0</v>
      </c>
      <c r="R96">
        <f t="shared" si="15"/>
        <v>0</v>
      </c>
      <c r="S96" s="17">
        <f>IF(R96&gt;0,VLOOKUP(C96,极品属性表调整!$A$16:$B$22,2,0),0)</f>
        <v>0</v>
      </c>
      <c r="T96" s="57" t="str">
        <f>VLOOKUP(--H96,套装调整!$Q$19:$R$24,2,0)</f>
        <v>101,102</v>
      </c>
    </row>
    <row r="97" spans="1:20" x14ac:dyDescent="0.2">
      <c r="A97">
        <f t="shared" si="16"/>
        <v>3</v>
      </c>
      <c r="B97" s="12">
        <v>4</v>
      </c>
      <c r="C97">
        <v>5</v>
      </c>
      <c r="D97">
        <v>1</v>
      </c>
      <c r="E97">
        <v>40302</v>
      </c>
      <c r="F97">
        <f>VLOOKUP(C97,性价比!$T$25:$U$31,2,0)*VLOOKUP(--H97,性价比!$W$3:$Y$8,3,0)</f>
        <v>20</v>
      </c>
      <c r="G97" t="str">
        <f t="shared" si="12"/>
        <v>40302:20</v>
      </c>
      <c r="H97" s="25" t="str">
        <f t="shared" si="11"/>
        <v>41</v>
      </c>
      <c r="I97" s="37">
        <f>VLOOKUP(--H97,相关定价!$A$4:$D$9,4,0)*VLOOKUP(--H97,相关定价!$A$4:$D$9,3,0)</f>
        <v>900</v>
      </c>
      <c r="J97" s="35">
        <f>进阶值!C15</f>
        <v>48962</v>
      </c>
      <c r="K97" s="35">
        <v>0</v>
      </c>
      <c r="L97" s="35">
        <f>进阶值!E15</f>
        <v>972</v>
      </c>
      <c r="M97" s="35">
        <v>0</v>
      </c>
      <c r="N97">
        <f t="shared" si="13"/>
        <v>2</v>
      </c>
      <c r="O97" s="17" t="str">
        <f>IF(N97&gt;0,VLOOKUP(C97,极品属性表调整!$A$2:$B$8,2,0),0)</f>
        <v>205</v>
      </c>
      <c r="P97">
        <f t="shared" si="14"/>
        <v>0</v>
      </c>
      <c r="Q97" s="17">
        <f>IF(P97&gt;0,VLOOKUP(C97,极品属性表调整!$A$9:$B$15,2,0),0)</f>
        <v>0</v>
      </c>
      <c r="R97">
        <f t="shared" si="15"/>
        <v>0</v>
      </c>
      <c r="S97" s="17">
        <f>IF(R97&gt;0,VLOOKUP(C97,极品属性表调整!$A$16:$B$22,2,0),0)</f>
        <v>0</v>
      </c>
      <c r="T97" s="57" t="str">
        <f>VLOOKUP(--H97,套装调整!$Q$19:$R$24,2,0)</f>
        <v>101,102</v>
      </c>
    </row>
    <row r="98" spans="1:20" x14ac:dyDescent="0.2">
      <c r="A98">
        <f t="shared" si="16"/>
        <v>3</v>
      </c>
      <c r="B98" s="12">
        <v>4</v>
      </c>
      <c r="C98">
        <v>6</v>
      </c>
      <c r="D98">
        <v>1</v>
      </c>
      <c r="E98">
        <v>40302</v>
      </c>
      <c r="F98">
        <f>VLOOKUP(C98,性价比!$T$25:$U$31,2,0)*VLOOKUP(--H98,性价比!$W$3:$Y$8,3,0)</f>
        <v>24</v>
      </c>
      <c r="G98" t="str">
        <f t="shared" si="12"/>
        <v>40302:24</v>
      </c>
      <c r="H98" s="25" t="str">
        <f t="shared" ref="H98:H129" si="17">B98&amp;D98</f>
        <v>41</v>
      </c>
      <c r="I98" s="37">
        <f>VLOOKUP(--H98,相关定价!$A$4:$D$9,4,0)*VLOOKUP(--H98,相关定价!$A$4:$D$9,3,0)</f>
        <v>900</v>
      </c>
      <c r="J98" s="35">
        <f>进阶值!C16</f>
        <v>87640</v>
      </c>
      <c r="K98" s="35">
        <v>0</v>
      </c>
      <c r="L98" s="35">
        <f>进阶值!E16</f>
        <v>1738</v>
      </c>
      <c r="M98" s="35">
        <v>0</v>
      </c>
      <c r="N98">
        <f t="shared" si="13"/>
        <v>2</v>
      </c>
      <c r="O98" s="17" t="str">
        <f>IF(N98&gt;0,VLOOKUP(C98,极品属性表调整!$A$2:$B$8,2,0),0)</f>
        <v>206</v>
      </c>
      <c r="P98">
        <f t="shared" si="14"/>
        <v>0</v>
      </c>
      <c r="Q98" s="17">
        <f>IF(P98&gt;0,VLOOKUP(C98,极品属性表调整!$A$9:$B$15,2,0),0)</f>
        <v>0</v>
      </c>
      <c r="R98">
        <f t="shared" si="15"/>
        <v>0</v>
      </c>
      <c r="S98" s="17">
        <f>IF(R98&gt;0,VLOOKUP(C98,极品属性表调整!$A$16:$B$22,2,0),0)</f>
        <v>0</v>
      </c>
      <c r="T98" s="57" t="str">
        <f>VLOOKUP(--H98,套装调整!$Q$19:$R$24,2,0)</f>
        <v>101,102</v>
      </c>
    </row>
    <row r="99" spans="1:20" x14ac:dyDescent="0.2">
      <c r="A99">
        <f t="shared" si="16"/>
        <v>3</v>
      </c>
      <c r="B99" s="12">
        <v>4</v>
      </c>
      <c r="C99">
        <v>7</v>
      </c>
      <c r="D99">
        <v>1</v>
      </c>
      <c r="E99">
        <v>40302</v>
      </c>
      <c r="F99">
        <f>VLOOKUP(C99,性价比!$T$25:$U$31,2,0)*VLOOKUP(--H99,性价比!$W$3:$Y$8,3,0)</f>
        <v>0</v>
      </c>
      <c r="G99" t="str">
        <f t="shared" si="12"/>
        <v>40302:0</v>
      </c>
      <c r="H99" s="25" t="str">
        <f t="shared" si="17"/>
        <v>41</v>
      </c>
      <c r="I99" s="37">
        <f>VLOOKUP(--H99,相关定价!$A$4:$D$9,4,0)*VLOOKUP(--H99,相关定价!$A$4:$D$9,3,0)</f>
        <v>900</v>
      </c>
      <c r="J99" s="35">
        <f>进阶值!C17</f>
        <v>155998</v>
      </c>
      <c r="K99" s="35">
        <v>0</v>
      </c>
      <c r="L99" s="35">
        <f>进阶值!E17</f>
        <v>3092</v>
      </c>
      <c r="M99" s="35">
        <v>0</v>
      </c>
      <c r="N99">
        <f t="shared" si="13"/>
        <v>2</v>
      </c>
      <c r="O99" s="17" t="str">
        <f>IF(N99&gt;0,VLOOKUP(C99,极品属性表调整!$A$2:$B$8,2,0),0)</f>
        <v>207</v>
      </c>
      <c r="P99">
        <f t="shared" si="14"/>
        <v>0</v>
      </c>
      <c r="Q99" s="17">
        <f>IF(P99&gt;0,VLOOKUP(C99,极品属性表调整!$A$9:$B$15,2,0),0)</f>
        <v>0</v>
      </c>
      <c r="R99">
        <f t="shared" si="15"/>
        <v>0</v>
      </c>
      <c r="S99" s="17">
        <f>IF(R99&gt;0,VLOOKUP(C99,极品属性表调整!$A$16:$B$22,2,0),0)</f>
        <v>0</v>
      </c>
      <c r="T99" s="57" t="str">
        <f>VLOOKUP(--H99,套装调整!$Q$19:$R$24,2,0)</f>
        <v>101,102</v>
      </c>
    </row>
    <row r="100" spans="1:20" x14ac:dyDescent="0.2">
      <c r="A100">
        <f t="shared" si="16"/>
        <v>3</v>
      </c>
      <c r="B100" s="12">
        <v>4</v>
      </c>
      <c r="C100">
        <v>1</v>
      </c>
      <c r="D100">
        <v>2</v>
      </c>
      <c r="E100">
        <v>40302</v>
      </c>
      <c r="F100">
        <f>VLOOKUP(C100,性价比!$T$25:$U$31,2,0)*VLOOKUP(--H100,性价比!$W$3:$Y$8,3,0)</f>
        <v>4</v>
      </c>
      <c r="G100" t="str">
        <f t="shared" si="12"/>
        <v>40302:4</v>
      </c>
      <c r="H100" s="25" t="str">
        <f t="shared" si="17"/>
        <v>42</v>
      </c>
      <c r="I100" s="37">
        <f>VLOOKUP(--H100,相关定价!$A$4:$D$9,4,0)*VLOOKUP(--H100,相关定价!$A$4:$D$9,3,0)</f>
        <v>1200</v>
      </c>
      <c r="J100" s="35">
        <f>J93</f>
        <v>4400</v>
      </c>
      <c r="K100" s="35">
        <v>0</v>
      </c>
      <c r="L100" s="35">
        <f>L93</f>
        <v>88</v>
      </c>
      <c r="M100" s="35">
        <v>0</v>
      </c>
      <c r="N100">
        <f t="shared" si="13"/>
        <v>1</v>
      </c>
      <c r="O100" s="17" t="str">
        <f>IF(N100&gt;0,VLOOKUP(C100,极品属性表调整!$A$2:$B$8,2,0),0)</f>
        <v>201</v>
      </c>
      <c r="P100">
        <f t="shared" si="14"/>
        <v>1</v>
      </c>
      <c r="Q100" s="17" t="str">
        <f>IF(P100&gt;0,VLOOKUP(C100,极品属性表调整!$A$9:$B$15,2,0),0)</f>
        <v>301</v>
      </c>
      <c r="R100">
        <f t="shared" si="15"/>
        <v>0</v>
      </c>
      <c r="S100" s="17">
        <f>IF(R100&gt;0,VLOOKUP(C100,极品属性表调整!$A$16:$B$22,2,0),0)</f>
        <v>0</v>
      </c>
      <c r="T100" s="57" t="str">
        <f>VLOOKUP(--H100,套装调整!$Q$19:$R$24,2,0)</f>
        <v>201,202</v>
      </c>
    </row>
    <row r="101" spans="1:20" x14ac:dyDescent="0.2">
      <c r="A101">
        <f t="shared" si="16"/>
        <v>3</v>
      </c>
      <c r="B101" s="12">
        <v>4</v>
      </c>
      <c r="C101">
        <v>2</v>
      </c>
      <c r="D101">
        <v>2</v>
      </c>
      <c r="E101">
        <v>40302</v>
      </c>
      <c r="F101">
        <f>VLOOKUP(C101,性价比!$T$25:$U$31,2,0)*VLOOKUP(--H101,性价比!$W$3:$Y$8,3,0)</f>
        <v>8</v>
      </c>
      <c r="G101" t="str">
        <f t="shared" si="12"/>
        <v>40302:8</v>
      </c>
      <c r="H101" s="25" t="str">
        <f t="shared" si="17"/>
        <v>42</v>
      </c>
      <c r="I101" s="37">
        <f>VLOOKUP(--H101,相关定价!$A$4:$D$9,4,0)*VLOOKUP(--H101,相关定价!$A$4:$D$9,3,0)</f>
        <v>1200</v>
      </c>
      <c r="J101" s="35">
        <f t="shared" ref="J101:L106" si="18">J94</f>
        <v>7700</v>
      </c>
      <c r="K101" s="35">
        <v>0</v>
      </c>
      <c r="L101" s="35">
        <f t="shared" si="18"/>
        <v>154</v>
      </c>
      <c r="M101" s="35">
        <v>0</v>
      </c>
      <c r="N101">
        <f t="shared" si="13"/>
        <v>1</v>
      </c>
      <c r="O101" s="17" t="str">
        <f>IF(N101&gt;0,VLOOKUP(C101,极品属性表调整!$A$2:$B$8,2,0),0)</f>
        <v>202</v>
      </c>
      <c r="P101">
        <f t="shared" si="14"/>
        <v>1</v>
      </c>
      <c r="Q101" s="17" t="str">
        <f>IF(P101&gt;0,VLOOKUP(C101,极品属性表调整!$A$9:$B$15,2,0),0)</f>
        <v>302</v>
      </c>
      <c r="R101">
        <f t="shared" si="15"/>
        <v>0</v>
      </c>
      <c r="S101" s="17">
        <f>IF(R101&gt;0,VLOOKUP(C101,极品属性表调整!$A$16:$B$22,2,0),0)</f>
        <v>0</v>
      </c>
      <c r="T101" s="57" t="str">
        <f>VLOOKUP(--H101,套装调整!$Q$19:$R$24,2,0)</f>
        <v>201,202</v>
      </c>
    </row>
    <row r="102" spans="1:20" x14ac:dyDescent="0.2">
      <c r="A102">
        <f t="shared" si="16"/>
        <v>3</v>
      </c>
      <c r="B102" s="12">
        <v>4</v>
      </c>
      <c r="C102">
        <v>3</v>
      </c>
      <c r="D102">
        <v>2</v>
      </c>
      <c r="E102">
        <v>40302</v>
      </c>
      <c r="F102">
        <f>VLOOKUP(C102,性价比!$T$25:$U$31,2,0)*VLOOKUP(--H102,性价比!$W$3:$Y$8,3,0)</f>
        <v>12</v>
      </c>
      <c r="G102" t="str">
        <f t="shared" si="12"/>
        <v>40302:12</v>
      </c>
      <c r="H102" s="25" t="str">
        <f t="shared" si="17"/>
        <v>42</v>
      </c>
      <c r="I102" s="37">
        <f>VLOOKUP(--H102,相关定价!$A$4:$D$9,4,0)*VLOOKUP(--H102,相关定价!$A$4:$D$9,3,0)</f>
        <v>1200</v>
      </c>
      <c r="J102" s="35">
        <f t="shared" si="18"/>
        <v>14784</v>
      </c>
      <c r="K102" s="35">
        <v>0</v>
      </c>
      <c r="L102" s="35">
        <f t="shared" si="18"/>
        <v>294</v>
      </c>
      <c r="M102" s="35">
        <v>0</v>
      </c>
      <c r="N102">
        <f t="shared" si="13"/>
        <v>1</v>
      </c>
      <c r="O102" s="17" t="str">
        <f>IF(N102&gt;0,VLOOKUP(C102,极品属性表调整!$A$2:$B$8,2,0),0)</f>
        <v>203</v>
      </c>
      <c r="P102">
        <f t="shared" si="14"/>
        <v>1</v>
      </c>
      <c r="Q102" s="17" t="str">
        <f>IF(P102&gt;0,VLOOKUP(C102,极品属性表调整!$A$9:$B$15,2,0),0)</f>
        <v>303</v>
      </c>
      <c r="R102">
        <f t="shared" si="15"/>
        <v>0</v>
      </c>
      <c r="S102" s="17">
        <f>IF(R102&gt;0,VLOOKUP(C102,极品属性表调整!$A$16:$B$22,2,0),0)</f>
        <v>0</v>
      </c>
      <c r="T102" s="57" t="str">
        <f>VLOOKUP(--H102,套装调整!$Q$19:$R$24,2,0)</f>
        <v>201,202</v>
      </c>
    </row>
    <row r="103" spans="1:20" x14ac:dyDescent="0.2">
      <c r="A103">
        <f t="shared" si="16"/>
        <v>3</v>
      </c>
      <c r="B103" s="12">
        <v>4</v>
      </c>
      <c r="C103">
        <v>4</v>
      </c>
      <c r="D103">
        <v>2</v>
      </c>
      <c r="E103">
        <v>40302</v>
      </c>
      <c r="F103">
        <f>VLOOKUP(C103,性价比!$T$25:$U$31,2,0)*VLOOKUP(--H103,性价比!$W$3:$Y$8,3,0)</f>
        <v>16</v>
      </c>
      <c r="G103" t="str">
        <f t="shared" si="12"/>
        <v>40302:16</v>
      </c>
      <c r="H103" s="25" t="str">
        <f t="shared" si="17"/>
        <v>42</v>
      </c>
      <c r="I103" s="37">
        <f>VLOOKUP(--H103,相关定价!$A$4:$D$9,4,0)*VLOOKUP(--H103,相关定价!$A$4:$D$9,3,0)</f>
        <v>1200</v>
      </c>
      <c r="J103" s="35">
        <f t="shared" si="18"/>
        <v>27202</v>
      </c>
      <c r="K103" s="35">
        <v>0</v>
      </c>
      <c r="L103" s="35">
        <f t="shared" si="18"/>
        <v>540</v>
      </c>
      <c r="M103" s="35">
        <v>0</v>
      </c>
      <c r="N103">
        <f t="shared" si="13"/>
        <v>1</v>
      </c>
      <c r="O103" s="17" t="str">
        <f>IF(N103&gt;0,VLOOKUP(C103,极品属性表调整!$A$2:$B$8,2,0),0)</f>
        <v>204</v>
      </c>
      <c r="P103">
        <f t="shared" si="14"/>
        <v>1</v>
      </c>
      <c r="Q103" s="17" t="str">
        <f>IF(P103&gt;0,VLOOKUP(C103,极品属性表调整!$A$9:$B$15,2,0),0)</f>
        <v>304</v>
      </c>
      <c r="R103">
        <f t="shared" si="15"/>
        <v>0</v>
      </c>
      <c r="S103" s="17">
        <f>IF(R103&gt;0,VLOOKUP(C103,极品属性表调整!$A$16:$B$22,2,0),0)</f>
        <v>0</v>
      </c>
      <c r="T103" s="57" t="str">
        <f>VLOOKUP(--H103,套装调整!$Q$19:$R$24,2,0)</f>
        <v>201,202</v>
      </c>
    </row>
    <row r="104" spans="1:20" x14ac:dyDescent="0.2">
      <c r="A104">
        <f t="shared" si="16"/>
        <v>3</v>
      </c>
      <c r="B104" s="12">
        <v>4</v>
      </c>
      <c r="C104">
        <v>5</v>
      </c>
      <c r="D104">
        <v>2</v>
      </c>
      <c r="E104">
        <v>40302</v>
      </c>
      <c r="F104">
        <f>VLOOKUP(C104,性价比!$T$25:$U$31,2,0)*VLOOKUP(--H104,性价比!$W$3:$Y$8,3,0)</f>
        <v>20</v>
      </c>
      <c r="G104" t="str">
        <f t="shared" si="12"/>
        <v>40302:20</v>
      </c>
      <c r="H104" s="25" t="str">
        <f t="shared" si="17"/>
        <v>42</v>
      </c>
      <c r="I104" s="37">
        <f>VLOOKUP(--H104,相关定价!$A$4:$D$9,4,0)*VLOOKUP(--H104,相关定价!$A$4:$D$9,3,0)</f>
        <v>1200</v>
      </c>
      <c r="J104" s="35">
        <f t="shared" si="18"/>
        <v>48962</v>
      </c>
      <c r="K104" s="35">
        <v>0</v>
      </c>
      <c r="L104" s="35">
        <f t="shared" si="18"/>
        <v>972</v>
      </c>
      <c r="M104" s="35">
        <v>0</v>
      </c>
      <c r="N104">
        <f t="shared" si="13"/>
        <v>1</v>
      </c>
      <c r="O104" s="17" t="str">
        <f>IF(N104&gt;0,VLOOKUP(C104,极品属性表调整!$A$2:$B$8,2,0),0)</f>
        <v>205</v>
      </c>
      <c r="P104">
        <f t="shared" si="14"/>
        <v>1</v>
      </c>
      <c r="Q104" s="17" t="str">
        <f>IF(P104&gt;0,VLOOKUP(C104,极品属性表调整!$A$9:$B$15,2,0),0)</f>
        <v>305</v>
      </c>
      <c r="R104">
        <f t="shared" si="15"/>
        <v>0</v>
      </c>
      <c r="S104" s="17">
        <f>IF(R104&gt;0,VLOOKUP(C104,极品属性表调整!$A$16:$B$22,2,0),0)</f>
        <v>0</v>
      </c>
      <c r="T104" s="57" t="str">
        <f>VLOOKUP(--H104,套装调整!$Q$19:$R$24,2,0)</f>
        <v>201,202</v>
      </c>
    </row>
    <row r="105" spans="1:20" x14ac:dyDescent="0.2">
      <c r="A105">
        <f t="shared" si="16"/>
        <v>3</v>
      </c>
      <c r="B105" s="12">
        <v>4</v>
      </c>
      <c r="C105">
        <v>6</v>
      </c>
      <c r="D105">
        <v>2</v>
      </c>
      <c r="E105">
        <v>40302</v>
      </c>
      <c r="F105">
        <f>VLOOKUP(C105,性价比!$T$25:$U$31,2,0)*VLOOKUP(--H105,性价比!$W$3:$Y$8,3,0)</f>
        <v>24</v>
      </c>
      <c r="G105" t="str">
        <f t="shared" si="12"/>
        <v>40302:24</v>
      </c>
      <c r="H105" s="25" t="str">
        <f t="shared" si="17"/>
        <v>42</v>
      </c>
      <c r="I105" s="37">
        <f>VLOOKUP(--H105,相关定价!$A$4:$D$9,4,0)*VLOOKUP(--H105,相关定价!$A$4:$D$9,3,0)</f>
        <v>1200</v>
      </c>
      <c r="J105" s="35">
        <f t="shared" si="18"/>
        <v>87640</v>
      </c>
      <c r="K105" s="35">
        <v>0</v>
      </c>
      <c r="L105" s="35">
        <f t="shared" si="18"/>
        <v>1738</v>
      </c>
      <c r="M105" s="35">
        <v>0</v>
      </c>
      <c r="N105">
        <f t="shared" si="13"/>
        <v>1</v>
      </c>
      <c r="O105" s="17" t="str">
        <f>IF(N105&gt;0,VLOOKUP(C105,极品属性表调整!$A$2:$B$8,2,0),0)</f>
        <v>206</v>
      </c>
      <c r="P105">
        <f t="shared" si="14"/>
        <v>1</v>
      </c>
      <c r="Q105" s="17" t="str">
        <f>IF(P105&gt;0,VLOOKUP(C105,极品属性表调整!$A$9:$B$15,2,0),0)</f>
        <v>306</v>
      </c>
      <c r="R105">
        <f t="shared" si="15"/>
        <v>0</v>
      </c>
      <c r="S105" s="17">
        <f>IF(R105&gt;0,VLOOKUP(C105,极品属性表调整!$A$16:$B$22,2,0),0)</f>
        <v>0</v>
      </c>
      <c r="T105" s="57" t="str">
        <f>VLOOKUP(--H105,套装调整!$Q$19:$R$24,2,0)</f>
        <v>201,202</v>
      </c>
    </row>
    <row r="106" spans="1:20" x14ac:dyDescent="0.2">
      <c r="A106">
        <f t="shared" si="16"/>
        <v>3</v>
      </c>
      <c r="B106" s="12">
        <v>4</v>
      </c>
      <c r="C106">
        <v>7</v>
      </c>
      <c r="D106">
        <v>2</v>
      </c>
      <c r="E106">
        <v>40302</v>
      </c>
      <c r="F106">
        <f>VLOOKUP(C106,性价比!$T$25:$U$31,2,0)*VLOOKUP(--H106,性价比!$W$3:$Y$8,3,0)</f>
        <v>0</v>
      </c>
      <c r="G106" t="str">
        <f t="shared" si="12"/>
        <v>40302:0</v>
      </c>
      <c r="H106" s="25" t="str">
        <f t="shared" si="17"/>
        <v>42</v>
      </c>
      <c r="I106" s="37">
        <f>VLOOKUP(--H106,相关定价!$A$4:$D$9,4,0)*VLOOKUP(--H106,相关定价!$A$4:$D$9,3,0)</f>
        <v>1200</v>
      </c>
      <c r="J106" s="35">
        <f t="shared" si="18"/>
        <v>155998</v>
      </c>
      <c r="K106" s="35">
        <v>0</v>
      </c>
      <c r="L106" s="35">
        <f t="shared" si="18"/>
        <v>3092</v>
      </c>
      <c r="M106" s="35">
        <v>0</v>
      </c>
      <c r="N106">
        <f t="shared" si="13"/>
        <v>1</v>
      </c>
      <c r="O106" s="17" t="str">
        <f>IF(N106&gt;0,VLOOKUP(C106,极品属性表调整!$A$2:$B$8,2,0),0)</f>
        <v>207</v>
      </c>
      <c r="P106">
        <f t="shared" si="14"/>
        <v>1</v>
      </c>
      <c r="Q106" s="17" t="str">
        <f>IF(P106&gt;0,VLOOKUP(C106,极品属性表调整!$A$9:$B$15,2,0),0)</f>
        <v>307</v>
      </c>
      <c r="R106">
        <f t="shared" si="15"/>
        <v>0</v>
      </c>
      <c r="S106" s="17">
        <f>IF(R106&gt;0,VLOOKUP(C106,极品属性表调整!$A$16:$B$22,2,0),0)</f>
        <v>0</v>
      </c>
      <c r="T106" s="57" t="str">
        <f>VLOOKUP(--H106,套装调整!$Q$19:$R$24,2,0)</f>
        <v>201,202</v>
      </c>
    </row>
    <row r="107" spans="1:20" x14ac:dyDescent="0.2">
      <c r="A107">
        <f t="shared" si="16"/>
        <v>3</v>
      </c>
      <c r="B107" s="4">
        <v>5</v>
      </c>
      <c r="C107">
        <v>1</v>
      </c>
      <c r="D107">
        <v>1</v>
      </c>
      <c r="E107">
        <v>40302</v>
      </c>
      <c r="F107">
        <f>VLOOKUP(C107,性价比!$T$25:$U$31,2,0)*VLOOKUP(--H107,性价比!$W$3:$Y$8,3,0)</f>
        <v>6</v>
      </c>
      <c r="G107" t="str">
        <f t="shared" si="12"/>
        <v>40302:6</v>
      </c>
      <c r="H107" s="25" t="str">
        <f t="shared" si="17"/>
        <v>51</v>
      </c>
      <c r="I107" s="37">
        <f>VLOOKUP(--H107,相关定价!$A$4:$D$9,4,0)*VLOOKUP(--H107,相关定价!$A$4:$D$9,3,0)</f>
        <v>2100</v>
      </c>
      <c r="J107" s="35">
        <f>进阶值!C18</f>
        <v>7920</v>
      </c>
      <c r="K107" s="35">
        <v>0</v>
      </c>
      <c r="L107" s="35">
        <f>进阶值!E18</f>
        <v>158</v>
      </c>
      <c r="M107" s="35">
        <v>0</v>
      </c>
      <c r="N107">
        <f t="shared" si="13"/>
        <v>2</v>
      </c>
      <c r="O107" s="17" t="str">
        <f>IF(N107&gt;0,VLOOKUP(C107,极品属性表调整!$A$2:$B$8,2,0),0)</f>
        <v>201</v>
      </c>
      <c r="P107">
        <f t="shared" si="14"/>
        <v>1</v>
      </c>
      <c r="Q107" s="17" t="str">
        <f>IF(P107&gt;0,VLOOKUP(C107,极品属性表调整!$A$9:$B$15,2,0),0)</f>
        <v>301</v>
      </c>
      <c r="R107">
        <f t="shared" si="15"/>
        <v>0</v>
      </c>
      <c r="S107" s="17">
        <f>IF(R107&gt;0,VLOOKUP(C107,极品属性表调整!$A$16:$B$22,2,0),0)</f>
        <v>0</v>
      </c>
      <c r="T107" s="57">
        <f>VLOOKUP(--H107,套装调整!$Q$19:$R$24,2,0)</f>
        <v>0</v>
      </c>
    </row>
    <row r="108" spans="1:20" x14ac:dyDescent="0.2">
      <c r="A108">
        <f t="shared" si="16"/>
        <v>3</v>
      </c>
      <c r="B108" s="4">
        <v>5</v>
      </c>
      <c r="C108">
        <v>2</v>
      </c>
      <c r="D108">
        <v>1</v>
      </c>
      <c r="E108">
        <v>40302</v>
      </c>
      <c r="F108">
        <f>VLOOKUP(C108,性价比!$T$25:$U$31,2,0)*VLOOKUP(--H108,性价比!$W$3:$Y$8,3,0)</f>
        <v>12</v>
      </c>
      <c r="G108" t="str">
        <f t="shared" si="12"/>
        <v>40302:12</v>
      </c>
      <c r="H108" s="25" t="str">
        <f t="shared" si="17"/>
        <v>51</v>
      </c>
      <c r="I108" s="37">
        <f>VLOOKUP(--H108,相关定价!$A$4:$D$9,4,0)*VLOOKUP(--H108,相关定价!$A$4:$D$9,3,0)</f>
        <v>2100</v>
      </c>
      <c r="J108" s="35">
        <f>进阶值!C19</f>
        <v>13860</v>
      </c>
      <c r="K108" s="35">
        <v>0</v>
      </c>
      <c r="L108" s="35">
        <f>进阶值!E19</f>
        <v>277</v>
      </c>
      <c r="M108" s="35">
        <v>0</v>
      </c>
      <c r="N108">
        <f t="shared" si="13"/>
        <v>2</v>
      </c>
      <c r="O108" s="17" t="str">
        <f>IF(N108&gt;0,VLOOKUP(C108,极品属性表调整!$A$2:$B$8,2,0),0)</f>
        <v>202</v>
      </c>
      <c r="P108">
        <f t="shared" si="14"/>
        <v>1</v>
      </c>
      <c r="Q108" s="17" t="str">
        <f>IF(P108&gt;0,VLOOKUP(C108,极品属性表调整!$A$9:$B$15,2,0),0)</f>
        <v>302</v>
      </c>
      <c r="R108">
        <f t="shared" si="15"/>
        <v>0</v>
      </c>
      <c r="S108" s="17">
        <f>IF(R108&gt;0,VLOOKUP(C108,极品属性表调整!$A$16:$B$22,2,0),0)</f>
        <v>0</v>
      </c>
      <c r="T108" s="57">
        <f>VLOOKUP(--H108,套装调整!$Q$19:$R$24,2,0)</f>
        <v>0</v>
      </c>
    </row>
    <row r="109" spans="1:20" x14ac:dyDescent="0.2">
      <c r="A109">
        <f t="shared" si="16"/>
        <v>3</v>
      </c>
      <c r="B109" s="4">
        <v>5</v>
      </c>
      <c r="C109">
        <v>3</v>
      </c>
      <c r="D109">
        <v>1</v>
      </c>
      <c r="E109">
        <v>40302</v>
      </c>
      <c r="F109">
        <f>VLOOKUP(C109,性价比!$T$25:$U$31,2,0)*VLOOKUP(--H109,性价比!$W$3:$Y$8,3,0)</f>
        <v>18</v>
      </c>
      <c r="G109" t="str">
        <f t="shared" si="12"/>
        <v>40302:18</v>
      </c>
      <c r="H109" s="25" t="str">
        <f t="shared" si="17"/>
        <v>51</v>
      </c>
      <c r="I109" s="37">
        <f>VLOOKUP(--H109,相关定价!$A$4:$D$9,4,0)*VLOOKUP(--H109,相关定价!$A$4:$D$9,3,0)</f>
        <v>2100</v>
      </c>
      <c r="J109" s="35">
        <f>进阶值!C20</f>
        <v>26611</v>
      </c>
      <c r="K109" s="35">
        <v>0</v>
      </c>
      <c r="L109" s="35">
        <f>进阶值!E20</f>
        <v>529</v>
      </c>
      <c r="M109" s="35">
        <v>0</v>
      </c>
      <c r="N109">
        <f t="shared" si="13"/>
        <v>2</v>
      </c>
      <c r="O109" s="17" t="str">
        <f>IF(N109&gt;0,VLOOKUP(C109,极品属性表调整!$A$2:$B$8,2,0),0)</f>
        <v>203</v>
      </c>
      <c r="P109">
        <f t="shared" si="14"/>
        <v>1</v>
      </c>
      <c r="Q109" s="17" t="str">
        <f>IF(P109&gt;0,VLOOKUP(C109,极品属性表调整!$A$9:$B$15,2,0),0)</f>
        <v>303</v>
      </c>
      <c r="R109">
        <f t="shared" si="15"/>
        <v>0</v>
      </c>
      <c r="S109" s="17">
        <f>IF(R109&gt;0,VLOOKUP(C109,极品属性表调整!$A$16:$B$22,2,0),0)</f>
        <v>0</v>
      </c>
      <c r="T109" s="57">
        <f>VLOOKUP(--H109,套装调整!$Q$19:$R$24,2,0)</f>
        <v>0</v>
      </c>
    </row>
    <row r="110" spans="1:20" x14ac:dyDescent="0.2">
      <c r="A110">
        <f t="shared" si="16"/>
        <v>3</v>
      </c>
      <c r="B110" s="4">
        <v>5</v>
      </c>
      <c r="C110">
        <v>4</v>
      </c>
      <c r="D110">
        <v>1</v>
      </c>
      <c r="E110">
        <v>40302</v>
      </c>
      <c r="F110">
        <f>VLOOKUP(C110,性价比!$T$25:$U$31,2,0)*VLOOKUP(--H110,性价比!$W$3:$Y$8,3,0)</f>
        <v>24</v>
      </c>
      <c r="G110" t="str">
        <f t="shared" si="12"/>
        <v>40302:24</v>
      </c>
      <c r="H110" s="25" t="str">
        <f t="shared" si="17"/>
        <v>51</v>
      </c>
      <c r="I110" s="37">
        <f>VLOOKUP(--H110,相关定价!$A$4:$D$9,4,0)*VLOOKUP(--H110,相关定价!$A$4:$D$9,3,0)</f>
        <v>2100</v>
      </c>
      <c r="J110" s="35">
        <f>进阶值!C21</f>
        <v>48963</v>
      </c>
      <c r="K110" s="35">
        <v>0</v>
      </c>
      <c r="L110" s="35">
        <f>进阶值!E21</f>
        <v>972</v>
      </c>
      <c r="M110" s="35">
        <v>0</v>
      </c>
      <c r="N110">
        <f t="shared" si="13"/>
        <v>2</v>
      </c>
      <c r="O110" s="17" t="str">
        <f>IF(N110&gt;0,VLOOKUP(C110,极品属性表调整!$A$2:$B$8,2,0),0)</f>
        <v>204</v>
      </c>
      <c r="P110">
        <f t="shared" si="14"/>
        <v>1</v>
      </c>
      <c r="Q110" s="17" t="str">
        <f>IF(P110&gt;0,VLOOKUP(C110,极品属性表调整!$A$9:$B$15,2,0),0)</f>
        <v>304</v>
      </c>
      <c r="R110">
        <f t="shared" si="15"/>
        <v>0</v>
      </c>
      <c r="S110" s="17">
        <f>IF(R110&gt;0,VLOOKUP(C110,极品属性表调整!$A$16:$B$22,2,0),0)</f>
        <v>0</v>
      </c>
      <c r="T110" s="57">
        <f>VLOOKUP(--H110,套装调整!$Q$19:$R$24,2,0)</f>
        <v>0</v>
      </c>
    </row>
    <row r="111" spans="1:20" x14ac:dyDescent="0.2">
      <c r="A111">
        <f t="shared" si="16"/>
        <v>3</v>
      </c>
      <c r="B111" s="4">
        <v>5</v>
      </c>
      <c r="C111">
        <v>5</v>
      </c>
      <c r="D111">
        <v>1</v>
      </c>
      <c r="E111">
        <v>40302</v>
      </c>
      <c r="F111">
        <f>VLOOKUP(C111,性价比!$T$25:$U$31,2,0)*VLOOKUP(--H111,性价比!$W$3:$Y$8,3,0)</f>
        <v>30</v>
      </c>
      <c r="G111" t="str">
        <f t="shared" si="12"/>
        <v>40302:30</v>
      </c>
      <c r="H111" s="25" t="str">
        <f t="shared" si="17"/>
        <v>51</v>
      </c>
      <c r="I111" s="37">
        <f>VLOOKUP(--H111,相关定价!$A$4:$D$9,4,0)*VLOOKUP(--H111,相关定价!$A$4:$D$9,3,0)</f>
        <v>2100</v>
      </c>
      <c r="J111" s="35">
        <f>进阶值!C22</f>
        <v>88131</v>
      </c>
      <c r="K111" s="35">
        <v>0</v>
      </c>
      <c r="L111" s="35">
        <f>进阶值!E22</f>
        <v>1749</v>
      </c>
      <c r="M111" s="35">
        <v>0</v>
      </c>
      <c r="N111">
        <f t="shared" si="13"/>
        <v>2</v>
      </c>
      <c r="O111" s="17" t="str">
        <f>IF(N111&gt;0,VLOOKUP(C111,极品属性表调整!$A$2:$B$8,2,0),0)</f>
        <v>205</v>
      </c>
      <c r="P111">
        <f t="shared" si="14"/>
        <v>1</v>
      </c>
      <c r="Q111" s="17" t="str">
        <f>IF(P111&gt;0,VLOOKUP(C111,极品属性表调整!$A$9:$B$15,2,0),0)</f>
        <v>305</v>
      </c>
      <c r="R111">
        <f t="shared" si="15"/>
        <v>0</v>
      </c>
      <c r="S111" s="17">
        <f>IF(R111&gt;0,VLOOKUP(C111,极品属性表调整!$A$16:$B$22,2,0),0)</f>
        <v>0</v>
      </c>
      <c r="T111" s="57">
        <f>VLOOKUP(--H111,套装调整!$Q$19:$R$24,2,0)</f>
        <v>0</v>
      </c>
    </row>
    <row r="112" spans="1:20" x14ac:dyDescent="0.2">
      <c r="A112">
        <f t="shared" si="16"/>
        <v>3</v>
      </c>
      <c r="B112" s="4">
        <v>5</v>
      </c>
      <c r="C112">
        <v>6</v>
      </c>
      <c r="D112">
        <v>1</v>
      </c>
      <c r="E112">
        <v>40302</v>
      </c>
      <c r="F112">
        <f>VLOOKUP(C112,性价比!$T$25:$U$31,2,0)*VLOOKUP(--H112,性价比!$W$3:$Y$8,3,0)</f>
        <v>36</v>
      </c>
      <c r="G112" t="str">
        <f t="shared" si="12"/>
        <v>40302:36</v>
      </c>
      <c r="H112" s="25" t="str">
        <f t="shared" si="17"/>
        <v>51</v>
      </c>
      <c r="I112" s="37">
        <f>VLOOKUP(--H112,相关定价!$A$4:$D$9,4,0)*VLOOKUP(--H112,相关定价!$A$4:$D$9,3,0)</f>
        <v>2100</v>
      </c>
      <c r="J112" s="35">
        <f>进阶值!C23</f>
        <v>157752</v>
      </c>
      <c r="K112" s="35">
        <v>0</v>
      </c>
      <c r="L112" s="35">
        <f>进阶值!E23</f>
        <v>3128</v>
      </c>
      <c r="M112" s="35">
        <v>0</v>
      </c>
      <c r="N112">
        <f t="shared" si="13"/>
        <v>2</v>
      </c>
      <c r="O112" s="17" t="str">
        <f>IF(N112&gt;0,VLOOKUP(C112,极品属性表调整!$A$2:$B$8,2,0),0)</f>
        <v>206</v>
      </c>
      <c r="P112">
        <f t="shared" si="14"/>
        <v>1</v>
      </c>
      <c r="Q112" s="17" t="str">
        <f>IF(P112&gt;0,VLOOKUP(C112,极品属性表调整!$A$9:$B$15,2,0),0)</f>
        <v>306</v>
      </c>
      <c r="R112">
        <f t="shared" si="15"/>
        <v>0</v>
      </c>
      <c r="S112" s="17">
        <f>IF(R112&gt;0,VLOOKUP(C112,极品属性表调整!$A$16:$B$22,2,0),0)</f>
        <v>0</v>
      </c>
      <c r="T112" s="57">
        <f>VLOOKUP(--H112,套装调整!$Q$19:$R$24,2,0)</f>
        <v>0</v>
      </c>
    </row>
    <row r="113" spans="1:20" x14ac:dyDescent="0.2">
      <c r="A113">
        <f t="shared" si="16"/>
        <v>3</v>
      </c>
      <c r="B113" s="4">
        <v>5</v>
      </c>
      <c r="C113">
        <v>7</v>
      </c>
      <c r="D113">
        <v>1</v>
      </c>
      <c r="E113">
        <v>40302</v>
      </c>
      <c r="F113">
        <f>VLOOKUP(C113,性价比!$T$25:$U$31,2,0)*VLOOKUP(--H113,性价比!$W$3:$Y$8,3,0)</f>
        <v>0</v>
      </c>
      <c r="G113" t="str">
        <f t="shared" si="12"/>
        <v>40302:0</v>
      </c>
      <c r="H113" s="25" t="str">
        <f t="shared" si="17"/>
        <v>51</v>
      </c>
      <c r="I113" s="37">
        <f>VLOOKUP(--H113,相关定价!$A$4:$D$9,4,0)*VLOOKUP(--H113,相关定价!$A$4:$D$9,3,0)</f>
        <v>2100</v>
      </c>
      <c r="J113" s="35">
        <f>进阶值!C24</f>
        <v>280796</v>
      </c>
      <c r="K113" s="35">
        <v>0</v>
      </c>
      <c r="L113" s="35">
        <f>进阶值!E24</f>
        <v>5565</v>
      </c>
      <c r="M113" s="35">
        <v>0</v>
      </c>
      <c r="N113">
        <f t="shared" si="13"/>
        <v>2</v>
      </c>
      <c r="O113" s="17" t="str">
        <f>IF(N113&gt;0,VLOOKUP(C113,极品属性表调整!$A$2:$B$8,2,0),0)</f>
        <v>207</v>
      </c>
      <c r="P113">
        <f t="shared" si="14"/>
        <v>1</v>
      </c>
      <c r="Q113" s="17" t="str">
        <f>IF(P113&gt;0,VLOOKUP(C113,极品属性表调整!$A$9:$B$15,2,0),0)</f>
        <v>307</v>
      </c>
      <c r="R113">
        <f t="shared" si="15"/>
        <v>0</v>
      </c>
      <c r="S113" s="17">
        <f>IF(R113&gt;0,VLOOKUP(C113,极品属性表调整!$A$16:$B$22,2,0),0)</f>
        <v>0</v>
      </c>
      <c r="T113" s="57">
        <f>VLOOKUP(--H113,套装调整!$Q$19:$R$24,2,0)</f>
        <v>0</v>
      </c>
    </row>
    <row r="114" spans="1:20" x14ac:dyDescent="0.2">
      <c r="A114">
        <f t="shared" si="16"/>
        <v>3</v>
      </c>
      <c r="B114" s="4">
        <v>5</v>
      </c>
      <c r="C114">
        <v>1</v>
      </c>
      <c r="D114">
        <v>2</v>
      </c>
      <c r="E114">
        <v>40302</v>
      </c>
      <c r="F114">
        <f>VLOOKUP(C114,性价比!$T$25:$U$31,2,0)*VLOOKUP(--H114,性价比!$W$3:$Y$8,3,0)</f>
        <v>6</v>
      </c>
      <c r="G114" t="str">
        <f t="shared" si="12"/>
        <v>40302:6</v>
      </c>
      <c r="H114" s="25" t="str">
        <f t="shared" si="17"/>
        <v>52</v>
      </c>
      <c r="I114" s="37">
        <f>VLOOKUP(--H114,相关定价!$A$4:$D$9,4,0)*VLOOKUP(--H114,相关定价!$A$4:$D$9,3,0)</f>
        <v>2700</v>
      </c>
      <c r="J114" s="35">
        <f>J107</f>
        <v>7920</v>
      </c>
      <c r="K114" s="35">
        <v>0</v>
      </c>
      <c r="L114" s="35">
        <f>L107</f>
        <v>158</v>
      </c>
      <c r="M114" s="35">
        <v>0</v>
      </c>
      <c r="N114">
        <f t="shared" si="13"/>
        <v>1</v>
      </c>
      <c r="O114" s="17" t="str">
        <f>IF(N114&gt;0,VLOOKUP(C114,极品属性表调整!$A$2:$B$8,2,0),0)</f>
        <v>201</v>
      </c>
      <c r="P114">
        <f t="shared" si="14"/>
        <v>1</v>
      </c>
      <c r="Q114" s="17" t="str">
        <f>IF(P114&gt;0,VLOOKUP(C114,极品属性表调整!$A$9:$B$15,2,0),0)</f>
        <v>301</v>
      </c>
      <c r="R114">
        <f t="shared" si="15"/>
        <v>1</v>
      </c>
      <c r="S114" s="17" t="str">
        <f>IF(R114&gt;0,VLOOKUP(C114,极品属性表调整!$A$16:$B$22,2,0),0)</f>
        <v>401</v>
      </c>
      <c r="T114" s="57" t="str">
        <f>VLOOKUP(--H114,套装调整!$Q$19:$R$24,2,0)</f>
        <v>301,302</v>
      </c>
    </row>
    <row r="115" spans="1:20" x14ac:dyDescent="0.2">
      <c r="A115">
        <f t="shared" si="16"/>
        <v>3</v>
      </c>
      <c r="B115" s="4">
        <v>5</v>
      </c>
      <c r="C115">
        <v>2</v>
      </c>
      <c r="D115">
        <v>2</v>
      </c>
      <c r="E115">
        <v>40302</v>
      </c>
      <c r="F115">
        <f>VLOOKUP(C115,性价比!$T$25:$U$31,2,0)*VLOOKUP(--H115,性价比!$W$3:$Y$8,3,0)</f>
        <v>12</v>
      </c>
      <c r="G115" t="str">
        <f t="shared" si="12"/>
        <v>40302:12</v>
      </c>
      <c r="H115" s="25" t="str">
        <f t="shared" si="17"/>
        <v>52</v>
      </c>
      <c r="I115" s="37">
        <f>VLOOKUP(--H115,相关定价!$A$4:$D$9,4,0)*VLOOKUP(--H115,相关定价!$A$4:$D$9,3,0)</f>
        <v>2700</v>
      </c>
      <c r="J115" s="35">
        <f t="shared" ref="J115:L120" si="19">J108</f>
        <v>13860</v>
      </c>
      <c r="K115" s="35">
        <v>0</v>
      </c>
      <c r="L115" s="35">
        <f t="shared" si="19"/>
        <v>277</v>
      </c>
      <c r="M115" s="35">
        <v>0</v>
      </c>
      <c r="N115">
        <f t="shared" si="13"/>
        <v>1</v>
      </c>
      <c r="O115" s="17" t="str">
        <f>IF(N115&gt;0,VLOOKUP(C115,极品属性表调整!$A$2:$B$8,2,0),0)</f>
        <v>202</v>
      </c>
      <c r="P115">
        <f t="shared" si="14"/>
        <v>1</v>
      </c>
      <c r="Q115" s="17" t="str">
        <f>IF(P115&gt;0,VLOOKUP(C115,极品属性表调整!$A$9:$B$15,2,0),0)</f>
        <v>302</v>
      </c>
      <c r="R115">
        <f t="shared" si="15"/>
        <v>1</v>
      </c>
      <c r="S115" s="17" t="str">
        <f>IF(R115&gt;0,VLOOKUP(C115,极品属性表调整!$A$16:$B$22,2,0),0)</f>
        <v>402</v>
      </c>
      <c r="T115" s="57" t="str">
        <f>VLOOKUP(--H115,套装调整!$Q$19:$R$24,2,0)</f>
        <v>301,302</v>
      </c>
    </row>
    <row r="116" spans="1:20" x14ac:dyDescent="0.2">
      <c r="A116">
        <f t="shared" si="16"/>
        <v>3</v>
      </c>
      <c r="B116" s="4">
        <v>5</v>
      </c>
      <c r="C116">
        <v>3</v>
      </c>
      <c r="D116">
        <v>2</v>
      </c>
      <c r="E116">
        <v>40302</v>
      </c>
      <c r="F116">
        <f>VLOOKUP(C116,性价比!$T$25:$U$31,2,0)*VLOOKUP(--H116,性价比!$W$3:$Y$8,3,0)</f>
        <v>18</v>
      </c>
      <c r="G116" t="str">
        <f t="shared" si="12"/>
        <v>40302:18</v>
      </c>
      <c r="H116" s="25" t="str">
        <f t="shared" si="17"/>
        <v>52</v>
      </c>
      <c r="I116" s="37">
        <f>VLOOKUP(--H116,相关定价!$A$4:$D$9,4,0)*VLOOKUP(--H116,相关定价!$A$4:$D$9,3,0)</f>
        <v>2700</v>
      </c>
      <c r="J116" s="35">
        <f t="shared" si="19"/>
        <v>26611</v>
      </c>
      <c r="K116" s="35">
        <v>0</v>
      </c>
      <c r="L116" s="35">
        <f t="shared" si="19"/>
        <v>529</v>
      </c>
      <c r="M116" s="35">
        <v>0</v>
      </c>
      <c r="N116">
        <f t="shared" si="13"/>
        <v>1</v>
      </c>
      <c r="O116" s="17" t="str">
        <f>IF(N116&gt;0,VLOOKUP(C116,极品属性表调整!$A$2:$B$8,2,0),0)</f>
        <v>203</v>
      </c>
      <c r="P116">
        <f t="shared" si="14"/>
        <v>1</v>
      </c>
      <c r="Q116" s="17" t="str">
        <f>IF(P116&gt;0,VLOOKUP(C116,极品属性表调整!$A$9:$B$15,2,0),0)</f>
        <v>303</v>
      </c>
      <c r="R116">
        <f t="shared" si="15"/>
        <v>1</v>
      </c>
      <c r="S116" s="17" t="str">
        <f>IF(R116&gt;0,VLOOKUP(C116,极品属性表调整!$A$16:$B$22,2,0),0)</f>
        <v>403</v>
      </c>
      <c r="T116" s="57" t="str">
        <f>VLOOKUP(--H116,套装调整!$Q$19:$R$24,2,0)</f>
        <v>301,302</v>
      </c>
    </row>
    <row r="117" spans="1:20" x14ac:dyDescent="0.2">
      <c r="A117">
        <f t="shared" si="16"/>
        <v>3</v>
      </c>
      <c r="B117" s="4">
        <v>5</v>
      </c>
      <c r="C117">
        <v>4</v>
      </c>
      <c r="D117">
        <v>2</v>
      </c>
      <c r="E117">
        <v>40302</v>
      </c>
      <c r="F117">
        <f>VLOOKUP(C117,性价比!$T$25:$U$31,2,0)*VLOOKUP(--H117,性价比!$W$3:$Y$8,3,0)</f>
        <v>24</v>
      </c>
      <c r="G117" t="str">
        <f t="shared" si="12"/>
        <v>40302:24</v>
      </c>
      <c r="H117" s="25" t="str">
        <f t="shared" si="17"/>
        <v>52</v>
      </c>
      <c r="I117" s="37">
        <f>VLOOKUP(--H117,相关定价!$A$4:$D$9,4,0)*VLOOKUP(--H117,相关定价!$A$4:$D$9,3,0)</f>
        <v>2700</v>
      </c>
      <c r="J117" s="35">
        <f t="shared" si="19"/>
        <v>48963</v>
      </c>
      <c r="K117" s="35">
        <v>0</v>
      </c>
      <c r="L117" s="35">
        <f t="shared" si="19"/>
        <v>972</v>
      </c>
      <c r="M117" s="35">
        <v>0</v>
      </c>
      <c r="N117">
        <f t="shared" si="13"/>
        <v>1</v>
      </c>
      <c r="O117" s="17" t="str">
        <f>IF(N117&gt;0,VLOOKUP(C117,极品属性表调整!$A$2:$B$8,2,0),0)</f>
        <v>204</v>
      </c>
      <c r="P117">
        <f t="shared" si="14"/>
        <v>1</v>
      </c>
      <c r="Q117" s="17" t="str">
        <f>IF(P117&gt;0,VLOOKUP(C117,极品属性表调整!$A$9:$B$15,2,0),0)</f>
        <v>304</v>
      </c>
      <c r="R117">
        <f t="shared" si="15"/>
        <v>1</v>
      </c>
      <c r="S117" s="17" t="str">
        <f>IF(R117&gt;0,VLOOKUP(C117,极品属性表调整!$A$16:$B$22,2,0),0)</f>
        <v>404</v>
      </c>
      <c r="T117" s="57" t="str">
        <f>VLOOKUP(--H117,套装调整!$Q$19:$R$24,2,0)</f>
        <v>301,302</v>
      </c>
    </row>
    <row r="118" spans="1:20" x14ac:dyDescent="0.2">
      <c r="A118">
        <f t="shared" si="16"/>
        <v>3</v>
      </c>
      <c r="B118" s="4">
        <v>5</v>
      </c>
      <c r="C118">
        <v>5</v>
      </c>
      <c r="D118">
        <v>2</v>
      </c>
      <c r="E118">
        <v>40302</v>
      </c>
      <c r="F118">
        <f>VLOOKUP(C118,性价比!$T$25:$U$31,2,0)*VLOOKUP(--H118,性价比!$W$3:$Y$8,3,0)</f>
        <v>30</v>
      </c>
      <c r="G118" t="str">
        <f t="shared" si="12"/>
        <v>40302:30</v>
      </c>
      <c r="H118" s="25" t="str">
        <f t="shared" si="17"/>
        <v>52</v>
      </c>
      <c r="I118" s="37">
        <f>VLOOKUP(--H118,相关定价!$A$4:$D$9,4,0)*VLOOKUP(--H118,相关定价!$A$4:$D$9,3,0)</f>
        <v>2700</v>
      </c>
      <c r="J118" s="35">
        <f t="shared" si="19"/>
        <v>88131</v>
      </c>
      <c r="K118" s="35">
        <v>0</v>
      </c>
      <c r="L118" s="35">
        <f t="shared" si="19"/>
        <v>1749</v>
      </c>
      <c r="M118" s="35">
        <v>0</v>
      </c>
      <c r="N118">
        <f t="shared" si="13"/>
        <v>1</v>
      </c>
      <c r="O118" s="17" t="str">
        <f>IF(N118&gt;0,VLOOKUP(C118,极品属性表调整!$A$2:$B$8,2,0),0)</f>
        <v>205</v>
      </c>
      <c r="P118">
        <f t="shared" si="14"/>
        <v>1</v>
      </c>
      <c r="Q118" s="17" t="str">
        <f>IF(P118&gt;0,VLOOKUP(C118,极品属性表调整!$A$9:$B$15,2,0),0)</f>
        <v>305</v>
      </c>
      <c r="R118">
        <f t="shared" si="15"/>
        <v>1</v>
      </c>
      <c r="S118" s="17" t="str">
        <f>IF(R118&gt;0,VLOOKUP(C118,极品属性表调整!$A$16:$B$22,2,0),0)</f>
        <v>405</v>
      </c>
      <c r="T118" s="57" t="str">
        <f>VLOOKUP(--H118,套装调整!$Q$19:$R$24,2,0)</f>
        <v>301,302</v>
      </c>
    </row>
    <row r="119" spans="1:20" x14ac:dyDescent="0.2">
      <c r="A119">
        <f t="shared" si="16"/>
        <v>3</v>
      </c>
      <c r="B119" s="4">
        <v>5</v>
      </c>
      <c r="C119">
        <v>6</v>
      </c>
      <c r="D119">
        <v>2</v>
      </c>
      <c r="E119">
        <v>40302</v>
      </c>
      <c r="F119">
        <f>VLOOKUP(C119,性价比!$T$25:$U$31,2,0)*VLOOKUP(--H119,性价比!$W$3:$Y$8,3,0)</f>
        <v>36</v>
      </c>
      <c r="G119" t="str">
        <f t="shared" si="12"/>
        <v>40302:36</v>
      </c>
      <c r="H119" s="25" t="str">
        <f t="shared" si="17"/>
        <v>52</v>
      </c>
      <c r="I119" s="37">
        <f>VLOOKUP(--H119,相关定价!$A$4:$D$9,4,0)*VLOOKUP(--H119,相关定价!$A$4:$D$9,3,0)</f>
        <v>2700</v>
      </c>
      <c r="J119" s="35">
        <f t="shared" si="19"/>
        <v>157752</v>
      </c>
      <c r="K119" s="35">
        <v>0</v>
      </c>
      <c r="L119" s="35">
        <f t="shared" si="19"/>
        <v>3128</v>
      </c>
      <c r="M119" s="35">
        <v>0</v>
      </c>
      <c r="N119">
        <f t="shared" si="13"/>
        <v>1</v>
      </c>
      <c r="O119" s="17" t="str">
        <f>IF(N119&gt;0,VLOOKUP(C119,极品属性表调整!$A$2:$B$8,2,0),0)</f>
        <v>206</v>
      </c>
      <c r="P119">
        <f t="shared" si="14"/>
        <v>1</v>
      </c>
      <c r="Q119" s="17" t="str">
        <f>IF(P119&gt;0,VLOOKUP(C119,极品属性表调整!$A$9:$B$15,2,0),0)</f>
        <v>306</v>
      </c>
      <c r="R119">
        <f t="shared" si="15"/>
        <v>1</v>
      </c>
      <c r="S119" s="17" t="str">
        <f>IF(R119&gt;0,VLOOKUP(C119,极品属性表调整!$A$16:$B$22,2,0),0)</f>
        <v>406</v>
      </c>
      <c r="T119" s="57" t="str">
        <f>VLOOKUP(--H119,套装调整!$Q$19:$R$24,2,0)</f>
        <v>301,302</v>
      </c>
    </row>
    <row r="120" spans="1:20" x14ac:dyDescent="0.2">
      <c r="A120">
        <f t="shared" si="16"/>
        <v>3</v>
      </c>
      <c r="B120" s="4">
        <v>5</v>
      </c>
      <c r="C120">
        <v>7</v>
      </c>
      <c r="D120">
        <v>2</v>
      </c>
      <c r="E120">
        <v>40302</v>
      </c>
      <c r="F120">
        <f>VLOOKUP(C120,性价比!$T$25:$U$31,2,0)*VLOOKUP(--H120,性价比!$W$3:$Y$8,3,0)</f>
        <v>0</v>
      </c>
      <c r="G120" t="str">
        <f t="shared" si="12"/>
        <v>40302:0</v>
      </c>
      <c r="H120" s="25" t="str">
        <f t="shared" si="17"/>
        <v>52</v>
      </c>
      <c r="I120" s="37">
        <f>VLOOKUP(--H120,相关定价!$A$4:$D$9,4,0)*VLOOKUP(--H120,相关定价!$A$4:$D$9,3,0)</f>
        <v>2700</v>
      </c>
      <c r="J120" s="35">
        <f t="shared" si="19"/>
        <v>280796</v>
      </c>
      <c r="K120" s="35">
        <v>0</v>
      </c>
      <c r="L120" s="35">
        <f t="shared" si="19"/>
        <v>5565</v>
      </c>
      <c r="M120" s="35">
        <v>0</v>
      </c>
      <c r="N120">
        <f t="shared" si="13"/>
        <v>1</v>
      </c>
      <c r="O120" s="17" t="str">
        <f>IF(N120&gt;0,VLOOKUP(C120,极品属性表调整!$A$2:$B$8,2,0),0)</f>
        <v>207</v>
      </c>
      <c r="P120">
        <f t="shared" si="14"/>
        <v>1</v>
      </c>
      <c r="Q120" s="17" t="str">
        <f>IF(P120&gt;0,VLOOKUP(C120,极品属性表调整!$A$9:$B$15,2,0),0)</f>
        <v>307</v>
      </c>
      <c r="R120">
        <f t="shared" si="15"/>
        <v>1</v>
      </c>
      <c r="S120" s="17" t="str">
        <f>IF(R120&gt;0,VLOOKUP(C120,极品属性表调整!$A$16:$B$22,2,0),0)</f>
        <v>407</v>
      </c>
      <c r="T120" s="57" t="str">
        <f>VLOOKUP(--H120,套装调整!$Q$19:$R$24,2,0)</f>
        <v>301,302</v>
      </c>
    </row>
    <row r="121" spans="1:20" x14ac:dyDescent="0.2">
      <c r="A121">
        <f t="shared" si="16"/>
        <v>3</v>
      </c>
      <c r="B121" s="4">
        <v>5</v>
      </c>
      <c r="C121">
        <v>1</v>
      </c>
      <c r="D121">
        <v>3</v>
      </c>
      <c r="E121">
        <v>40302</v>
      </c>
      <c r="F121">
        <f>VLOOKUP(C121,性价比!$T$25:$U$31,2,0)*VLOOKUP(--H121,性价比!$W$3:$Y$8,3,0)</f>
        <v>6</v>
      </c>
      <c r="G121" t="str">
        <f t="shared" si="12"/>
        <v>40302:6</v>
      </c>
      <c r="H121" s="25" t="str">
        <f t="shared" si="17"/>
        <v>53</v>
      </c>
      <c r="I121" s="37">
        <f>VLOOKUP(--H121,相关定价!$A$4:$D$9,4,0)*VLOOKUP(--H121,相关定价!$A$4:$D$9,3,0)</f>
        <v>6750</v>
      </c>
      <c r="J121" s="35">
        <f>J114</f>
        <v>7920</v>
      </c>
      <c r="K121" s="35">
        <v>0</v>
      </c>
      <c r="L121" s="35">
        <f>L114</f>
        <v>158</v>
      </c>
      <c r="M121" s="35">
        <v>0</v>
      </c>
      <c r="N121">
        <f t="shared" si="13"/>
        <v>0</v>
      </c>
      <c r="O121" s="17">
        <f>IF(N121&gt;0,VLOOKUP(C121,极品属性表调整!$A$2:$B$8,2,0),0)</f>
        <v>0</v>
      </c>
      <c r="P121">
        <f t="shared" si="14"/>
        <v>1</v>
      </c>
      <c r="Q121" s="17" t="str">
        <f>IF(P121&gt;0,VLOOKUP(C121,极品属性表调整!$A$9:$B$15,2,0),0)</f>
        <v>301</v>
      </c>
      <c r="R121">
        <f t="shared" si="15"/>
        <v>2</v>
      </c>
      <c r="S121" s="17" t="str">
        <f>IF(R121&gt;0,VLOOKUP(C121,极品属性表调整!$A$16:$B$22,2,0),0)</f>
        <v>401</v>
      </c>
      <c r="T121" s="57" t="str">
        <f>VLOOKUP(--H121,套装调整!$Q$19:$R$24,2,0)</f>
        <v>401,402</v>
      </c>
    </row>
    <row r="122" spans="1:20" x14ac:dyDescent="0.2">
      <c r="A122">
        <f t="shared" si="16"/>
        <v>3</v>
      </c>
      <c r="B122" s="4">
        <v>5</v>
      </c>
      <c r="C122">
        <v>2</v>
      </c>
      <c r="D122">
        <v>3</v>
      </c>
      <c r="E122">
        <v>40302</v>
      </c>
      <c r="F122">
        <f>VLOOKUP(C122,性价比!$T$25:$U$31,2,0)*VLOOKUP(--H122,性价比!$W$3:$Y$8,3,0)</f>
        <v>12</v>
      </c>
      <c r="G122" t="str">
        <f t="shared" si="12"/>
        <v>40302:12</v>
      </c>
      <c r="H122" s="25" t="str">
        <f t="shared" si="17"/>
        <v>53</v>
      </c>
      <c r="I122" s="37">
        <f>VLOOKUP(--H122,相关定价!$A$4:$D$9,4,0)*VLOOKUP(--H122,相关定价!$A$4:$D$9,3,0)</f>
        <v>6750</v>
      </c>
      <c r="J122" s="35">
        <f t="shared" ref="J122:L127" si="20">J115</f>
        <v>13860</v>
      </c>
      <c r="K122" s="35">
        <v>0</v>
      </c>
      <c r="L122" s="35">
        <f t="shared" si="20"/>
        <v>277</v>
      </c>
      <c r="M122" s="35">
        <v>0</v>
      </c>
      <c r="N122">
        <f t="shared" si="13"/>
        <v>0</v>
      </c>
      <c r="O122" s="17">
        <f>IF(N122&gt;0,VLOOKUP(C122,极品属性表调整!$A$2:$B$8,2,0),0)</f>
        <v>0</v>
      </c>
      <c r="P122">
        <f t="shared" si="14"/>
        <v>1</v>
      </c>
      <c r="Q122" s="17" t="str">
        <f>IF(P122&gt;0,VLOOKUP(C122,极品属性表调整!$A$9:$B$15,2,0),0)</f>
        <v>302</v>
      </c>
      <c r="R122">
        <f t="shared" si="15"/>
        <v>2</v>
      </c>
      <c r="S122" s="17" t="str">
        <f>IF(R122&gt;0,VLOOKUP(C122,极品属性表调整!$A$16:$B$22,2,0),0)</f>
        <v>402</v>
      </c>
      <c r="T122" s="57" t="str">
        <f>VLOOKUP(--H122,套装调整!$Q$19:$R$24,2,0)</f>
        <v>401,402</v>
      </c>
    </row>
    <row r="123" spans="1:20" x14ac:dyDescent="0.2">
      <c r="A123">
        <f t="shared" si="16"/>
        <v>3</v>
      </c>
      <c r="B123" s="4">
        <v>5</v>
      </c>
      <c r="C123">
        <v>3</v>
      </c>
      <c r="D123">
        <v>3</v>
      </c>
      <c r="E123">
        <v>40302</v>
      </c>
      <c r="F123">
        <f>VLOOKUP(C123,性价比!$T$25:$U$31,2,0)*VLOOKUP(--H123,性价比!$W$3:$Y$8,3,0)</f>
        <v>18</v>
      </c>
      <c r="G123" t="str">
        <f t="shared" si="12"/>
        <v>40302:18</v>
      </c>
      <c r="H123" s="25" t="str">
        <f t="shared" si="17"/>
        <v>53</v>
      </c>
      <c r="I123" s="37">
        <f>VLOOKUP(--H123,相关定价!$A$4:$D$9,4,0)*VLOOKUP(--H123,相关定价!$A$4:$D$9,3,0)</f>
        <v>6750</v>
      </c>
      <c r="J123" s="35">
        <f t="shared" si="20"/>
        <v>26611</v>
      </c>
      <c r="K123" s="35">
        <v>0</v>
      </c>
      <c r="L123" s="35">
        <f t="shared" si="20"/>
        <v>529</v>
      </c>
      <c r="M123" s="35">
        <v>0</v>
      </c>
      <c r="N123">
        <f t="shared" si="13"/>
        <v>0</v>
      </c>
      <c r="O123" s="17">
        <f>IF(N123&gt;0,VLOOKUP(C123,极品属性表调整!$A$2:$B$8,2,0),0)</f>
        <v>0</v>
      </c>
      <c r="P123">
        <f t="shared" si="14"/>
        <v>1</v>
      </c>
      <c r="Q123" s="17" t="str">
        <f>IF(P123&gt;0,VLOOKUP(C123,极品属性表调整!$A$9:$B$15,2,0),0)</f>
        <v>303</v>
      </c>
      <c r="R123">
        <f t="shared" si="15"/>
        <v>2</v>
      </c>
      <c r="S123" s="17" t="str">
        <f>IF(R123&gt;0,VLOOKUP(C123,极品属性表调整!$A$16:$B$22,2,0),0)</f>
        <v>403</v>
      </c>
      <c r="T123" s="57" t="str">
        <f>VLOOKUP(--H123,套装调整!$Q$19:$R$24,2,0)</f>
        <v>401,402</v>
      </c>
    </row>
    <row r="124" spans="1:20" x14ac:dyDescent="0.2">
      <c r="A124">
        <f t="shared" si="16"/>
        <v>3</v>
      </c>
      <c r="B124" s="4">
        <v>5</v>
      </c>
      <c r="C124">
        <v>4</v>
      </c>
      <c r="D124">
        <v>3</v>
      </c>
      <c r="E124">
        <v>40302</v>
      </c>
      <c r="F124">
        <f>VLOOKUP(C124,性价比!$T$25:$U$31,2,0)*VLOOKUP(--H124,性价比!$W$3:$Y$8,3,0)</f>
        <v>24</v>
      </c>
      <c r="G124" t="str">
        <f t="shared" si="12"/>
        <v>40302:24</v>
      </c>
      <c r="H124" s="25" t="str">
        <f t="shared" si="17"/>
        <v>53</v>
      </c>
      <c r="I124" s="37">
        <f>VLOOKUP(--H124,相关定价!$A$4:$D$9,4,0)*VLOOKUP(--H124,相关定价!$A$4:$D$9,3,0)</f>
        <v>6750</v>
      </c>
      <c r="J124" s="35">
        <f t="shared" si="20"/>
        <v>48963</v>
      </c>
      <c r="K124" s="35">
        <v>0</v>
      </c>
      <c r="L124" s="35">
        <f t="shared" si="20"/>
        <v>972</v>
      </c>
      <c r="M124" s="35">
        <v>0</v>
      </c>
      <c r="N124">
        <f t="shared" si="13"/>
        <v>0</v>
      </c>
      <c r="O124" s="17">
        <f>IF(N124&gt;0,VLOOKUP(C124,极品属性表调整!$A$2:$B$8,2,0),0)</f>
        <v>0</v>
      </c>
      <c r="P124">
        <f t="shared" si="14"/>
        <v>1</v>
      </c>
      <c r="Q124" s="17" t="str">
        <f>IF(P124&gt;0,VLOOKUP(C124,极品属性表调整!$A$9:$B$15,2,0),0)</f>
        <v>304</v>
      </c>
      <c r="R124">
        <f t="shared" si="15"/>
        <v>2</v>
      </c>
      <c r="S124" s="17" t="str">
        <f>IF(R124&gt;0,VLOOKUP(C124,极品属性表调整!$A$16:$B$22,2,0),0)</f>
        <v>404</v>
      </c>
      <c r="T124" s="57" t="str">
        <f>VLOOKUP(--H124,套装调整!$Q$19:$R$24,2,0)</f>
        <v>401,402</v>
      </c>
    </row>
    <row r="125" spans="1:20" x14ac:dyDescent="0.2">
      <c r="A125">
        <f t="shared" si="16"/>
        <v>3</v>
      </c>
      <c r="B125" s="4">
        <v>5</v>
      </c>
      <c r="C125">
        <v>5</v>
      </c>
      <c r="D125">
        <v>3</v>
      </c>
      <c r="E125">
        <v>40302</v>
      </c>
      <c r="F125">
        <f>VLOOKUP(C125,性价比!$T$25:$U$31,2,0)*VLOOKUP(--H125,性价比!$W$3:$Y$8,3,0)</f>
        <v>30</v>
      </c>
      <c r="G125" t="str">
        <f t="shared" si="12"/>
        <v>40302:30</v>
      </c>
      <c r="H125" s="25" t="str">
        <f t="shared" si="17"/>
        <v>53</v>
      </c>
      <c r="I125" s="37">
        <f>VLOOKUP(--H125,相关定价!$A$4:$D$9,4,0)*VLOOKUP(--H125,相关定价!$A$4:$D$9,3,0)</f>
        <v>6750</v>
      </c>
      <c r="J125" s="35">
        <f t="shared" si="20"/>
        <v>88131</v>
      </c>
      <c r="K125" s="35">
        <v>0</v>
      </c>
      <c r="L125" s="35">
        <f t="shared" si="20"/>
        <v>1749</v>
      </c>
      <c r="M125" s="35">
        <v>0</v>
      </c>
      <c r="N125">
        <f t="shared" si="13"/>
        <v>0</v>
      </c>
      <c r="O125" s="17">
        <f>IF(N125&gt;0,VLOOKUP(C125,极品属性表调整!$A$2:$B$8,2,0),0)</f>
        <v>0</v>
      </c>
      <c r="P125">
        <f t="shared" si="14"/>
        <v>1</v>
      </c>
      <c r="Q125" s="17" t="str">
        <f>IF(P125&gt;0,VLOOKUP(C125,极品属性表调整!$A$9:$B$15,2,0),0)</f>
        <v>305</v>
      </c>
      <c r="R125">
        <f t="shared" si="15"/>
        <v>2</v>
      </c>
      <c r="S125" s="17" t="str">
        <f>IF(R125&gt;0,VLOOKUP(C125,极品属性表调整!$A$16:$B$22,2,0),0)</f>
        <v>405</v>
      </c>
      <c r="T125" s="57" t="str">
        <f>VLOOKUP(--H125,套装调整!$Q$19:$R$24,2,0)</f>
        <v>401,402</v>
      </c>
    </row>
    <row r="126" spans="1:20" x14ac:dyDescent="0.2">
      <c r="A126">
        <f t="shared" si="16"/>
        <v>3</v>
      </c>
      <c r="B126" s="4">
        <v>5</v>
      </c>
      <c r="C126">
        <v>6</v>
      </c>
      <c r="D126">
        <v>3</v>
      </c>
      <c r="E126">
        <v>40302</v>
      </c>
      <c r="F126">
        <f>VLOOKUP(C126,性价比!$T$25:$U$31,2,0)*VLOOKUP(--H126,性价比!$W$3:$Y$8,3,0)</f>
        <v>36</v>
      </c>
      <c r="G126" t="str">
        <f t="shared" si="12"/>
        <v>40302:36</v>
      </c>
      <c r="H126" s="25" t="str">
        <f t="shared" si="17"/>
        <v>53</v>
      </c>
      <c r="I126" s="37">
        <f>VLOOKUP(--H126,相关定价!$A$4:$D$9,4,0)*VLOOKUP(--H126,相关定价!$A$4:$D$9,3,0)</f>
        <v>6750</v>
      </c>
      <c r="J126" s="35">
        <f t="shared" si="20"/>
        <v>157752</v>
      </c>
      <c r="K126" s="35">
        <v>0</v>
      </c>
      <c r="L126" s="35">
        <f t="shared" si="20"/>
        <v>3128</v>
      </c>
      <c r="M126" s="35">
        <v>0</v>
      </c>
      <c r="N126">
        <f t="shared" si="13"/>
        <v>0</v>
      </c>
      <c r="O126" s="17">
        <f>IF(N126&gt;0,VLOOKUP(C126,极品属性表调整!$A$2:$B$8,2,0),0)</f>
        <v>0</v>
      </c>
      <c r="P126">
        <f t="shared" si="14"/>
        <v>1</v>
      </c>
      <c r="Q126" s="17" t="str">
        <f>IF(P126&gt;0,VLOOKUP(C126,极品属性表调整!$A$9:$B$15,2,0),0)</f>
        <v>306</v>
      </c>
      <c r="R126">
        <f t="shared" si="15"/>
        <v>2</v>
      </c>
      <c r="S126" s="17" t="str">
        <f>IF(R126&gt;0,VLOOKUP(C126,极品属性表调整!$A$16:$B$22,2,0),0)</f>
        <v>406</v>
      </c>
      <c r="T126" s="57" t="str">
        <f>VLOOKUP(--H126,套装调整!$Q$19:$R$24,2,0)</f>
        <v>401,402</v>
      </c>
    </row>
    <row r="127" spans="1:20" x14ac:dyDescent="0.2">
      <c r="A127">
        <f t="shared" si="16"/>
        <v>3</v>
      </c>
      <c r="B127" s="4">
        <v>5</v>
      </c>
      <c r="C127">
        <v>7</v>
      </c>
      <c r="D127">
        <v>3</v>
      </c>
      <c r="E127">
        <v>40302</v>
      </c>
      <c r="F127">
        <f>VLOOKUP(C127,性价比!$T$25:$U$31,2,0)*VLOOKUP(--H127,性价比!$W$3:$Y$8,3,0)</f>
        <v>0</v>
      </c>
      <c r="G127" t="str">
        <f t="shared" si="12"/>
        <v>40302:0</v>
      </c>
      <c r="H127" s="25" t="str">
        <f t="shared" si="17"/>
        <v>53</v>
      </c>
      <c r="I127" s="37">
        <f>VLOOKUP(--H127,相关定价!$A$4:$D$9,4,0)*VLOOKUP(--H127,相关定价!$A$4:$D$9,3,0)</f>
        <v>6750</v>
      </c>
      <c r="J127" s="35">
        <f t="shared" si="20"/>
        <v>280796</v>
      </c>
      <c r="K127" s="35">
        <v>0</v>
      </c>
      <c r="L127" s="35">
        <f t="shared" si="20"/>
        <v>5565</v>
      </c>
      <c r="M127" s="35">
        <v>0</v>
      </c>
      <c r="N127">
        <f t="shared" si="13"/>
        <v>0</v>
      </c>
      <c r="O127" s="17">
        <f>IF(N127&gt;0,VLOOKUP(C127,极品属性表调整!$A$2:$B$8,2,0),0)</f>
        <v>0</v>
      </c>
      <c r="P127">
        <f t="shared" si="14"/>
        <v>1</v>
      </c>
      <c r="Q127" s="17" t="str">
        <f>IF(P127&gt;0,VLOOKUP(C127,极品属性表调整!$A$9:$B$15,2,0),0)</f>
        <v>307</v>
      </c>
      <c r="R127">
        <f t="shared" si="15"/>
        <v>2</v>
      </c>
      <c r="S127" s="17" t="str">
        <f>IF(R127&gt;0,VLOOKUP(C127,极品属性表调整!$A$16:$B$22,2,0),0)</f>
        <v>407</v>
      </c>
      <c r="T127" s="57" t="str">
        <f>VLOOKUP(--H127,套装调整!$Q$19:$R$24,2,0)</f>
        <v>401,402</v>
      </c>
    </row>
    <row r="128" spans="1:20" x14ac:dyDescent="0.2">
      <c r="A128">
        <v>4</v>
      </c>
      <c r="B128" s="11">
        <v>2</v>
      </c>
      <c r="C128">
        <v>1</v>
      </c>
      <c r="D128">
        <v>0</v>
      </c>
      <c r="E128">
        <v>40302</v>
      </c>
      <c r="F128">
        <f>VLOOKUP(C128,性价比!$T$25:$U$31,2,0)*VLOOKUP(--H128,性价比!$W$3:$Y$8,3,0)</f>
        <v>2</v>
      </c>
      <c r="G128" t="str">
        <f t="shared" si="12"/>
        <v>40302:2</v>
      </c>
      <c r="H128" s="25" t="str">
        <f t="shared" si="17"/>
        <v>20</v>
      </c>
      <c r="I128" s="37">
        <f>VLOOKUP(--H128,相关定价!$A$4:$D$9,4,0)*VLOOKUP(--H128,相关定价!$A$4:$D$9,3,0)</f>
        <v>100</v>
      </c>
      <c r="J128" s="35">
        <f>J86</f>
        <v>2200</v>
      </c>
      <c r="K128" s="35">
        <v>0</v>
      </c>
      <c r="L128" s="35">
        <f>L86</f>
        <v>44</v>
      </c>
      <c r="M128" s="35">
        <v>0</v>
      </c>
      <c r="N128">
        <f t="shared" si="13"/>
        <v>0</v>
      </c>
      <c r="O128" s="17">
        <f>IF(N128&gt;0,VLOOKUP(C128,极品属性表调整!$A$2:$B$8,2,0),0)</f>
        <v>0</v>
      </c>
      <c r="P128">
        <f t="shared" si="14"/>
        <v>0</v>
      </c>
      <c r="Q128" s="17">
        <f>IF(P128&gt;0,VLOOKUP(C128,极品属性表调整!$A$9:$B$15,2,0),0)</f>
        <v>0</v>
      </c>
      <c r="R128">
        <f t="shared" si="15"/>
        <v>0</v>
      </c>
      <c r="S128" s="17">
        <f>IF(R128&gt;0,VLOOKUP(C128,极品属性表调整!$A$16:$B$22,2,0),0)</f>
        <v>0</v>
      </c>
      <c r="T128" s="57">
        <f>VLOOKUP(--H128,套装调整!$Q$19:$R$24,2,0)</f>
        <v>0</v>
      </c>
    </row>
    <row r="129" spans="1:20" x14ac:dyDescent="0.2">
      <c r="A129">
        <f t="shared" si="16"/>
        <v>4</v>
      </c>
      <c r="B129" s="11">
        <v>2</v>
      </c>
      <c r="C129">
        <v>2</v>
      </c>
      <c r="D129">
        <v>0</v>
      </c>
      <c r="E129">
        <v>40302</v>
      </c>
      <c r="F129">
        <f>VLOOKUP(C129,性价比!$T$25:$U$31,2,0)*VLOOKUP(--H129,性价比!$W$3:$Y$8,3,0)</f>
        <v>4</v>
      </c>
      <c r="G129" t="str">
        <f t="shared" si="12"/>
        <v>40302:4</v>
      </c>
      <c r="H129" s="25" t="str">
        <f t="shared" si="17"/>
        <v>20</v>
      </c>
      <c r="I129" s="37">
        <f>VLOOKUP(--H129,相关定价!$A$4:$D$9,4,0)*VLOOKUP(--H129,相关定价!$A$4:$D$9,3,0)</f>
        <v>100</v>
      </c>
      <c r="J129" s="35">
        <f t="shared" ref="J129:L169" si="21">J87</f>
        <v>3850</v>
      </c>
      <c r="K129" s="35">
        <v>0</v>
      </c>
      <c r="L129" s="35">
        <f t="shared" si="21"/>
        <v>77</v>
      </c>
      <c r="M129" s="35">
        <v>0</v>
      </c>
      <c r="N129">
        <f t="shared" si="13"/>
        <v>0</v>
      </c>
      <c r="O129" s="17">
        <f>IF(N129&gt;0,VLOOKUP(C129,极品属性表调整!$A$2:$B$8,2,0),0)</f>
        <v>0</v>
      </c>
      <c r="P129">
        <f t="shared" si="14"/>
        <v>0</v>
      </c>
      <c r="Q129" s="17">
        <f>IF(P129&gt;0,VLOOKUP(C129,极品属性表调整!$A$9:$B$15,2,0),0)</f>
        <v>0</v>
      </c>
      <c r="R129">
        <f t="shared" si="15"/>
        <v>0</v>
      </c>
      <c r="S129" s="17">
        <f>IF(R129&gt;0,VLOOKUP(C129,极品属性表调整!$A$16:$B$22,2,0),0)</f>
        <v>0</v>
      </c>
      <c r="T129" s="57">
        <f>VLOOKUP(--H129,套装调整!$Q$19:$R$24,2,0)</f>
        <v>0</v>
      </c>
    </row>
    <row r="130" spans="1:20" x14ac:dyDescent="0.2">
      <c r="A130">
        <f t="shared" si="16"/>
        <v>4</v>
      </c>
      <c r="B130" s="11">
        <v>2</v>
      </c>
      <c r="C130">
        <v>3</v>
      </c>
      <c r="D130">
        <v>0</v>
      </c>
      <c r="E130">
        <v>40302</v>
      </c>
      <c r="F130">
        <f>VLOOKUP(C130,性价比!$T$25:$U$31,2,0)*VLOOKUP(--H130,性价比!$W$3:$Y$8,3,0)</f>
        <v>6</v>
      </c>
      <c r="G130" t="str">
        <f t="shared" si="12"/>
        <v>40302:6</v>
      </c>
      <c r="H130" s="25" t="str">
        <f t="shared" ref="H130:H161" si="22">B130&amp;D130</f>
        <v>20</v>
      </c>
      <c r="I130" s="37">
        <f>VLOOKUP(--H130,相关定价!$A$4:$D$9,4,0)*VLOOKUP(--H130,相关定价!$A$4:$D$9,3,0)</f>
        <v>100</v>
      </c>
      <c r="J130" s="35">
        <f t="shared" si="21"/>
        <v>7392</v>
      </c>
      <c r="K130" s="35">
        <v>0</v>
      </c>
      <c r="L130" s="35">
        <f t="shared" si="21"/>
        <v>147</v>
      </c>
      <c r="M130" s="35">
        <v>0</v>
      </c>
      <c r="N130">
        <f t="shared" si="13"/>
        <v>0</v>
      </c>
      <c r="O130" s="17">
        <f>IF(N130&gt;0,VLOOKUP(C130,极品属性表调整!$A$2:$B$8,2,0),0)</f>
        <v>0</v>
      </c>
      <c r="P130">
        <f t="shared" si="14"/>
        <v>0</v>
      </c>
      <c r="Q130" s="17">
        <f>IF(P130&gt;0,VLOOKUP(C130,极品属性表调整!$A$9:$B$15,2,0),0)</f>
        <v>0</v>
      </c>
      <c r="R130">
        <f t="shared" si="15"/>
        <v>0</v>
      </c>
      <c r="S130" s="17">
        <f>IF(R130&gt;0,VLOOKUP(C130,极品属性表调整!$A$16:$B$22,2,0),0)</f>
        <v>0</v>
      </c>
      <c r="T130" s="57">
        <f>VLOOKUP(--H130,套装调整!$Q$19:$R$24,2,0)</f>
        <v>0</v>
      </c>
    </row>
    <row r="131" spans="1:20" x14ac:dyDescent="0.2">
      <c r="A131">
        <f t="shared" si="16"/>
        <v>4</v>
      </c>
      <c r="B131" s="11">
        <v>2</v>
      </c>
      <c r="C131">
        <v>4</v>
      </c>
      <c r="D131">
        <v>0</v>
      </c>
      <c r="E131">
        <v>40302</v>
      </c>
      <c r="F131">
        <f>VLOOKUP(C131,性价比!$T$25:$U$31,2,0)*VLOOKUP(--H131,性价比!$W$3:$Y$8,3,0)</f>
        <v>8</v>
      </c>
      <c r="G131" t="str">
        <f t="shared" ref="G131:G169" si="23">E131&amp;":"&amp;F131</f>
        <v>40302:8</v>
      </c>
      <c r="H131" s="25" t="str">
        <f t="shared" si="22"/>
        <v>20</v>
      </c>
      <c r="I131" s="37">
        <f>VLOOKUP(--H131,相关定价!$A$4:$D$9,4,0)*VLOOKUP(--H131,相关定价!$A$4:$D$9,3,0)</f>
        <v>100</v>
      </c>
      <c r="J131" s="35">
        <f t="shared" si="21"/>
        <v>13601</v>
      </c>
      <c r="K131" s="35">
        <v>0</v>
      </c>
      <c r="L131" s="35">
        <f t="shared" si="21"/>
        <v>270</v>
      </c>
      <c r="M131" s="35">
        <v>0</v>
      </c>
      <c r="N131">
        <f t="shared" ref="N131:N169" si="24">VLOOKUP(--H131,$U$5:$X$10,2,0)</f>
        <v>0</v>
      </c>
      <c r="O131" s="17">
        <f>IF(N131&gt;0,VLOOKUP(C131,极品属性表调整!$A$2:$B$8,2,0),0)</f>
        <v>0</v>
      </c>
      <c r="P131">
        <f t="shared" ref="P131:P169" si="25">VLOOKUP(--H131,$U$5:$X$10,3,0)</f>
        <v>0</v>
      </c>
      <c r="Q131" s="17">
        <f>IF(P131&gt;0,VLOOKUP(C131,极品属性表调整!$A$9:$B$15,2,0),0)</f>
        <v>0</v>
      </c>
      <c r="R131">
        <f t="shared" ref="R131:R169" si="26">VLOOKUP(--H131,$U$5:$X$10,4,0)</f>
        <v>0</v>
      </c>
      <c r="S131" s="17">
        <f>IF(R131&gt;0,VLOOKUP(C131,极品属性表调整!$A$16:$B$22,2,0),0)</f>
        <v>0</v>
      </c>
      <c r="T131" s="57">
        <f>VLOOKUP(--H131,套装调整!$Q$19:$R$24,2,0)</f>
        <v>0</v>
      </c>
    </row>
    <row r="132" spans="1:20" x14ac:dyDescent="0.2">
      <c r="A132">
        <f t="shared" ref="A132:A169" si="27">A131</f>
        <v>4</v>
      </c>
      <c r="B132" s="11">
        <v>2</v>
      </c>
      <c r="C132">
        <v>5</v>
      </c>
      <c r="D132">
        <v>0</v>
      </c>
      <c r="E132">
        <v>40302</v>
      </c>
      <c r="F132">
        <f>VLOOKUP(C132,性价比!$T$25:$U$31,2,0)*VLOOKUP(--H132,性价比!$W$3:$Y$8,3,0)</f>
        <v>10</v>
      </c>
      <c r="G132" t="str">
        <f t="shared" si="23"/>
        <v>40302:10</v>
      </c>
      <c r="H132" s="25" t="str">
        <f t="shared" si="22"/>
        <v>20</v>
      </c>
      <c r="I132" s="37">
        <f>VLOOKUP(--H132,相关定价!$A$4:$D$9,4,0)*VLOOKUP(--H132,相关定价!$A$4:$D$9,3,0)</f>
        <v>100</v>
      </c>
      <c r="J132" s="35">
        <f t="shared" si="21"/>
        <v>24481</v>
      </c>
      <c r="K132" s="35">
        <v>0</v>
      </c>
      <c r="L132" s="35">
        <f t="shared" si="21"/>
        <v>486</v>
      </c>
      <c r="M132" s="35">
        <v>0</v>
      </c>
      <c r="N132">
        <f t="shared" si="24"/>
        <v>0</v>
      </c>
      <c r="O132" s="17">
        <f>IF(N132&gt;0,VLOOKUP(C132,极品属性表调整!$A$2:$B$8,2,0),0)</f>
        <v>0</v>
      </c>
      <c r="P132">
        <f t="shared" si="25"/>
        <v>0</v>
      </c>
      <c r="Q132" s="17">
        <f>IF(P132&gt;0,VLOOKUP(C132,极品属性表调整!$A$9:$B$15,2,0),0)</f>
        <v>0</v>
      </c>
      <c r="R132">
        <f t="shared" si="26"/>
        <v>0</v>
      </c>
      <c r="S132" s="17">
        <f>IF(R132&gt;0,VLOOKUP(C132,极品属性表调整!$A$16:$B$22,2,0),0)</f>
        <v>0</v>
      </c>
      <c r="T132" s="57">
        <f>VLOOKUP(--H132,套装调整!$Q$19:$R$24,2,0)</f>
        <v>0</v>
      </c>
    </row>
    <row r="133" spans="1:20" x14ac:dyDescent="0.2">
      <c r="A133">
        <f t="shared" si="27"/>
        <v>4</v>
      </c>
      <c r="B133" s="11">
        <v>2</v>
      </c>
      <c r="C133">
        <v>6</v>
      </c>
      <c r="D133">
        <v>0</v>
      </c>
      <c r="E133">
        <v>40302</v>
      </c>
      <c r="F133">
        <f>VLOOKUP(C133,性价比!$T$25:$U$31,2,0)*VLOOKUP(--H133,性价比!$W$3:$Y$8,3,0)</f>
        <v>12</v>
      </c>
      <c r="G133" t="str">
        <f t="shared" si="23"/>
        <v>40302:12</v>
      </c>
      <c r="H133" s="25" t="str">
        <f t="shared" si="22"/>
        <v>20</v>
      </c>
      <c r="I133" s="37">
        <f>VLOOKUP(--H133,相关定价!$A$4:$D$9,4,0)*VLOOKUP(--H133,相关定价!$A$4:$D$9,3,0)</f>
        <v>100</v>
      </c>
      <c r="J133" s="35">
        <f t="shared" si="21"/>
        <v>43820</v>
      </c>
      <c r="K133" s="35">
        <v>0</v>
      </c>
      <c r="L133" s="35">
        <f t="shared" si="21"/>
        <v>869</v>
      </c>
      <c r="M133" s="35">
        <v>0</v>
      </c>
      <c r="N133">
        <f t="shared" si="24"/>
        <v>0</v>
      </c>
      <c r="O133" s="17">
        <f>IF(N133&gt;0,VLOOKUP(C133,极品属性表调整!$A$2:$B$8,2,0),0)</f>
        <v>0</v>
      </c>
      <c r="P133">
        <f t="shared" si="25"/>
        <v>0</v>
      </c>
      <c r="Q133" s="17">
        <f>IF(P133&gt;0,VLOOKUP(C133,极品属性表调整!$A$9:$B$15,2,0),0)</f>
        <v>0</v>
      </c>
      <c r="R133">
        <f t="shared" si="26"/>
        <v>0</v>
      </c>
      <c r="S133" s="17">
        <f>IF(R133&gt;0,VLOOKUP(C133,极品属性表调整!$A$16:$B$22,2,0),0)</f>
        <v>0</v>
      </c>
      <c r="T133" s="57">
        <f>VLOOKUP(--H133,套装调整!$Q$19:$R$24,2,0)</f>
        <v>0</v>
      </c>
    </row>
    <row r="134" spans="1:20" x14ac:dyDescent="0.2">
      <c r="A134">
        <f t="shared" si="27"/>
        <v>4</v>
      </c>
      <c r="B134" s="11">
        <v>2</v>
      </c>
      <c r="C134">
        <v>7</v>
      </c>
      <c r="D134">
        <v>0</v>
      </c>
      <c r="E134">
        <v>40302</v>
      </c>
      <c r="F134">
        <f>VLOOKUP(C134,性价比!$T$25:$U$31,2,0)*VLOOKUP(--H134,性价比!$W$3:$Y$8,3,0)</f>
        <v>0</v>
      </c>
      <c r="G134" t="str">
        <f t="shared" si="23"/>
        <v>40302:0</v>
      </c>
      <c r="H134" s="25" t="str">
        <f t="shared" si="22"/>
        <v>20</v>
      </c>
      <c r="I134" s="37">
        <f>VLOOKUP(--H134,相关定价!$A$4:$D$9,4,0)*VLOOKUP(--H134,相关定价!$A$4:$D$9,3,0)</f>
        <v>100</v>
      </c>
      <c r="J134" s="35">
        <f t="shared" si="21"/>
        <v>77999</v>
      </c>
      <c r="K134" s="35">
        <v>0</v>
      </c>
      <c r="L134" s="35">
        <f t="shared" si="21"/>
        <v>1546</v>
      </c>
      <c r="M134" s="35">
        <v>0</v>
      </c>
      <c r="N134">
        <f t="shared" si="24"/>
        <v>0</v>
      </c>
      <c r="O134" s="17">
        <f>IF(N134&gt;0,VLOOKUP(C134,极品属性表调整!$A$2:$B$8,2,0),0)</f>
        <v>0</v>
      </c>
      <c r="P134">
        <f t="shared" si="25"/>
        <v>0</v>
      </c>
      <c r="Q134" s="17">
        <f>IF(P134&gt;0,VLOOKUP(C134,极品属性表调整!$A$9:$B$15,2,0),0)</f>
        <v>0</v>
      </c>
      <c r="R134">
        <f t="shared" si="26"/>
        <v>0</v>
      </c>
      <c r="S134" s="17">
        <f>IF(R134&gt;0,VLOOKUP(C134,极品属性表调整!$A$16:$B$22,2,0),0)</f>
        <v>0</v>
      </c>
      <c r="T134" s="57">
        <f>VLOOKUP(--H134,套装调整!$Q$19:$R$24,2,0)</f>
        <v>0</v>
      </c>
    </row>
    <row r="135" spans="1:20" x14ac:dyDescent="0.2">
      <c r="A135">
        <f t="shared" si="27"/>
        <v>4</v>
      </c>
      <c r="B135" s="12">
        <v>4</v>
      </c>
      <c r="C135">
        <v>1</v>
      </c>
      <c r="D135">
        <v>1</v>
      </c>
      <c r="E135">
        <v>40302</v>
      </c>
      <c r="F135">
        <f>VLOOKUP(C135,性价比!$T$25:$U$31,2,0)*VLOOKUP(--H135,性价比!$W$3:$Y$8,3,0)</f>
        <v>4</v>
      </c>
      <c r="G135" t="str">
        <f t="shared" si="23"/>
        <v>40302:4</v>
      </c>
      <c r="H135" s="25" t="str">
        <f t="shared" si="22"/>
        <v>41</v>
      </c>
      <c r="I135" s="37">
        <f>VLOOKUP(--H135,相关定价!$A$4:$D$9,4,0)*VLOOKUP(--H135,相关定价!$A$4:$D$9,3,0)</f>
        <v>900</v>
      </c>
      <c r="J135" s="35">
        <f t="shared" si="21"/>
        <v>4400</v>
      </c>
      <c r="K135" s="35">
        <v>0</v>
      </c>
      <c r="L135" s="35">
        <f t="shared" si="21"/>
        <v>88</v>
      </c>
      <c r="M135" s="35">
        <v>0</v>
      </c>
      <c r="N135">
        <f t="shared" si="24"/>
        <v>2</v>
      </c>
      <c r="O135" s="17" t="str">
        <f>IF(N135&gt;0,VLOOKUP(C135,极品属性表调整!$A$2:$B$8,2,0),0)</f>
        <v>201</v>
      </c>
      <c r="P135">
        <f t="shared" si="25"/>
        <v>0</v>
      </c>
      <c r="Q135" s="17">
        <f>IF(P135&gt;0,VLOOKUP(C135,极品属性表调整!$A$9:$B$15,2,0),0)</f>
        <v>0</v>
      </c>
      <c r="R135">
        <f t="shared" si="26"/>
        <v>0</v>
      </c>
      <c r="S135" s="17">
        <f>IF(R135&gt;0,VLOOKUP(C135,极品属性表调整!$A$16:$B$22,2,0),0)</f>
        <v>0</v>
      </c>
      <c r="T135" s="57" t="str">
        <f>VLOOKUP(--H135,套装调整!$Q$19:$R$24,2,0)</f>
        <v>101,102</v>
      </c>
    </row>
    <row r="136" spans="1:20" x14ac:dyDescent="0.2">
      <c r="A136">
        <f t="shared" si="27"/>
        <v>4</v>
      </c>
      <c r="B136" s="12">
        <v>4</v>
      </c>
      <c r="C136">
        <v>2</v>
      </c>
      <c r="D136">
        <v>1</v>
      </c>
      <c r="E136">
        <v>40302</v>
      </c>
      <c r="F136">
        <f>VLOOKUP(C136,性价比!$T$25:$U$31,2,0)*VLOOKUP(--H136,性价比!$W$3:$Y$8,3,0)</f>
        <v>8</v>
      </c>
      <c r="G136" t="str">
        <f t="shared" si="23"/>
        <v>40302:8</v>
      </c>
      <c r="H136" s="25" t="str">
        <f t="shared" si="22"/>
        <v>41</v>
      </c>
      <c r="I136" s="37">
        <f>VLOOKUP(--H136,相关定价!$A$4:$D$9,4,0)*VLOOKUP(--H136,相关定价!$A$4:$D$9,3,0)</f>
        <v>900</v>
      </c>
      <c r="J136" s="35">
        <f t="shared" si="21"/>
        <v>7700</v>
      </c>
      <c r="K136" s="35">
        <v>0</v>
      </c>
      <c r="L136" s="35">
        <f t="shared" si="21"/>
        <v>154</v>
      </c>
      <c r="M136" s="35">
        <v>0</v>
      </c>
      <c r="N136">
        <f t="shared" si="24"/>
        <v>2</v>
      </c>
      <c r="O136" s="17" t="str">
        <f>IF(N136&gt;0,VLOOKUP(C136,极品属性表调整!$A$2:$B$8,2,0),0)</f>
        <v>202</v>
      </c>
      <c r="P136">
        <f t="shared" si="25"/>
        <v>0</v>
      </c>
      <c r="Q136" s="17">
        <f>IF(P136&gt;0,VLOOKUP(C136,极品属性表调整!$A$9:$B$15,2,0),0)</f>
        <v>0</v>
      </c>
      <c r="R136">
        <f t="shared" si="26"/>
        <v>0</v>
      </c>
      <c r="S136" s="17">
        <f>IF(R136&gt;0,VLOOKUP(C136,极品属性表调整!$A$16:$B$22,2,0),0)</f>
        <v>0</v>
      </c>
      <c r="T136" s="57" t="str">
        <f>VLOOKUP(--H136,套装调整!$Q$19:$R$24,2,0)</f>
        <v>101,102</v>
      </c>
    </row>
    <row r="137" spans="1:20" x14ac:dyDescent="0.2">
      <c r="A137">
        <f t="shared" si="27"/>
        <v>4</v>
      </c>
      <c r="B137" s="12">
        <v>4</v>
      </c>
      <c r="C137">
        <v>3</v>
      </c>
      <c r="D137">
        <v>1</v>
      </c>
      <c r="E137">
        <v>40302</v>
      </c>
      <c r="F137">
        <f>VLOOKUP(C137,性价比!$T$25:$U$31,2,0)*VLOOKUP(--H137,性价比!$W$3:$Y$8,3,0)</f>
        <v>12</v>
      </c>
      <c r="G137" t="str">
        <f t="shared" si="23"/>
        <v>40302:12</v>
      </c>
      <c r="H137" s="25" t="str">
        <f t="shared" si="22"/>
        <v>41</v>
      </c>
      <c r="I137" s="37">
        <f>VLOOKUP(--H137,相关定价!$A$4:$D$9,4,0)*VLOOKUP(--H137,相关定价!$A$4:$D$9,3,0)</f>
        <v>900</v>
      </c>
      <c r="J137" s="35">
        <f t="shared" si="21"/>
        <v>14784</v>
      </c>
      <c r="K137" s="35">
        <v>0</v>
      </c>
      <c r="L137" s="35">
        <f t="shared" si="21"/>
        <v>294</v>
      </c>
      <c r="M137" s="35">
        <v>0</v>
      </c>
      <c r="N137">
        <f t="shared" si="24"/>
        <v>2</v>
      </c>
      <c r="O137" s="17" t="str">
        <f>IF(N137&gt;0,VLOOKUP(C137,极品属性表调整!$A$2:$B$8,2,0),0)</f>
        <v>203</v>
      </c>
      <c r="P137">
        <f t="shared" si="25"/>
        <v>0</v>
      </c>
      <c r="Q137" s="17">
        <f>IF(P137&gt;0,VLOOKUP(C137,极品属性表调整!$A$9:$B$15,2,0),0)</f>
        <v>0</v>
      </c>
      <c r="R137">
        <f t="shared" si="26"/>
        <v>0</v>
      </c>
      <c r="S137" s="17">
        <f>IF(R137&gt;0,VLOOKUP(C137,极品属性表调整!$A$16:$B$22,2,0),0)</f>
        <v>0</v>
      </c>
      <c r="T137" s="57" t="str">
        <f>VLOOKUP(--H137,套装调整!$Q$19:$R$24,2,0)</f>
        <v>101,102</v>
      </c>
    </row>
    <row r="138" spans="1:20" x14ac:dyDescent="0.2">
      <c r="A138">
        <f t="shared" si="27"/>
        <v>4</v>
      </c>
      <c r="B138" s="12">
        <v>4</v>
      </c>
      <c r="C138">
        <v>4</v>
      </c>
      <c r="D138">
        <v>1</v>
      </c>
      <c r="E138">
        <v>40302</v>
      </c>
      <c r="F138">
        <f>VLOOKUP(C138,性价比!$T$25:$U$31,2,0)*VLOOKUP(--H138,性价比!$W$3:$Y$8,3,0)</f>
        <v>16</v>
      </c>
      <c r="G138" t="str">
        <f t="shared" si="23"/>
        <v>40302:16</v>
      </c>
      <c r="H138" s="25" t="str">
        <f t="shared" si="22"/>
        <v>41</v>
      </c>
      <c r="I138" s="37">
        <f>VLOOKUP(--H138,相关定价!$A$4:$D$9,4,0)*VLOOKUP(--H138,相关定价!$A$4:$D$9,3,0)</f>
        <v>900</v>
      </c>
      <c r="J138" s="35">
        <f t="shared" si="21"/>
        <v>27202</v>
      </c>
      <c r="K138" s="35">
        <v>0</v>
      </c>
      <c r="L138" s="35">
        <f t="shared" si="21"/>
        <v>540</v>
      </c>
      <c r="M138" s="35">
        <v>0</v>
      </c>
      <c r="N138">
        <f t="shared" si="24"/>
        <v>2</v>
      </c>
      <c r="O138" s="17" t="str">
        <f>IF(N138&gt;0,VLOOKUP(C138,极品属性表调整!$A$2:$B$8,2,0),0)</f>
        <v>204</v>
      </c>
      <c r="P138">
        <f t="shared" si="25"/>
        <v>0</v>
      </c>
      <c r="Q138" s="17">
        <f>IF(P138&gt;0,VLOOKUP(C138,极品属性表调整!$A$9:$B$15,2,0),0)</f>
        <v>0</v>
      </c>
      <c r="R138">
        <f t="shared" si="26"/>
        <v>0</v>
      </c>
      <c r="S138" s="17">
        <f>IF(R138&gt;0,VLOOKUP(C138,极品属性表调整!$A$16:$B$22,2,0),0)</f>
        <v>0</v>
      </c>
      <c r="T138" s="57" t="str">
        <f>VLOOKUP(--H138,套装调整!$Q$19:$R$24,2,0)</f>
        <v>101,102</v>
      </c>
    </row>
    <row r="139" spans="1:20" x14ac:dyDescent="0.2">
      <c r="A139">
        <f t="shared" si="27"/>
        <v>4</v>
      </c>
      <c r="B139" s="12">
        <v>4</v>
      </c>
      <c r="C139">
        <v>5</v>
      </c>
      <c r="D139">
        <v>1</v>
      </c>
      <c r="E139">
        <v>40302</v>
      </c>
      <c r="F139">
        <f>VLOOKUP(C139,性价比!$T$25:$U$31,2,0)*VLOOKUP(--H139,性价比!$W$3:$Y$8,3,0)</f>
        <v>20</v>
      </c>
      <c r="G139" t="str">
        <f t="shared" si="23"/>
        <v>40302:20</v>
      </c>
      <c r="H139" s="25" t="str">
        <f t="shared" si="22"/>
        <v>41</v>
      </c>
      <c r="I139" s="37">
        <f>VLOOKUP(--H139,相关定价!$A$4:$D$9,4,0)*VLOOKUP(--H139,相关定价!$A$4:$D$9,3,0)</f>
        <v>900</v>
      </c>
      <c r="J139" s="35">
        <f t="shared" si="21"/>
        <v>48962</v>
      </c>
      <c r="K139" s="35">
        <v>0</v>
      </c>
      <c r="L139" s="35">
        <f t="shared" si="21"/>
        <v>972</v>
      </c>
      <c r="M139" s="35">
        <v>0</v>
      </c>
      <c r="N139">
        <f t="shared" si="24"/>
        <v>2</v>
      </c>
      <c r="O139" s="17" t="str">
        <f>IF(N139&gt;0,VLOOKUP(C139,极品属性表调整!$A$2:$B$8,2,0),0)</f>
        <v>205</v>
      </c>
      <c r="P139">
        <f t="shared" si="25"/>
        <v>0</v>
      </c>
      <c r="Q139" s="17">
        <f>IF(P139&gt;0,VLOOKUP(C139,极品属性表调整!$A$9:$B$15,2,0),0)</f>
        <v>0</v>
      </c>
      <c r="R139">
        <f t="shared" si="26"/>
        <v>0</v>
      </c>
      <c r="S139" s="17">
        <f>IF(R139&gt;0,VLOOKUP(C139,极品属性表调整!$A$16:$B$22,2,0),0)</f>
        <v>0</v>
      </c>
      <c r="T139" s="57" t="str">
        <f>VLOOKUP(--H139,套装调整!$Q$19:$R$24,2,0)</f>
        <v>101,102</v>
      </c>
    </row>
    <row r="140" spans="1:20" x14ac:dyDescent="0.2">
      <c r="A140">
        <f t="shared" si="27"/>
        <v>4</v>
      </c>
      <c r="B140" s="12">
        <v>4</v>
      </c>
      <c r="C140">
        <v>6</v>
      </c>
      <c r="D140">
        <v>1</v>
      </c>
      <c r="E140">
        <v>40302</v>
      </c>
      <c r="F140">
        <f>VLOOKUP(C140,性价比!$T$25:$U$31,2,0)*VLOOKUP(--H140,性价比!$W$3:$Y$8,3,0)</f>
        <v>24</v>
      </c>
      <c r="G140" t="str">
        <f t="shared" si="23"/>
        <v>40302:24</v>
      </c>
      <c r="H140" s="25" t="str">
        <f t="shared" si="22"/>
        <v>41</v>
      </c>
      <c r="I140" s="37">
        <f>VLOOKUP(--H140,相关定价!$A$4:$D$9,4,0)*VLOOKUP(--H140,相关定价!$A$4:$D$9,3,0)</f>
        <v>900</v>
      </c>
      <c r="J140" s="35">
        <f t="shared" si="21"/>
        <v>87640</v>
      </c>
      <c r="K140" s="35">
        <v>0</v>
      </c>
      <c r="L140" s="35">
        <f t="shared" si="21"/>
        <v>1738</v>
      </c>
      <c r="M140" s="35">
        <v>0</v>
      </c>
      <c r="N140">
        <f t="shared" si="24"/>
        <v>2</v>
      </c>
      <c r="O140" s="17" t="str">
        <f>IF(N140&gt;0,VLOOKUP(C140,极品属性表调整!$A$2:$B$8,2,0),0)</f>
        <v>206</v>
      </c>
      <c r="P140">
        <f t="shared" si="25"/>
        <v>0</v>
      </c>
      <c r="Q140" s="17">
        <f>IF(P140&gt;0,VLOOKUP(C140,极品属性表调整!$A$9:$B$15,2,0),0)</f>
        <v>0</v>
      </c>
      <c r="R140">
        <f t="shared" si="26"/>
        <v>0</v>
      </c>
      <c r="S140" s="17">
        <f>IF(R140&gt;0,VLOOKUP(C140,极品属性表调整!$A$16:$B$22,2,0),0)</f>
        <v>0</v>
      </c>
      <c r="T140" s="57" t="str">
        <f>VLOOKUP(--H140,套装调整!$Q$19:$R$24,2,0)</f>
        <v>101,102</v>
      </c>
    </row>
    <row r="141" spans="1:20" x14ac:dyDescent="0.2">
      <c r="A141">
        <f t="shared" si="27"/>
        <v>4</v>
      </c>
      <c r="B141" s="12">
        <v>4</v>
      </c>
      <c r="C141">
        <v>7</v>
      </c>
      <c r="D141">
        <v>1</v>
      </c>
      <c r="E141">
        <v>40302</v>
      </c>
      <c r="F141">
        <f>VLOOKUP(C141,性价比!$T$25:$U$31,2,0)*VLOOKUP(--H141,性价比!$W$3:$Y$8,3,0)</f>
        <v>0</v>
      </c>
      <c r="G141" t="str">
        <f t="shared" si="23"/>
        <v>40302:0</v>
      </c>
      <c r="H141" s="25" t="str">
        <f t="shared" si="22"/>
        <v>41</v>
      </c>
      <c r="I141" s="37">
        <f>VLOOKUP(--H141,相关定价!$A$4:$D$9,4,0)*VLOOKUP(--H141,相关定价!$A$4:$D$9,3,0)</f>
        <v>900</v>
      </c>
      <c r="J141" s="35">
        <f t="shared" si="21"/>
        <v>155998</v>
      </c>
      <c r="K141" s="35">
        <v>0</v>
      </c>
      <c r="L141" s="35">
        <f t="shared" si="21"/>
        <v>3092</v>
      </c>
      <c r="M141" s="35">
        <v>0</v>
      </c>
      <c r="N141">
        <f t="shared" si="24"/>
        <v>2</v>
      </c>
      <c r="O141" s="17" t="str">
        <f>IF(N141&gt;0,VLOOKUP(C141,极品属性表调整!$A$2:$B$8,2,0),0)</f>
        <v>207</v>
      </c>
      <c r="P141">
        <f t="shared" si="25"/>
        <v>0</v>
      </c>
      <c r="Q141" s="17">
        <f>IF(P141&gt;0,VLOOKUP(C141,极品属性表调整!$A$9:$B$15,2,0),0)</f>
        <v>0</v>
      </c>
      <c r="R141">
        <f t="shared" si="26"/>
        <v>0</v>
      </c>
      <c r="S141" s="17">
        <f>IF(R141&gt;0,VLOOKUP(C141,极品属性表调整!$A$16:$B$22,2,0),0)</f>
        <v>0</v>
      </c>
      <c r="T141" s="57" t="str">
        <f>VLOOKUP(--H141,套装调整!$Q$19:$R$24,2,0)</f>
        <v>101,102</v>
      </c>
    </row>
    <row r="142" spans="1:20" x14ac:dyDescent="0.2">
      <c r="A142">
        <f t="shared" si="27"/>
        <v>4</v>
      </c>
      <c r="B142" s="12">
        <v>4</v>
      </c>
      <c r="C142">
        <v>1</v>
      </c>
      <c r="D142">
        <v>2</v>
      </c>
      <c r="E142">
        <v>40302</v>
      </c>
      <c r="F142">
        <f>VLOOKUP(C142,性价比!$T$25:$U$31,2,0)*VLOOKUP(--H142,性价比!$W$3:$Y$8,3,0)</f>
        <v>4</v>
      </c>
      <c r="G142" t="str">
        <f t="shared" si="23"/>
        <v>40302:4</v>
      </c>
      <c r="H142" s="25" t="str">
        <f t="shared" si="22"/>
        <v>42</v>
      </c>
      <c r="I142" s="37">
        <f>VLOOKUP(--H142,相关定价!$A$4:$D$9,4,0)*VLOOKUP(--H142,相关定价!$A$4:$D$9,3,0)</f>
        <v>1200</v>
      </c>
      <c r="J142" s="35">
        <f t="shared" si="21"/>
        <v>4400</v>
      </c>
      <c r="K142" s="35">
        <v>0</v>
      </c>
      <c r="L142" s="35">
        <f t="shared" si="21"/>
        <v>88</v>
      </c>
      <c r="M142" s="35">
        <v>0</v>
      </c>
      <c r="N142">
        <f t="shared" si="24"/>
        <v>1</v>
      </c>
      <c r="O142" s="17" t="str">
        <f>IF(N142&gt;0,VLOOKUP(C142,极品属性表调整!$A$2:$B$8,2,0),0)</f>
        <v>201</v>
      </c>
      <c r="P142">
        <f t="shared" si="25"/>
        <v>1</v>
      </c>
      <c r="Q142" s="17" t="str">
        <f>IF(P142&gt;0,VLOOKUP(C142,极品属性表调整!$A$9:$B$15,2,0),0)</f>
        <v>301</v>
      </c>
      <c r="R142">
        <f t="shared" si="26"/>
        <v>0</v>
      </c>
      <c r="S142" s="17">
        <f>IF(R142&gt;0,VLOOKUP(C142,极品属性表调整!$A$16:$B$22,2,0),0)</f>
        <v>0</v>
      </c>
      <c r="T142" s="57" t="str">
        <f>VLOOKUP(--H142,套装调整!$Q$19:$R$24,2,0)</f>
        <v>201,202</v>
      </c>
    </row>
    <row r="143" spans="1:20" x14ac:dyDescent="0.2">
      <c r="A143">
        <f t="shared" si="27"/>
        <v>4</v>
      </c>
      <c r="B143" s="12">
        <v>4</v>
      </c>
      <c r="C143">
        <v>2</v>
      </c>
      <c r="D143">
        <v>2</v>
      </c>
      <c r="E143">
        <v>40302</v>
      </c>
      <c r="F143">
        <f>VLOOKUP(C143,性价比!$T$25:$U$31,2,0)*VLOOKUP(--H143,性价比!$W$3:$Y$8,3,0)</f>
        <v>8</v>
      </c>
      <c r="G143" t="str">
        <f t="shared" si="23"/>
        <v>40302:8</v>
      </c>
      <c r="H143" s="25" t="str">
        <f t="shared" si="22"/>
        <v>42</v>
      </c>
      <c r="I143" s="37">
        <f>VLOOKUP(--H143,相关定价!$A$4:$D$9,4,0)*VLOOKUP(--H143,相关定价!$A$4:$D$9,3,0)</f>
        <v>1200</v>
      </c>
      <c r="J143" s="35">
        <f t="shared" si="21"/>
        <v>7700</v>
      </c>
      <c r="K143" s="35">
        <v>0</v>
      </c>
      <c r="L143" s="35">
        <f t="shared" si="21"/>
        <v>154</v>
      </c>
      <c r="M143" s="35">
        <v>0</v>
      </c>
      <c r="N143">
        <f t="shared" si="24"/>
        <v>1</v>
      </c>
      <c r="O143" s="17" t="str">
        <f>IF(N143&gt;0,VLOOKUP(C143,极品属性表调整!$A$2:$B$8,2,0),0)</f>
        <v>202</v>
      </c>
      <c r="P143">
        <f t="shared" si="25"/>
        <v>1</v>
      </c>
      <c r="Q143" s="17" t="str">
        <f>IF(P143&gt;0,VLOOKUP(C143,极品属性表调整!$A$9:$B$15,2,0),0)</f>
        <v>302</v>
      </c>
      <c r="R143">
        <f t="shared" si="26"/>
        <v>0</v>
      </c>
      <c r="S143" s="17">
        <f>IF(R143&gt;0,VLOOKUP(C143,极品属性表调整!$A$16:$B$22,2,0),0)</f>
        <v>0</v>
      </c>
      <c r="T143" s="57" t="str">
        <f>VLOOKUP(--H143,套装调整!$Q$19:$R$24,2,0)</f>
        <v>201,202</v>
      </c>
    </row>
    <row r="144" spans="1:20" x14ac:dyDescent="0.2">
      <c r="A144">
        <f t="shared" si="27"/>
        <v>4</v>
      </c>
      <c r="B144" s="12">
        <v>4</v>
      </c>
      <c r="C144">
        <v>3</v>
      </c>
      <c r="D144">
        <v>2</v>
      </c>
      <c r="E144">
        <v>40302</v>
      </c>
      <c r="F144">
        <f>VLOOKUP(C144,性价比!$T$25:$U$31,2,0)*VLOOKUP(--H144,性价比!$W$3:$Y$8,3,0)</f>
        <v>12</v>
      </c>
      <c r="G144" t="str">
        <f t="shared" si="23"/>
        <v>40302:12</v>
      </c>
      <c r="H144" s="25" t="str">
        <f t="shared" si="22"/>
        <v>42</v>
      </c>
      <c r="I144" s="37">
        <f>VLOOKUP(--H144,相关定价!$A$4:$D$9,4,0)*VLOOKUP(--H144,相关定价!$A$4:$D$9,3,0)</f>
        <v>1200</v>
      </c>
      <c r="J144" s="35">
        <f t="shared" si="21"/>
        <v>14784</v>
      </c>
      <c r="K144" s="35">
        <v>0</v>
      </c>
      <c r="L144" s="35">
        <f t="shared" si="21"/>
        <v>294</v>
      </c>
      <c r="M144" s="35">
        <v>0</v>
      </c>
      <c r="N144">
        <f t="shared" si="24"/>
        <v>1</v>
      </c>
      <c r="O144" s="17" t="str">
        <f>IF(N144&gt;0,VLOOKUP(C144,极品属性表调整!$A$2:$B$8,2,0),0)</f>
        <v>203</v>
      </c>
      <c r="P144">
        <f t="shared" si="25"/>
        <v>1</v>
      </c>
      <c r="Q144" s="17" t="str">
        <f>IF(P144&gt;0,VLOOKUP(C144,极品属性表调整!$A$9:$B$15,2,0),0)</f>
        <v>303</v>
      </c>
      <c r="R144">
        <f t="shared" si="26"/>
        <v>0</v>
      </c>
      <c r="S144" s="17">
        <f>IF(R144&gt;0,VLOOKUP(C144,极品属性表调整!$A$16:$B$22,2,0),0)</f>
        <v>0</v>
      </c>
      <c r="T144" s="57" t="str">
        <f>VLOOKUP(--H144,套装调整!$Q$19:$R$24,2,0)</f>
        <v>201,202</v>
      </c>
    </row>
    <row r="145" spans="1:20" x14ac:dyDescent="0.2">
      <c r="A145">
        <f t="shared" si="27"/>
        <v>4</v>
      </c>
      <c r="B145" s="12">
        <v>4</v>
      </c>
      <c r="C145">
        <v>4</v>
      </c>
      <c r="D145">
        <v>2</v>
      </c>
      <c r="E145">
        <v>40302</v>
      </c>
      <c r="F145">
        <f>VLOOKUP(C145,性价比!$T$25:$U$31,2,0)*VLOOKUP(--H145,性价比!$W$3:$Y$8,3,0)</f>
        <v>16</v>
      </c>
      <c r="G145" t="str">
        <f t="shared" si="23"/>
        <v>40302:16</v>
      </c>
      <c r="H145" s="25" t="str">
        <f t="shared" si="22"/>
        <v>42</v>
      </c>
      <c r="I145" s="37">
        <f>VLOOKUP(--H145,相关定价!$A$4:$D$9,4,0)*VLOOKUP(--H145,相关定价!$A$4:$D$9,3,0)</f>
        <v>1200</v>
      </c>
      <c r="J145" s="35">
        <f t="shared" si="21"/>
        <v>27202</v>
      </c>
      <c r="K145" s="35">
        <v>0</v>
      </c>
      <c r="L145" s="35">
        <f t="shared" si="21"/>
        <v>540</v>
      </c>
      <c r="M145" s="35">
        <v>0</v>
      </c>
      <c r="N145">
        <f t="shared" si="24"/>
        <v>1</v>
      </c>
      <c r="O145" s="17" t="str">
        <f>IF(N145&gt;0,VLOOKUP(C145,极品属性表调整!$A$2:$B$8,2,0),0)</f>
        <v>204</v>
      </c>
      <c r="P145">
        <f t="shared" si="25"/>
        <v>1</v>
      </c>
      <c r="Q145" s="17" t="str">
        <f>IF(P145&gt;0,VLOOKUP(C145,极品属性表调整!$A$9:$B$15,2,0),0)</f>
        <v>304</v>
      </c>
      <c r="R145">
        <f t="shared" si="26"/>
        <v>0</v>
      </c>
      <c r="S145" s="17">
        <f>IF(R145&gt;0,VLOOKUP(C145,极品属性表调整!$A$16:$B$22,2,0),0)</f>
        <v>0</v>
      </c>
      <c r="T145" s="57" t="str">
        <f>VLOOKUP(--H145,套装调整!$Q$19:$R$24,2,0)</f>
        <v>201,202</v>
      </c>
    </row>
    <row r="146" spans="1:20" x14ac:dyDescent="0.2">
      <c r="A146">
        <f t="shared" si="27"/>
        <v>4</v>
      </c>
      <c r="B146" s="12">
        <v>4</v>
      </c>
      <c r="C146">
        <v>5</v>
      </c>
      <c r="D146">
        <v>2</v>
      </c>
      <c r="E146">
        <v>40302</v>
      </c>
      <c r="F146">
        <f>VLOOKUP(C146,性价比!$T$25:$U$31,2,0)*VLOOKUP(--H146,性价比!$W$3:$Y$8,3,0)</f>
        <v>20</v>
      </c>
      <c r="G146" t="str">
        <f t="shared" si="23"/>
        <v>40302:20</v>
      </c>
      <c r="H146" s="25" t="str">
        <f t="shared" si="22"/>
        <v>42</v>
      </c>
      <c r="I146" s="37">
        <f>VLOOKUP(--H146,相关定价!$A$4:$D$9,4,0)*VLOOKUP(--H146,相关定价!$A$4:$D$9,3,0)</f>
        <v>1200</v>
      </c>
      <c r="J146" s="35">
        <f t="shared" si="21"/>
        <v>48962</v>
      </c>
      <c r="K146" s="35">
        <v>0</v>
      </c>
      <c r="L146" s="35">
        <f t="shared" si="21"/>
        <v>972</v>
      </c>
      <c r="M146" s="35">
        <v>0</v>
      </c>
      <c r="N146">
        <f t="shared" si="24"/>
        <v>1</v>
      </c>
      <c r="O146" s="17" t="str">
        <f>IF(N146&gt;0,VLOOKUP(C146,极品属性表调整!$A$2:$B$8,2,0),0)</f>
        <v>205</v>
      </c>
      <c r="P146">
        <f t="shared" si="25"/>
        <v>1</v>
      </c>
      <c r="Q146" s="17" t="str">
        <f>IF(P146&gt;0,VLOOKUP(C146,极品属性表调整!$A$9:$B$15,2,0),0)</f>
        <v>305</v>
      </c>
      <c r="R146">
        <f t="shared" si="26"/>
        <v>0</v>
      </c>
      <c r="S146" s="17">
        <f>IF(R146&gt;0,VLOOKUP(C146,极品属性表调整!$A$16:$B$22,2,0),0)</f>
        <v>0</v>
      </c>
      <c r="T146" s="57" t="str">
        <f>VLOOKUP(--H146,套装调整!$Q$19:$R$24,2,0)</f>
        <v>201,202</v>
      </c>
    </row>
    <row r="147" spans="1:20" x14ac:dyDescent="0.2">
      <c r="A147">
        <f t="shared" si="27"/>
        <v>4</v>
      </c>
      <c r="B147" s="12">
        <v>4</v>
      </c>
      <c r="C147">
        <v>6</v>
      </c>
      <c r="D147">
        <v>2</v>
      </c>
      <c r="E147">
        <v>40302</v>
      </c>
      <c r="F147">
        <f>VLOOKUP(C147,性价比!$T$25:$U$31,2,0)*VLOOKUP(--H147,性价比!$W$3:$Y$8,3,0)</f>
        <v>24</v>
      </c>
      <c r="G147" t="str">
        <f t="shared" si="23"/>
        <v>40302:24</v>
      </c>
      <c r="H147" s="25" t="str">
        <f t="shared" si="22"/>
        <v>42</v>
      </c>
      <c r="I147" s="37">
        <f>VLOOKUP(--H147,相关定价!$A$4:$D$9,4,0)*VLOOKUP(--H147,相关定价!$A$4:$D$9,3,0)</f>
        <v>1200</v>
      </c>
      <c r="J147" s="35">
        <f t="shared" si="21"/>
        <v>87640</v>
      </c>
      <c r="K147" s="35">
        <v>0</v>
      </c>
      <c r="L147" s="35">
        <f t="shared" si="21"/>
        <v>1738</v>
      </c>
      <c r="M147" s="35">
        <v>0</v>
      </c>
      <c r="N147">
        <f t="shared" si="24"/>
        <v>1</v>
      </c>
      <c r="O147" s="17" t="str">
        <f>IF(N147&gt;0,VLOOKUP(C147,极品属性表调整!$A$2:$B$8,2,0),0)</f>
        <v>206</v>
      </c>
      <c r="P147">
        <f t="shared" si="25"/>
        <v>1</v>
      </c>
      <c r="Q147" s="17" t="str">
        <f>IF(P147&gt;0,VLOOKUP(C147,极品属性表调整!$A$9:$B$15,2,0),0)</f>
        <v>306</v>
      </c>
      <c r="R147">
        <f t="shared" si="26"/>
        <v>0</v>
      </c>
      <c r="S147" s="17">
        <f>IF(R147&gt;0,VLOOKUP(C147,极品属性表调整!$A$16:$B$22,2,0),0)</f>
        <v>0</v>
      </c>
      <c r="T147" s="57" t="str">
        <f>VLOOKUP(--H147,套装调整!$Q$19:$R$24,2,0)</f>
        <v>201,202</v>
      </c>
    </row>
    <row r="148" spans="1:20" x14ac:dyDescent="0.2">
      <c r="A148">
        <f t="shared" si="27"/>
        <v>4</v>
      </c>
      <c r="B148" s="12">
        <v>4</v>
      </c>
      <c r="C148">
        <v>7</v>
      </c>
      <c r="D148">
        <v>2</v>
      </c>
      <c r="E148">
        <v>40302</v>
      </c>
      <c r="F148">
        <f>VLOOKUP(C148,性价比!$T$25:$U$31,2,0)*VLOOKUP(--H148,性价比!$W$3:$Y$8,3,0)</f>
        <v>0</v>
      </c>
      <c r="G148" t="str">
        <f t="shared" si="23"/>
        <v>40302:0</v>
      </c>
      <c r="H148" s="25" t="str">
        <f t="shared" si="22"/>
        <v>42</v>
      </c>
      <c r="I148" s="37">
        <f>VLOOKUP(--H148,相关定价!$A$4:$D$9,4,0)*VLOOKUP(--H148,相关定价!$A$4:$D$9,3,0)</f>
        <v>1200</v>
      </c>
      <c r="J148" s="35">
        <f t="shared" si="21"/>
        <v>155998</v>
      </c>
      <c r="K148" s="35">
        <v>0</v>
      </c>
      <c r="L148" s="35">
        <f t="shared" si="21"/>
        <v>3092</v>
      </c>
      <c r="M148" s="35">
        <v>0</v>
      </c>
      <c r="N148">
        <f t="shared" si="24"/>
        <v>1</v>
      </c>
      <c r="O148" s="17" t="str">
        <f>IF(N148&gt;0,VLOOKUP(C148,极品属性表调整!$A$2:$B$8,2,0),0)</f>
        <v>207</v>
      </c>
      <c r="P148">
        <f t="shared" si="25"/>
        <v>1</v>
      </c>
      <c r="Q148" s="17" t="str">
        <f>IF(P148&gt;0,VLOOKUP(C148,极品属性表调整!$A$9:$B$15,2,0),0)</f>
        <v>307</v>
      </c>
      <c r="R148">
        <f t="shared" si="26"/>
        <v>0</v>
      </c>
      <c r="S148" s="17">
        <f>IF(R148&gt;0,VLOOKUP(C148,极品属性表调整!$A$16:$B$22,2,0),0)</f>
        <v>0</v>
      </c>
      <c r="T148" s="57" t="str">
        <f>VLOOKUP(--H148,套装调整!$Q$19:$R$24,2,0)</f>
        <v>201,202</v>
      </c>
    </row>
    <row r="149" spans="1:20" x14ac:dyDescent="0.2">
      <c r="A149">
        <f t="shared" si="27"/>
        <v>4</v>
      </c>
      <c r="B149" s="4">
        <v>5</v>
      </c>
      <c r="C149">
        <v>1</v>
      </c>
      <c r="D149">
        <v>1</v>
      </c>
      <c r="E149">
        <v>40302</v>
      </c>
      <c r="F149">
        <f>VLOOKUP(C149,性价比!$T$25:$U$31,2,0)*VLOOKUP(--H149,性价比!$W$3:$Y$8,3,0)</f>
        <v>6</v>
      </c>
      <c r="G149" t="str">
        <f t="shared" si="23"/>
        <v>40302:6</v>
      </c>
      <c r="H149" s="25" t="str">
        <f t="shared" si="22"/>
        <v>51</v>
      </c>
      <c r="I149" s="37">
        <f>VLOOKUP(--H149,相关定价!$A$4:$D$9,4,0)*VLOOKUP(--H149,相关定价!$A$4:$D$9,3,0)</f>
        <v>2100</v>
      </c>
      <c r="J149" s="35">
        <f t="shared" si="21"/>
        <v>7920</v>
      </c>
      <c r="K149" s="35">
        <v>0</v>
      </c>
      <c r="L149" s="35">
        <f t="shared" si="21"/>
        <v>158</v>
      </c>
      <c r="M149" s="35">
        <v>0</v>
      </c>
      <c r="N149">
        <f t="shared" si="24"/>
        <v>2</v>
      </c>
      <c r="O149" s="17" t="str">
        <f>IF(N149&gt;0,VLOOKUP(C149,极品属性表调整!$A$2:$B$8,2,0),0)</f>
        <v>201</v>
      </c>
      <c r="P149">
        <f t="shared" si="25"/>
        <v>1</v>
      </c>
      <c r="Q149" s="17" t="str">
        <f>IF(P149&gt;0,VLOOKUP(C149,极品属性表调整!$A$9:$B$15,2,0),0)</f>
        <v>301</v>
      </c>
      <c r="R149">
        <f t="shared" si="26"/>
        <v>0</v>
      </c>
      <c r="S149" s="17">
        <f>IF(R149&gt;0,VLOOKUP(C149,极品属性表调整!$A$16:$B$22,2,0),0)</f>
        <v>0</v>
      </c>
      <c r="T149" s="57">
        <f>VLOOKUP(--H149,套装调整!$Q$19:$R$24,2,0)</f>
        <v>0</v>
      </c>
    </row>
    <row r="150" spans="1:20" x14ac:dyDescent="0.2">
      <c r="A150">
        <f t="shared" si="27"/>
        <v>4</v>
      </c>
      <c r="B150" s="4">
        <v>5</v>
      </c>
      <c r="C150">
        <v>2</v>
      </c>
      <c r="D150">
        <v>1</v>
      </c>
      <c r="E150">
        <v>40302</v>
      </c>
      <c r="F150">
        <f>VLOOKUP(C150,性价比!$T$25:$U$31,2,0)*VLOOKUP(--H150,性价比!$W$3:$Y$8,3,0)</f>
        <v>12</v>
      </c>
      <c r="G150" t="str">
        <f t="shared" si="23"/>
        <v>40302:12</v>
      </c>
      <c r="H150" s="25" t="str">
        <f t="shared" si="22"/>
        <v>51</v>
      </c>
      <c r="I150" s="37">
        <f>VLOOKUP(--H150,相关定价!$A$4:$D$9,4,0)*VLOOKUP(--H150,相关定价!$A$4:$D$9,3,0)</f>
        <v>2100</v>
      </c>
      <c r="J150" s="35">
        <f t="shared" si="21"/>
        <v>13860</v>
      </c>
      <c r="K150" s="35">
        <v>0</v>
      </c>
      <c r="L150" s="35">
        <f t="shared" si="21"/>
        <v>277</v>
      </c>
      <c r="M150" s="35">
        <v>0</v>
      </c>
      <c r="N150">
        <f t="shared" si="24"/>
        <v>2</v>
      </c>
      <c r="O150" s="17" t="str">
        <f>IF(N150&gt;0,VLOOKUP(C150,极品属性表调整!$A$2:$B$8,2,0),0)</f>
        <v>202</v>
      </c>
      <c r="P150">
        <f t="shared" si="25"/>
        <v>1</v>
      </c>
      <c r="Q150" s="17" t="str">
        <f>IF(P150&gt;0,VLOOKUP(C150,极品属性表调整!$A$9:$B$15,2,0),0)</f>
        <v>302</v>
      </c>
      <c r="R150">
        <f t="shared" si="26"/>
        <v>0</v>
      </c>
      <c r="S150" s="17">
        <f>IF(R150&gt;0,VLOOKUP(C150,极品属性表调整!$A$16:$B$22,2,0),0)</f>
        <v>0</v>
      </c>
      <c r="T150" s="57">
        <f>VLOOKUP(--H150,套装调整!$Q$19:$R$24,2,0)</f>
        <v>0</v>
      </c>
    </row>
    <row r="151" spans="1:20" x14ac:dyDescent="0.2">
      <c r="A151">
        <f t="shared" si="27"/>
        <v>4</v>
      </c>
      <c r="B151" s="4">
        <v>5</v>
      </c>
      <c r="C151">
        <v>3</v>
      </c>
      <c r="D151">
        <v>1</v>
      </c>
      <c r="E151">
        <v>40302</v>
      </c>
      <c r="F151">
        <f>VLOOKUP(C151,性价比!$T$25:$U$31,2,0)*VLOOKUP(--H151,性价比!$W$3:$Y$8,3,0)</f>
        <v>18</v>
      </c>
      <c r="G151" t="str">
        <f t="shared" si="23"/>
        <v>40302:18</v>
      </c>
      <c r="H151" s="25" t="str">
        <f t="shared" si="22"/>
        <v>51</v>
      </c>
      <c r="I151" s="37">
        <f>VLOOKUP(--H151,相关定价!$A$4:$D$9,4,0)*VLOOKUP(--H151,相关定价!$A$4:$D$9,3,0)</f>
        <v>2100</v>
      </c>
      <c r="J151" s="35">
        <f t="shared" si="21"/>
        <v>26611</v>
      </c>
      <c r="K151" s="35">
        <v>0</v>
      </c>
      <c r="L151" s="35">
        <f t="shared" si="21"/>
        <v>529</v>
      </c>
      <c r="M151" s="35">
        <v>0</v>
      </c>
      <c r="N151">
        <f t="shared" si="24"/>
        <v>2</v>
      </c>
      <c r="O151" s="17" t="str">
        <f>IF(N151&gt;0,VLOOKUP(C151,极品属性表调整!$A$2:$B$8,2,0),0)</f>
        <v>203</v>
      </c>
      <c r="P151">
        <f t="shared" si="25"/>
        <v>1</v>
      </c>
      <c r="Q151" s="17" t="str">
        <f>IF(P151&gt;0,VLOOKUP(C151,极品属性表调整!$A$9:$B$15,2,0),0)</f>
        <v>303</v>
      </c>
      <c r="R151">
        <f t="shared" si="26"/>
        <v>0</v>
      </c>
      <c r="S151" s="17">
        <f>IF(R151&gt;0,VLOOKUP(C151,极品属性表调整!$A$16:$B$22,2,0),0)</f>
        <v>0</v>
      </c>
      <c r="T151" s="57">
        <f>VLOOKUP(--H151,套装调整!$Q$19:$R$24,2,0)</f>
        <v>0</v>
      </c>
    </row>
    <row r="152" spans="1:20" x14ac:dyDescent="0.2">
      <c r="A152">
        <f t="shared" si="27"/>
        <v>4</v>
      </c>
      <c r="B152" s="4">
        <v>5</v>
      </c>
      <c r="C152">
        <v>4</v>
      </c>
      <c r="D152">
        <v>1</v>
      </c>
      <c r="E152">
        <v>40302</v>
      </c>
      <c r="F152">
        <f>VLOOKUP(C152,性价比!$T$25:$U$31,2,0)*VLOOKUP(--H152,性价比!$W$3:$Y$8,3,0)</f>
        <v>24</v>
      </c>
      <c r="G152" t="str">
        <f t="shared" si="23"/>
        <v>40302:24</v>
      </c>
      <c r="H152" s="25" t="str">
        <f t="shared" si="22"/>
        <v>51</v>
      </c>
      <c r="I152" s="37">
        <f>VLOOKUP(--H152,相关定价!$A$4:$D$9,4,0)*VLOOKUP(--H152,相关定价!$A$4:$D$9,3,0)</f>
        <v>2100</v>
      </c>
      <c r="J152" s="35">
        <f t="shared" si="21"/>
        <v>48963</v>
      </c>
      <c r="K152" s="35">
        <v>0</v>
      </c>
      <c r="L152" s="35">
        <f t="shared" si="21"/>
        <v>972</v>
      </c>
      <c r="M152" s="35">
        <v>0</v>
      </c>
      <c r="N152">
        <f t="shared" si="24"/>
        <v>2</v>
      </c>
      <c r="O152" s="17" t="str">
        <f>IF(N152&gt;0,VLOOKUP(C152,极品属性表调整!$A$2:$B$8,2,0),0)</f>
        <v>204</v>
      </c>
      <c r="P152">
        <f t="shared" si="25"/>
        <v>1</v>
      </c>
      <c r="Q152" s="17" t="str">
        <f>IF(P152&gt;0,VLOOKUP(C152,极品属性表调整!$A$9:$B$15,2,0),0)</f>
        <v>304</v>
      </c>
      <c r="R152">
        <f t="shared" si="26"/>
        <v>0</v>
      </c>
      <c r="S152" s="17">
        <f>IF(R152&gt;0,VLOOKUP(C152,极品属性表调整!$A$16:$B$22,2,0),0)</f>
        <v>0</v>
      </c>
      <c r="T152" s="57">
        <f>VLOOKUP(--H152,套装调整!$Q$19:$R$24,2,0)</f>
        <v>0</v>
      </c>
    </row>
    <row r="153" spans="1:20" x14ac:dyDescent="0.2">
      <c r="A153">
        <f t="shared" si="27"/>
        <v>4</v>
      </c>
      <c r="B153" s="4">
        <v>5</v>
      </c>
      <c r="C153">
        <v>5</v>
      </c>
      <c r="D153">
        <v>1</v>
      </c>
      <c r="E153">
        <v>40302</v>
      </c>
      <c r="F153">
        <f>VLOOKUP(C153,性价比!$T$25:$U$31,2,0)*VLOOKUP(--H153,性价比!$W$3:$Y$8,3,0)</f>
        <v>30</v>
      </c>
      <c r="G153" t="str">
        <f t="shared" si="23"/>
        <v>40302:30</v>
      </c>
      <c r="H153" s="25" t="str">
        <f t="shared" si="22"/>
        <v>51</v>
      </c>
      <c r="I153" s="37">
        <f>VLOOKUP(--H153,相关定价!$A$4:$D$9,4,0)*VLOOKUP(--H153,相关定价!$A$4:$D$9,3,0)</f>
        <v>2100</v>
      </c>
      <c r="J153" s="35">
        <f t="shared" si="21"/>
        <v>88131</v>
      </c>
      <c r="K153" s="35">
        <v>0</v>
      </c>
      <c r="L153" s="35">
        <f t="shared" si="21"/>
        <v>1749</v>
      </c>
      <c r="M153" s="35">
        <v>0</v>
      </c>
      <c r="N153">
        <f t="shared" si="24"/>
        <v>2</v>
      </c>
      <c r="O153" s="17" t="str">
        <f>IF(N153&gt;0,VLOOKUP(C153,极品属性表调整!$A$2:$B$8,2,0),0)</f>
        <v>205</v>
      </c>
      <c r="P153">
        <f t="shared" si="25"/>
        <v>1</v>
      </c>
      <c r="Q153" s="17" t="str">
        <f>IF(P153&gt;0,VLOOKUP(C153,极品属性表调整!$A$9:$B$15,2,0),0)</f>
        <v>305</v>
      </c>
      <c r="R153">
        <f t="shared" si="26"/>
        <v>0</v>
      </c>
      <c r="S153" s="17">
        <f>IF(R153&gt;0,VLOOKUP(C153,极品属性表调整!$A$16:$B$22,2,0),0)</f>
        <v>0</v>
      </c>
      <c r="T153" s="57">
        <f>VLOOKUP(--H153,套装调整!$Q$19:$R$24,2,0)</f>
        <v>0</v>
      </c>
    </row>
    <row r="154" spans="1:20" x14ac:dyDescent="0.2">
      <c r="A154">
        <f t="shared" si="27"/>
        <v>4</v>
      </c>
      <c r="B154" s="4">
        <v>5</v>
      </c>
      <c r="C154">
        <v>6</v>
      </c>
      <c r="D154">
        <v>1</v>
      </c>
      <c r="E154">
        <v>40302</v>
      </c>
      <c r="F154">
        <f>VLOOKUP(C154,性价比!$T$25:$U$31,2,0)*VLOOKUP(--H154,性价比!$W$3:$Y$8,3,0)</f>
        <v>36</v>
      </c>
      <c r="G154" t="str">
        <f t="shared" si="23"/>
        <v>40302:36</v>
      </c>
      <c r="H154" s="25" t="str">
        <f t="shared" si="22"/>
        <v>51</v>
      </c>
      <c r="I154" s="37">
        <f>VLOOKUP(--H154,相关定价!$A$4:$D$9,4,0)*VLOOKUP(--H154,相关定价!$A$4:$D$9,3,0)</f>
        <v>2100</v>
      </c>
      <c r="J154" s="35">
        <f t="shared" si="21"/>
        <v>157752</v>
      </c>
      <c r="K154" s="35">
        <v>0</v>
      </c>
      <c r="L154" s="35">
        <f t="shared" si="21"/>
        <v>3128</v>
      </c>
      <c r="M154" s="35">
        <v>0</v>
      </c>
      <c r="N154">
        <f t="shared" si="24"/>
        <v>2</v>
      </c>
      <c r="O154" s="17" t="str">
        <f>IF(N154&gt;0,VLOOKUP(C154,极品属性表调整!$A$2:$B$8,2,0),0)</f>
        <v>206</v>
      </c>
      <c r="P154">
        <f t="shared" si="25"/>
        <v>1</v>
      </c>
      <c r="Q154" s="17" t="str">
        <f>IF(P154&gt;0,VLOOKUP(C154,极品属性表调整!$A$9:$B$15,2,0),0)</f>
        <v>306</v>
      </c>
      <c r="R154">
        <f t="shared" si="26"/>
        <v>0</v>
      </c>
      <c r="S154" s="17">
        <f>IF(R154&gt;0,VLOOKUP(C154,极品属性表调整!$A$16:$B$22,2,0),0)</f>
        <v>0</v>
      </c>
      <c r="T154" s="57">
        <f>VLOOKUP(--H154,套装调整!$Q$19:$R$24,2,0)</f>
        <v>0</v>
      </c>
    </row>
    <row r="155" spans="1:20" x14ac:dyDescent="0.2">
      <c r="A155">
        <f t="shared" si="27"/>
        <v>4</v>
      </c>
      <c r="B155" s="4">
        <v>5</v>
      </c>
      <c r="C155">
        <v>7</v>
      </c>
      <c r="D155">
        <v>1</v>
      </c>
      <c r="E155">
        <v>40302</v>
      </c>
      <c r="F155">
        <f>VLOOKUP(C155,性价比!$T$25:$U$31,2,0)*VLOOKUP(--H155,性价比!$W$3:$Y$8,3,0)</f>
        <v>0</v>
      </c>
      <c r="G155" t="str">
        <f t="shared" si="23"/>
        <v>40302:0</v>
      </c>
      <c r="H155" s="25" t="str">
        <f t="shared" si="22"/>
        <v>51</v>
      </c>
      <c r="I155" s="37">
        <f>VLOOKUP(--H155,相关定价!$A$4:$D$9,4,0)*VLOOKUP(--H155,相关定价!$A$4:$D$9,3,0)</f>
        <v>2100</v>
      </c>
      <c r="J155" s="35">
        <f t="shared" si="21"/>
        <v>280796</v>
      </c>
      <c r="K155" s="35">
        <v>0</v>
      </c>
      <c r="L155" s="35">
        <f t="shared" si="21"/>
        <v>5565</v>
      </c>
      <c r="M155" s="35">
        <v>0</v>
      </c>
      <c r="N155">
        <f t="shared" si="24"/>
        <v>2</v>
      </c>
      <c r="O155" s="17" t="str">
        <f>IF(N155&gt;0,VLOOKUP(C155,极品属性表调整!$A$2:$B$8,2,0),0)</f>
        <v>207</v>
      </c>
      <c r="P155">
        <f t="shared" si="25"/>
        <v>1</v>
      </c>
      <c r="Q155" s="17" t="str">
        <f>IF(P155&gt;0,VLOOKUP(C155,极品属性表调整!$A$9:$B$15,2,0),0)</f>
        <v>307</v>
      </c>
      <c r="R155">
        <f t="shared" si="26"/>
        <v>0</v>
      </c>
      <c r="S155" s="17">
        <f>IF(R155&gt;0,VLOOKUP(C155,极品属性表调整!$A$16:$B$22,2,0),0)</f>
        <v>0</v>
      </c>
      <c r="T155" s="57">
        <f>VLOOKUP(--H155,套装调整!$Q$19:$R$24,2,0)</f>
        <v>0</v>
      </c>
    </row>
    <row r="156" spans="1:20" x14ac:dyDescent="0.2">
      <c r="A156">
        <f t="shared" si="27"/>
        <v>4</v>
      </c>
      <c r="B156" s="4">
        <v>5</v>
      </c>
      <c r="C156">
        <v>1</v>
      </c>
      <c r="D156">
        <v>2</v>
      </c>
      <c r="E156">
        <v>40302</v>
      </c>
      <c r="F156">
        <f>VLOOKUP(C156,性价比!$T$25:$U$31,2,0)*VLOOKUP(--H156,性价比!$W$3:$Y$8,3,0)</f>
        <v>6</v>
      </c>
      <c r="G156" t="str">
        <f t="shared" si="23"/>
        <v>40302:6</v>
      </c>
      <c r="H156" s="25" t="str">
        <f t="shared" si="22"/>
        <v>52</v>
      </c>
      <c r="I156" s="37">
        <f>VLOOKUP(--H156,相关定价!$A$4:$D$9,4,0)*VLOOKUP(--H156,相关定价!$A$4:$D$9,3,0)</f>
        <v>2700</v>
      </c>
      <c r="J156" s="35">
        <f t="shared" si="21"/>
        <v>7920</v>
      </c>
      <c r="K156" s="35">
        <v>0</v>
      </c>
      <c r="L156" s="35">
        <f t="shared" si="21"/>
        <v>158</v>
      </c>
      <c r="M156" s="35">
        <v>0</v>
      </c>
      <c r="N156">
        <f t="shared" si="24"/>
        <v>1</v>
      </c>
      <c r="O156" s="17" t="str">
        <f>IF(N156&gt;0,VLOOKUP(C156,极品属性表调整!$A$2:$B$8,2,0),0)</f>
        <v>201</v>
      </c>
      <c r="P156">
        <f t="shared" si="25"/>
        <v>1</v>
      </c>
      <c r="Q156" s="17" t="str">
        <f>IF(P156&gt;0,VLOOKUP(C156,极品属性表调整!$A$9:$B$15,2,0),0)</f>
        <v>301</v>
      </c>
      <c r="R156">
        <f t="shared" si="26"/>
        <v>1</v>
      </c>
      <c r="S156" s="17" t="str">
        <f>IF(R156&gt;0,VLOOKUP(C156,极品属性表调整!$A$16:$B$22,2,0),0)</f>
        <v>401</v>
      </c>
      <c r="T156" s="57" t="str">
        <f>VLOOKUP(--H156,套装调整!$Q$19:$R$24,2,0)</f>
        <v>301,302</v>
      </c>
    </row>
    <row r="157" spans="1:20" x14ac:dyDescent="0.2">
      <c r="A157">
        <f t="shared" si="27"/>
        <v>4</v>
      </c>
      <c r="B157" s="4">
        <v>5</v>
      </c>
      <c r="C157">
        <v>2</v>
      </c>
      <c r="D157">
        <v>2</v>
      </c>
      <c r="E157">
        <v>40302</v>
      </c>
      <c r="F157">
        <f>VLOOKUP(C157,性价比!$T$25:$U$31,2,0)*VLOOKUP(--H157,性价比!$W$3:$Y$8,3,0)</f>
        <v>12</v>
      </c>
      <c r="G157" t="str">
        <f t="shared" si="23"/>
        <v>40302:12</v>
      </c>
      <c r="H157" s="25" t="str">
        <f t="shared" si="22"/>
        <v>52</v>
      </c>
      <c r="I157" s="37">
        <f>VLOOKUP(--H157,相关定价!$A$4:$D$9,4,0)*VLOOKUP(--H157,相关定价!$A$4:$D$9,3,0)</f>
        <v>2700</v>
      </c>
      <c r="J157" s="35">
        <f t="shared" si="21"/>
        <v>13860</v>
      </c>
      <c r="K157" s="35">
        <v>0</v>
      </c>
      <c r="L157" s="35">
        <f t="shared" si="21"/>
        <v>277</v>
      </c>
      <c r="M157" s="35">
        <v>0</v>
      </c>
      <c r="N157">
        <f t="shared" si="24"/>
        <v>1</v>
      </c>
      <c r="O157" s="17" t="str">
        <f>IF(N157&gt;0,VLOOKUP(C157,极品属性表调整!$A$2:$B$8,2,0),0)</f>
        <v>202</v>
      </c>
      <c r="P157">
        <f t="shared" si="25"/>
        <v>1</v>
      </c>
      <c r="Q157" s="17" t="str">
        <f>IF(P157&gt;0,VLOOKUP(C157,极品属性表调整!$A$9:$B$15,2,0),0)</f>
        <v>302</v>
      </c>
      <c r="R157">
        <f t="shared" si="26"/>
        <v>1</v>
      </c>
      <c r="S157" s="17" t="str">
        <f>IF(R157&gt;0,VLOOKUP(C157,极品属性表调整!$A$16:$B$22,2,0),0)</f>
        <v>402</v>
      </c>
      <c r="T157" s="57" t="str">
        <f>VLOOKUP(--H157,套装调整!$Q$19:$R$24,2,0)</f>
        <v>301,302</v>
      </c>
    </row>
    <row r="158" spans="1:20" x14ac:dyDescent="0.2">
      <c r="A158">
        <f t="shared" si="27"/>
        <v>4</v>
      </c>
      <c r="B158" s="4">
        <v>5</v>
      </c>
      <c r="C158">
        <v>3</v>
      </c>
      <c r="D158">
        <v>2</v>
      </c>
      <c r="E158">
        <v>40302</v>
      </c>
      <c r="F158">
        <f>VLOOKUP(C158,性价比!$T$25:$U$31,2,0)*VLOOKUP(--H158,性价比!$W$3:$Y$8,3,0)</f>
        <v>18</v>
      </c>
      <c r="G158" t="str">
        <f t="shared" si="23"/>
        <v>40302:18</v>
      </c>
      <c r="H158" s="25" t="str">
        <f t="shared" si="22"/>
        <v>52</v>
      </c>
      <c r="I158" s="37">
        <f>VLOOKUP(--H158,相关定价!$A$4:$D$9,4,0)*VLOOKUP(--H158,相关定价!$A$4:$D$9,3,0)</f>
        <v>2700</v>
      </c>
      <c r="J158" s="35">
        <f t="shared" si="21"/>
        <v>26611</v>
      </c>
      <c r="K158" s="35">
        <v>0</v>
      </c>
      <c r="L158" s="35">
        <f t="shared" si="21"/>
        <v>529</v>
      </c>
      <c r="M158" s="35">
        <v>0</v>
      </c>
      <c r="N158">
        <f t="shared" si="24"/>
        <v>1</v>
      </c>
      <c r="O158" s="17" t="str">
        <f>IF(N158&gt;0,VLOOKUP(C158,极品属性表调整!$A$2:$B$8,2,0),0)</f>
        <v>203</v>
      </c>
      <c r="P158">
        <f t="shared" si="25"/>
        <v>1</v>
      </c>
      <c r="Q158" s="17" t="str">
        <f>IF(P158&gt;0,VLOOKUP(C158,极品属性表调整!$A$9:$B$15,2,0),0)</f>
        <v>303</v>
      </c>
      <c r="R158">
        <f t="shared" si="26"/>
        <v>1</v>
      </c>
      <c r="S158" s="17" t="str">
        <f>IF(R158&gt;0,VLOOKUP(C158,极品属性表调整!$A$16:$B$22,2,0),0)</f>
        <v>403</v>
      </c>
      <c r="T158" s="57" t="str">
        <f>VLOOKUP(--H158,套装调整!$Q$19:$R$24,2,0)</f>
        <v>301,302</v>
      </c>
    </row>
    <row r="159" spans="1:20" x14ac:dyDescent="0.2">
      <c r="A159">
        <f t="shared" si="27"/>
        <v>4</v>
      </c>
      <c r="B159" s="4">
        <v>5</v>
      </c>
      <c r="C159">
        <v>4</v>
      </c>
      <c r="D159">
        <v>2</v>
      </c>
      <c r="E159">
        <v>40302</v>
      </c>
      <c r="F159">
        <f>VLOOKUP(C159,性价比!$T$25:$U$31,2,0)*VLOOKUP(--H159,性价比!$W$3:$Y$8,3,0)</f>
        <v>24</v>
      </c>
      <c r="G159" t="str">
        <f t="shared" si="23"/>
        <v>40302:24</v>
      </c>
      <c r="H159" s="25" t="str">
        <f t="shared" si="22"/>
        <v>52</v>
      </c>
      <c r="I159" s="37">
        <f>VLOOKUP(--H159,相关定价!$A$4:$D$9,4,0)*VLOOKUP(--H159,相关定价!$A$4:$D$9,3,0)</f>
        <v>2700</v>
      </c>
      <c r="J159" s="35">
        <f t="shared" si="21"/>
        <v>48963</v>
      </c>
      <c r="K159" s="35">
        <v>0</v>
      </c>
      <c r="L159" s="35">
        <f t="shared" si="21"/>
        <v>972</v>
      </c>
      <c r="M159" s="35">
        <v>0</v>
      </c>
      <c r="N159">
        <f t="shared" si="24"/>
        <v>1</v>
      </c>
      <c r="O159" s="17" t="str">
        <f>IF(N159&gt;0,VLOOKUP(C159,极品属性表调整!$A$2:$B$8,2,0),0)</f>
        <v>204</v>
      </c>
      <c r="P159">
        <f t="shared" si="25"/>
        <v>1</v>
      </c>
      <c r="Q159" s="17" t="str">
        <f>IF(P159&gt;0,VLOOKUP(C159,极品属性表调整!$A$9:$B$15,2,0),0)</f>
        <v>304</v>
      </c>
      <c r="R159">
        <f t="shared" si="26"/>
        <v>1</v>
      </c>
      <c r="S159" s="17" t="str">
        <f>IF(R159&gt;0,VLOOKUP(C159,极品属性表调整!$A$16:$B$22,2,0),0)</f>
        <v>404</v>
      </c>
      <c r="T159" s="57" t="str">
        <f>VLOOKUP(--H159,套装调整!$Q$19:$R$24,2,0)</f>
        <v>301,302</v>
      </c>
    </row>
    <row r="160" spans="1:20" x14ac:dyDescent="0.2">
      <c r="A160">
        <f t="shared" si="27"/>
        <v>4</v>
      </c>
      <c r="B160" s="4">
        <v>5</v>
      </c>
      <c r="C160">
        <v>5</v>
      </c>
      <c r="D160">
        <v>2</v>
      </c>
      <c r="E160">
        <v>40302</v>
      </c>
      <c r="F160">
        <f>VLOOKUP(C160,性价比!$T$25:$U$31,2,0)*VLOOKUP(--H160,性价比!$W$3:$Y$8,3,0)</f>
        <v>30</v>
      </c>
      <c r="G160" t="str">
        <f t="shared" si="23"/>
        <v>40302:30</v>
      </c>
      <c r="H160" s="25" t="str">
        <f t="shared" si="22"/>
        <v>52</v>
      </c>
      <c r="I160" s="37">
        <f>VLOOKUP(--H160,相关定价!$A$4:$D$9,4,0)*VLOOKUP(--H160,相关定价!$A$4:$D$9,3,0)</f>
        <v>2700</v>
      </c>
      <c r="J160" s="35">
        <f t="shared" si="21"/>
        <v>88131</v>
      </c>
      <c r="K160" s="35">
        <v>0</v>
      </c>
      <c r="L160" s="35">
        <f t="shared" si="21"/>
        <v>1749</v>
      </c>
      <c r="M160" s="35">
        <v>0</v>
      </c>
      <c r="N160">
        <f t="shared" si="24"/>
        <v>1</v>
      </c>
      <c r="O160" s="17" t="str">
        <f>IF(N160&gt;0,VLOOKUP(C160,极品属性表调整!$A$2:$B$8,2,0),0)</f>
        <v>205</v>
      </c>
      <c r="P160">
        <f t="shared" si="25"/>
        <v>1</v>
      </c>
      <c r="Q160" s="17" t="str">
        <f>IF(P160&gt;0,VLOOKUP(C160,极品属性表调整!$A$9:$B$15,2,0),0)</f>
        <v>305</v>
      </c>
      <c r="R160">
        <f t="shared" si="26"/>
        <v>1</v>
      </c>
      <c r="S160" s="17" t="str">
        <f>IF(R160&gt;0,VLOOKUP(C160,极品属性表调整!$A$16:$B$22,2,0),0)</f>
        <v>405</v>
      </c>
      <c r="T160" s="57" t="str">
        <f>VLOOKUP(--H160,套装调整!$Q$19:$R$24,2,0)</f>
        <v>301,302</v>
      </c>
    </row>
    <row r="161" spans="1:20" x14ac:dyDescent="0.2">
      <c r="A161">
        <f t="shared" si="27"/>
        <v>4</v>
      </c>
      <c r="B161" s="4">
        <v>5</v>
      </c>
      <c r="C161">
        <v>6</v>
      </c>
      <c r="D161">
        <v>2</v>
      </c>
      <c r="E161">
        <v>40302</v>
      </c>
      <c r="F161">
        <f>VLOOKUP(C161,性价比!$T$25:$U$31,2,0)*VLOOKUP(--H161,性价比!$W$3:$Y$8,3,0)</f>
        <v>36</v>
      </c>
      <c r="G161" t="str">
        <f t="shared" si="23"/>
        <v>40302:36</v>
      </c>
      <c r="H161" s="25" t="str">
        <f t="shared" si="22"/>
        <v>52</v>
      </c>
      <c r="I161" s="37">
        <f>VLOOKUP(--H161,相关定价!$A$4:$D$9,4,0)*VLOOKUP(--H161,相关定价!$A$4:$D$9,3,0)</f>
        <v>2700</v>
      </c>
      <c r="J161" s="35">
        <f t="shared" si="21"/>
        <v>157752</v>
      </c>
      <c r="K161" s="35">
        <v>0</v>
      </c>
      <c r="L161" s="35">
        <f t="shared" si="21"/>
        <v>3128</v>
      </c>
      <c r="M161" s="35">
        <v>0</v>
      </c>
      <c r="N161">
        <f t="shared" si="24"/>
        <v>1</v>
      </c>
      <c r="O161" s="17" t="str">
        <f>IF(N161&gt;0,VLOOKUP(C161,极品属性表调整!$A$2:$B$8,2,0),0)</f>
        <v>206</v>
      </c>
      <c r="P161">
        <f t="shared" si="25"/>
        <v>1</v>
      </c>
      <c r="Q161" s="17" t="str">
        <f>IF(P161&gt;0,VLOOKUP(C161,极品属性表调整!$A$9:$B$15,2,0),0)</f>
        <v>306</v>
      </c>
      <c r="R161">
        <f t="shared" si="26"/>
        <v>1</v>
      </c>
      <c r="S161" s="17" t="str">
        <f>IF(R161&gt;0,VLOOKUP(C161,极品属性表调整!$A$16:$B$22,2,0),0)</f>
        <v>406</v>
      </c>
      <c r="T161" s="57" t="str">
        <f>VLOOKUP(--H161,套装调整!$Q$19:$R$24,2,0)</f>
        <v>301,302</v>
      </c>
    </row>
    <row r="162" spans="1:20" x14ac:dyDescent="0.2">
      <c r="A162">
        <f t="shared" si="27"/>
        <v>4</v>
      </c>
      <c r="B162" s="4">
        <v>5</v>
      </c>
      <c r="C162">
        <v>7</v>
      </c>
      <c r="D162">
        <v>2</v>
      </c>
      <c r="E162">
        <v>40302</v>
      </c>
      <c r="F162">
        <f>VLOOKUP(C162,性价比!$T$25:$U$31,2,0)*VLOOKUP(--H162,性价比!$W$3:$Y$8,3,0)</f>
        <v>0</v>
      </c>
      <c r="G162" t="str">
        <f t="shared" si="23"/>
        <v>40302:0</v>
      </c>
      <c r="H162" s="25" t="str">
        <f t="shared" ref="H162:H169" si="28">B162&amp;D162</f>
        <v>52</v>
      </c>
      <c r="I162" s="37">
        <f>VLOOKUP(--H162,相关定价!$A$4:$D$9,4,0)*VLOOKUP(--H162,相关定价!$A$4:$D$9,3,0)</f>
        <v>2700</v>
      </c>
      <c r="J162" s="35">
        <f t="shared" si="21"/>
        <v>280796</v>
      </c>
      <c r="K162" s="35">
        <v>0</v>
      </c>
      <c r="L162" s="35">
        <f t="shared" si="21"/>
        <v>5565</v>
      </c>
      <c r="M162" s="35">
        <v>0</v>
      </c>
      <c r="N162">
        <f t="shared" si="24"/>
        <v>1</v>
      </c>
      <c r="O162" s="17" t="str">
        <f>IF(N162&gt;0,VLOOKUP(C162,极品属性表调整!$A$2:$B$8,2,0),0)</f>
        <v>207</v>
      </c>
      <c r="P162">
        <f t="shared" si="25"/>
        <v>1</v>
      </c>
      <c r="Q162" s="17" t="str">
        <f>IF(P162&gt;0,VLOOKUP(C162,极品属性表调整!$A$9:$B$15,2,0),0)</f>
        <v>307</v>
      </c>
      <c r="R162">
        <f t="shared" si="26"/>
        <v>1</v>
      </c>
      <c r="S162" s="17" t="str">
        <f>IF(R162&gt;0,VLOOKUP(C162,极品属性表调整!$A$16:$B$22,2,0),0)</f>
        <v>407</v>
      </c>
      <c r="T162" s="57" t="str">
        <f>VLOOKUP(--H162,套装调整!$Q$19:$R$24,2,0)</f>
        <v>301,302</v>
      </c>
    </row>
    <row r="163" spans="1:20" x14ac:dyDescent="0.2">
      <c r="A163">
        <f t="shared" si="27"/>
        <v>4</v>
      </c>
      <c r="B163" s="4">
        <v>5</v>
      </c>
      <c r="C163">
        <v>1</v>
      </c>
      <c r="D163">
        <v>3</v>
      </c>
      <c r="E163">
        <v>40302</v>
      </c>
      <c r="F163">
        <f>VLOOKUP(C163,性价比!$T$25:$U$31,2,0)*VLOOKUP(--H163,性价比!$W$3:$Y$8,3,0)</f>
        <v>6</v>
      </c>
      <c r="G163" t="str">
        <f t="shared" si="23"/>
        <v>40302:6</v>
      </c>
      <c r="H163" s="25" t="str">
        <f t="shared" si="28"/>
        <v>53</v>
      </c>
      <c r="I163" s="37">
        <f>VLOOKUP(--H163,相关定价!$A$4:$D$9,4,0)*VLOOKUP(--H163,相关定价!$A$4:$D$9,3,0)</f>
        <v>6750</v>
      </c>
      <c r="J163" s="35">
        <f t="shared" si="21"/>
        <v>7920</v>
      </c>
      <c r="K163" s="35">
        <v>0</v>
      </c>
      <c r="L163" s="35">
        <f t="shared" si="21"/>
        <v>158</v>
      </c>
      <c r="M163" s="35">
        <v>0</v>
      </c>
      <c r="N163">
        <f t="shared" si="24"/>
        <v>0</v>
      </c>
      <c r="O163" s="17">
        <f>IF(N163&gt;0,VLOOKUP(C163,极品属性表调整!$A$2:$B$8,2,0),0)</f>
        <v>0</v>
      </c>
      <c r="P163">
        <f t="shared" si="25"/>
        <v>1</v>
      </c>
      <c r="Q163" s="17" t="str">
        <f>IF(P163&gt;0,VLOOKUP(C163,极品属性表调整!$A$9:$B$15,2,0),0)</f>
        <v>301</v>
      </c>
      <c r="R163">
        <f t="shared" si="26"/>
        <v>2</v>
      </c>
      <c r="S163" s="17" t="str">
        <f>IF(R163&gt;0,VLOOKUP(C163,极品属性表调整!$A$16:$B$22,2,0),0)</f>
        <v>401</v>
      </c>
      <c r="T163" s="57" t="str">
        <f>VLOOKUP(--H163,套装调整!$Q$19:$R$24,2,0)</f>
        <v>401,402</v>
      </c>
    </row>
    <row r="164" spans="1:20" x14ac:dyDescent="0.2">
      <c r="A164">
        <f t="shared" si="27"/>
        <v>4</v>
      </c>
      <c r="B164" s="4">
        <v>5</v>
      </c>
      <c r="C164">
        <v>2</v>
      </c>
      <c r="D164">
        <v>3</v>
      </c>
      <c r="E164">
        <v>40302</v>
      </c>
      <c r="F164">
        <f>VLOOKUP(C164,性价比!$T$25:$U$31,2,0)*VLOOKUP(--H164,性价比!$W$3:$Y$8,3,0)</f>
        <v>12</v>
      </c>
      <c r="G164" t="str">
        <f t="shared" si="23"/>
        <v>40302:12</v>
      </c>
      <c r="H164" s="25" t="str">
        <f t="shared" si="28"/>
        <v>53</v>
      </c>
      <c r="I164" s="37">
        <f>VLOOKUP(--H164,相关定价!$A$4:$D$9,4,0)*VLOOKUP(--H164,相关定价!$A$4:$D$9,3,0)</f>
        <v>6750</v>
      </c>
      <c r="J164" s="35">
        <f t="shared" si="21"/>
        <v>13860</v>
      </c>
      <c r="K164" s="35">
        <v>0</v>
      </c>
      <c r="L164" s="35">
        <f t="shared" si="21"/>
        <v>277</v>
      </c>
      <c r="M164" s="35">
        <v>0</v>
      </c>
      <c r="N164">
        <f t="shared" si="24"/>
        <v>0</v>
      </c>
      <c r="O164" s="17">
        <f>IF(N164&gt;0,VLOOKUP(C164,极品属性表调整!$A$2:$B$8,2,0),0)</f>
        <v>0</v>
      </c>
      <c r="P164">
        <f t="shared" si="25"/>
        <v>1</v>
      </c>
      <c r="Q164" s="17" t="str">
        <f>IF(P164&gt;0,VLOOKUP(C164,极品属性表调整!$A$9:$B$15,2,0),0)</f>
        <v>302</v>
      </c>
      <c r="R164">
        <f t="shared" si="26"/>
        <v>2</v>
      </c>
      <c r="S164" s="17" t="str">
        <f>IF(R164&gt;0,VLOOKUP(C164,极品属性表调整!$A$16:$B$22,2,0),0)</f>
        <v>402</v>
      </c>
      <c r="T164" s="57" t="str">
        <f>VLOOKUP(--H164,套装调整!$Q$19:$R$24,2,0)</f>
        <v>401,402</v>
      </c>
    </row>
    <row r="165" spans="1:20" x14ac:dyDescent="0.2">
      <c r="A165">
        <f t="shared" si="27"/>
        <v>4</v>
      </c>
      <c r="B165" s="4">
        <v>5</v>
      </c>
      <c r="C165">
        <v>3</v>
      </c>
      <c r="D165">
        <v>3</v>
      </c>
      <c r="E165">
        <v>40302</v>
      </c>
      <c r="F165">
        <f>VLOOKUP(C165,性价比!$T$25:$U$31,2,0)*VLOOKUP(--H165,性价比!$W$3:$Y$8,3,0)</f>
        <v>18</v>
      </c>
      <c r="G165" t="str">
        <f t="shared" si="23"/>
        <v>40302:18</v>
      </c>
      <c r="H165" s="25" t="str">
        <f t="shared" si="28"/>
        <v>53</v>
      </c>
      <c r="I165" s="37">
        <f>VLOOKUP(--H165,相关定价!$A$4:$D$9,4,0)*VLOOKUP(--H165,相关定价!$A$4:$D$9,3,0)</f>
        <v>6750</v>
      </c>
      <c r="J165" s="35">
        <f t="shared" si="21"/>
        <v>26611</v>
      </c>
      <c r="K165" s="35">
        <v>0</v>
      </c>
      <c r="L165" s="35">
        <f t="shared" si="21"/>
        <v>529</v>
      </c>
      <c r="M165" s="35">
        <v>0</v>
      </c>
      <c r="N165">
        <f t="shared" si="24"/>
        <v>0</v>
      </c>
      <c r="O165" s="17">
        <f>IF(N165&gt;0,VLOOKUP(C165,极品属性表调整!$A$2:$B$8,2,0),0)</f>
        <v>0</v>
      </c>
      <c r="P165">
        <f t="shared" si="25"/>
        <v>1</v>
      </c>
      <c r="Q165" s="17" t="str">
        <f>IF(P165&gt;0,VLOOKUP(C165,极品属性表调整!$A$9:$B$15,2,0),0)</f>
        <v>303</v>
      </c>
      <c r="R165">
        <f t="shared" si="26"/>
        <v>2</v>
      </c>
      <c r="S165" s="17" t="str">
        <f>IF(R165&gt;0,VLOOKUP(C165,极品属性表调整!$A$16:$B$22,2,0),0)</f>
        <v>403</v>
      </c>
      <c r="T165" s="57" t="str">
        <f>VLOOKUP(--H165,套装调整!$Q$19:$R$24,2,0)</f>
        <v>401,402</v>
      </c>
    </row>
    <row r="166" spans="1:20" x14ac:dyDescent="0.2">
      <c r="A166">
        <f t="shared" si="27"/>
        <v>4</v>
      </c>
      <c r="B166" s="4">
        <v>5</v>
      </c>
      <c r="C166">
        <v>4</v>
      </c>
      <c r="D166">
        <v>3</v>
      </c>
      <c r="E166">
        <v>40302</v>
      </c>
      <c r="F166">
        <f>VLOOKUP(C166,性价比!$T$25:$U$31,2,0)*VLOOKUP(--H166,性价比!$W$3:$Y$8,3,0)</f>
        <v>24</v>
      </c>
      <c r="G166" t="str">
        <f t="shared" si="23"/>
        <v>40302:24</v>
      </c>
      <c r="H166" s="25" t="str">
        <f t="shared" si="28"/>
        <v>53</v>
      </c>
      <c r="I166" s="37">
        <f>VLOOKUP(--H166,相关定价!$A$4:$D$9,4,0)*VLOOKUP(--H166,相关定价!$A$4:$D$9,3,0)</f>
        <v>6750</v>
      </c>
      <c r="J166" s="35">
        <f t="shared" si="21"/>
        <v>48963</v>
      </c>
      <c r="K166" s="35">
        <v>0</v>
      </c>
      <c r="L166" s="35">
        <f t="shared" si="21"/>
        <v>972</v>
      </c>
      <c r="M166" s="35">
        <v>0</v>
      </c>
      <c r="N166">
        <f t="shared" si="24"/>
        <v>0</v>
      </c>
      <c r="O166" s="17">
        <f>IF(N166&gt;0,VLOOKUP(C166,极品属性表调整!$A$2:$B$8,2,0),0)</f>
        <v>0</v>
      </c>
      <c r="P166">
        <f t="shared" si="25"/>
        <v>1</v>
      </c>
      <c r="Q166" s="17" t="str">
        <f>IF(P166&gt;0,VLOOKUP(C166,极品属性表调整!$A$9:$B$15,2,0),0)</f>
        <v>304</v>
      </c>
      <c r="R166">
        <f t="shared" si="26"/>
        <v>2</v>
      </c>
      <c r="S166" s="17" t="str">
        <f>IF(R166&gt;0,VLOOKUP(C166,极品属性表调整!$A$16:$B$22,2,0),0)</f>
        <v>404</v>
      </c>
      <c r="T166" s="57" t="str">
        <f>VLOOKUP(--H166,套装调整!$Q$19:$R$24,2,0)</f>
        <v>401,402</v>
      </c>
    </row>
    <row r="167" spans="1:20" x14ac:dyDescent="0.2">
      <c r="A167">
        <f t="shared" si="27"/>
        <v>4</v>
      </c>
      <c r="B167" s="4">
        <v>5</v>
      </c>
      <c r="C167">
        <v>5</v>
      </c>
      <c r="D167">
        <v>3</v>
      </c>
      <c r="E167">
        <v>40302</v>
      </c>
      <c r="F167">
        <f>VLOOKUP(C167,性价比!$T$25:$U$31,2,0)*VLOOKUP(--H167,性价比!$W$3:$Y$8,3,0)</f>
        <v>30</v>
      </c>
      <c r="G167" t="str">
        <f>E167&amp;":"&amp;F167</f>
        <v>40302:30</v>
      </c>
      <c r="H167" s="25" t="str">
        <f t="shared" si="28"/>
        <v>53</v>
      </c>
      <c r="I167" s="37">
        <f>VLOOKUP(--H167,相关定价!$A$4:$D$9,4,0)*VLOOKUP(--H167,相关定价!$A$4:$D$9,3,0)</f>
        <v>6750</v>
      </c>
      <c r="J167" s="35">
        <f t="shared" si="21"/>
        <v>88131</v>
      </c>
      <c r="K167" s="35">
        <v>0</v>
      </c>
      <c r="L167" s="35">
        <f t="shared" si="21"/>
        <v>1749</v>
      </c>
      <c r="M167" s="35">
        <v>0</v>
      </c>
      <c r="N167">
        <f t="shared" si="24"/>
        <v>0</v>
      </c>
      <c r="O167" s="17">
        <f>IF(N167&gt;0,VLOOKUP(C167,极品属性表调整!$A$2:$B$8,2,0),0)</f>
        <v>0</v>
      </c>
      <c r="P167">
        <f t="shared" si="25"/>
        <v>1</v>
      </c>
      <c r="Q167" s="17" t="str">
        <f>IF(P167&gt;0,VLOOKUP(C167,极品属性表调整!$A$9:$B$15,2,0),0)</f>
        <v>305</v>
      </c>
      <c r="R167">
        <f t="shared" si="26"/>
        <v>2</v>
      </c>
      <c r="S167" s="17" t="str">
        <f>IF(R167&gt;0,VLOOKUP(C167,极品属性表调整!$A$16:$B$22,2,0),0)</f>
        <v>405</v>
      </c>
      <c r="T167" s="57" t="str">
        <f>VLOOKUP(--H167,套装调整!$Q$19:$R$24,2,0)</f>
        <v>401,402</v>
      </c>
    </row>
    <row r="168" spans="1:20" x14ac:dyDescent="0.2">
      <c r="A168">
        <f t="shared" si="27"/>
        <v>4</v>
      </c>
      <c r="B168" s="4">
        <v>5</v>
      </c>
      <c r="C168">
        <v>6</v>
      </c>
      <c r="D168">
        <v>3</v>
      </c>
      <c r="E168">
        <v>40302</v>
      </c>
      <c r="F168">
        <f>VLOOKUP(C168,性价比!$T$25:$U$31,2,0)*VLOOKUP(--H168,性价比!$W$3:$Y$8,3,0)</f>
        <v>36</v>
      </c>
      <c r="G168" t="str">
        <f t="shared" si="23"/>
        <v>40302:36</v>
      </c>
      <c r="H168" s="25" t="str">
        <f t="shared" si="28"/>
        <v>53</v>
      </c>
      <c r="I168" s="37">
        <f>VLOOKUP(--H168,相关定价!$A$4:$D$9,4,0)*VLOOKUP(--H168,相关定价!$A$4:$D$9,3,0)</f>
        <v>6750</v>
      </c>
      <c r="J168" s="35">
        <f t="shared" si="21"/>
        <v>157752</v>
      </c>
      <c r="K168" s="35">
        <v>0</v>
      </c>
      <c r="L168" s="35">
        <f t="shared" si="21"/>
        <v>3128</v>
      </c>
      <c r="M168" s="35">
        <v>0</v>
      </c>
      <c r="N168">
        <f t="shared" si="24"/>
        <v>0</v>
      </c>
      <c r="O168" s="17">
        <f>IF(N168&gt;0,VLOOKUP(C168,极品属性表调整!$A$2:$B$8,2,0),0)</f>
        <v>0</v>
      </c>
      <c r="P168">
        <f t="shared" si="25"/>
        <v>1</v>
      </c>
      <c r="Q168" s="17" t="str">
        <f>IF(P168&gt;0,VLOOKUP(C168,极品属性表调整!$A$9:$B$15,2,0),0)</f>
        <v>306</v>
      </c>
      <c r="R168">
        <f t="shared" si="26"/>
        <v>2</v>
      </c>
      <c r="S168" s="17" t="str">
        <f>IF(R168&gt;0,VLOOKUP(C168,极品属性表调整!$A$16:$B$22,2,0),0)</f>
        <v>406</v>
      </c>
      <c r="T168" s="57" t="str">
        <f>VLOOKUP(--H168,套装调整!$Q$19:$R$24,2,0)</f>
        <v>401,402</v>
      </c>
    </row>
    <row r="169" spans="1:20" x14ac:dyDescent="0.2">
      <c r="A169">
        <f t="shared" si="27"/>
        <v>4</v>
      </c>
      <c r="B169" s="4">
        <v>5</v>
      </c>
      <c r="C169">
        <v>7</v>
      </c>
      <c r="D169">
        <v>3</v>
      </c>
      <c r="E169">
        <v>40302</v>
      </c>
      <c r="F169">
        <f>VLOOKUP(C169,性价比!$T$25:$U$31,2,0)*VLOOKUP(--H169,性价比!$W$3:$Y$8,3,0)</f>
        <v>0</v>
      </c>
      <c r="G169" t="str">
        <f t="shared" si="23"/>
        <v>40302:0</v>
      </c>
      <c r="H169" s="25" t="str">
        <f t="shared" si="28"/>
        <v>53</v>
      </c>
      <c r="I169" s="37">
        <f>VLOOKUP(--H169,相关定价!$A$4:$D$9,4,0)*VLOOKUP(--H169,相关定价!$A$4:$D$9,3,0)</f>
        <v>6750</v>
      </c>
      <c r="J169" s="35">
        <f t="shared" si="21"/>
        <v>280796</v>
      </c>
      <c r="K169" s="35">
        <v>0</v>
      </c>
      <c r="L169" s="35">
        <f t="shared" si="21"/>
        <v>5565</v>
      </c>
      <c r="M169" s="35">
        <v>0</v>
      </c>
      <c r="N169">
        <f t="shared" si="24"/>
        <v>0</v>
      </c>
      <c r="O169" s="17">
        <f>IF(N169&gt;0,VLOOKUP(C169,极品属性表调整!$A$2:$B$8,2,0),0)</f>
        <v>0</v>
      </c>
      <c r="P169">
        <f t="shared" si="25"/>
        <v>1</v>
      </c>
      <c r="Q169" s="17" t="str">
        <f>IF(P169&gt;0,VLOOKUP(C169,极品属性表调整!$A$9:$B$15,2,0),0)</f>
        <v>307</v>
      </c>
      <c r="R169">
        <f t="shared" si="26"/>
        <v>2</v>
      </c>
      <c r="S169" s="17" t="str">
        <f>IF(R169&gt;0,VLOOKUP(C169,极品属性表调整!$A$16:$B$22,2,0),0)</f>
        <v>407</v>
      </c>
      <c r="T169" s="57" t="str">
        <f>VLOOKUP(--H169,套装调整!$Q$19:$R$24,2,0)</f>
        <v>401,402</v>
      </c>
    </row>
    <row r="170" spans="1:20" x14ac:dyDescent="0.2">
      <c r="N170"/>
    </row>
    <row r="171" spans="1:20" x14ac:dyDescent="0.2">
      <c r="N171"/>
    </row>
    <row r="172" spans="1:20" x14ac:dyDescent="0.2">
      <c r="N172"/>
    </row>
    <row r="173" spans="1:20" x14ac:dyDescent="0.2">
      <c r="N173"/>
    </row>
    <row r="174" spans="1:20" x14ac:dyDescent="0.2">
      <c r="N174"/>
    </row>
    <row r="175" spans="1:20" x14ac:dyDescent="0.2">
      <c r="N175"/>
    </row>
    <row r="176" spans="1:20" x14ac:dyDescent="0.2">
      <c r="N176"/>
    </row>
    <row r="177" spans="14:14" x14ac:dyDescent="0.2">
      <c r="N177"/>
    </row>
    <row r="178" spans="14:14" x14ac:dyDescent="0.2">
      <c r="N17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5C02-2A61-49BD-86F8-72035CA63897}">
  <dimension ref="A1:O48"/>
  <sheetViews>
    <sheetView workbookViewId="0">
      <selection activeCell="K24" sqref="K24"/>
    </sheetView>
  </sheetViews>
  <sheetFormatPr defaultRowHeight="14.25" x14ac:dyDescent="0.2"/>
  <cols>
    <col min="1" max="1" width="12" customWidth="1"/>
    <col min="11" max="11" width="11.5" customWidth="1"/>
    <col min="12" max="12" width="9.5" bestFit="1" customWidth="1"/>
    <col min="13" max="13" width="9.5" customWidth="1"/>
  </cols>
  <sheetData>
    <row r="1" spans="1:15" s="13" customFormat="1" x14ac:dyDescent="0.2">
      <c r="A1" s="13" t="s">
        <v>62</v>
      </c>
    </row>
    <row r="2" spans="1:15" x14ac:dyDescent="0.2">
      <c r="A2" s="5"/>
      <c r="C2" s="5">
        <v>1</v>
      </c>
      <c r="D2" s="5">
        <v>2</v>
      </c>
      <c r="E2" s="5">
        <v>3.6</v>
      </c>
      <c r="F2" s="5"/>
      <c r="G2" s="5"/>
      <c r="H2" s="5"/>
    </row>
    <row r="3" spans="1:15" x14ac:dyDescent="0.2">
      <c r="C3" s="1" t="s">
        <v>12</v>
      </c>
      <c r="D3" s="15" t="s">
        <v>102</v>
      </c>
      <c r="E3" s="1" t="s">
        <v>25</v>
      </c>
      <c r="F3" s="15" t="s">
        <v>103</v>
      </c>
      <c r="G3" s="1" t="s">
        <v>104</v>
      </c>
      <c r="H3" s="15" t="s">
        <v>105</v>
      </c>
      <c r="I3" s="1" t="s">
        <v>106</v>
      </c>
      <c r="J3" s="15" t="s">
        <v>107</v>
      </c>
      <c r="K3" s="1" t="s">
        <v>251</v>
      </c>
      <c r="N3" s="1"/>
      <c r="O3" s="15"/>
    </row>
    <row r="4" spans="1:15" x14ac:dyDescent="0.2">
      <c r="A4" s="11">
        <v>2</v>
      </c>
      <c r="B4">
        <v>21</v>
      </c>
      <c r="C4" s="1">
        <v>2200</v>
      </c>
      <c r="D4" s="15">
        <v>0</v>
      </c>
      <c r="E4" s="1">
        <v>44</v>
      </c>
      <c r="F4" s="15">
        <v>0</v>
      </c>
      <c r="G4">
        <f>INT(C4/20)</f>
        <v>110</v>
      </c>
      <c r="H4" s="15">
        <v>0</v>
      </c>
      <c r="I4">
        <f>E4</f>
        <v>44</v>
      </c>
      <c r="J4">
        <f>F4</f>
        <v>0</v>
      </c>
      <c r="K4">
        <f>(G4+I4)*10</f>
        <v>1540</v>
      </c>
    </row>
    <row r="5" spans="1:15" x14ac:dyDescent="0.2">
      <c r="A5" s="11">
        <v>2</v>
      </c>
      <c r="B5">
        <v>22</v>
      </c>
      <c r="C5" s="1">
        <f t="shared" ref="C5:C10" si="0">INT(C4*(1+L5))</f>
        <v>3850</v>
      </c>
      <c r="D5" s="15">
        <f t="shared" ref="D5:D10" si="1">C5-C4</f>
        <v>1650</v>
      </c>
      <c r="E5" s="1">
        <f t="shared" ref="E5:E10" si="2">INT(E4*(1+L5))</f>
        <v>77</v>
      </c>
      <c r="F5" s="15">
        <f t="shared" ref="F5:F10" si="3">E5-E4</f>
        <v>33</v>
      </c>
      <c r="G5">
        <f t="shared" ref="G5:G10" si="4">INT(C5/20)</f>
        <v>192</v>
      </c>
      <c r="H5" s="15">
        <v>0</v>
      </c>
      <c r="I5">
        <f t="shared" ref="I5:I17" si="5">E5</f>
        <v>77</v>
      </c>
      <c r="J5">
        <f t="shared" ref="J5:J23" si="6">F5</f>
        <v>33</v>
      </c>
      <c r="K5">
        <f t="shared" ref="K5:K24" si="7">(G5+I5)*10</f>
        <v>2690</v>
      </c>
      <c r="L5" s="5">
        <v>0.75</v>
      </c>
    </row>
    <row r="6" spans="1:15" x14ac:dyDescent="0.2">
      <c r="A6" s="11">
        <v>2</v>
      </c>
      <c r="B6">
        <v>23</v>
      </c>
      <c r="C6" s="1">
        <f t="shared" si="0"/>
        <v>7392</v>
      </c>
      <c r="D6" s="15">
        <f t="shared" si="1"/>
        <v>3542</v>
      </c>
      <c r="E6" s="1">
        <f t="shared" si="2"/>
        <v>147</v>
      </c>
      <c r="F6" s="15">
        <f t="shared" si="3"/>
        <v>70</v>
      </c>
      <c r="G6">
        <f t="shared" si="4"/>
        <v>369</v>
      </c>
      <c r="H6" s="15">
        <v>0</v>
      </c>
      <c r="I6">
        <f t="shared" si="5"/>
        <v>147</v>
      </c>
      <c r="J6">
        <f t="shared" si="6"/>
        <v>70</v>
      </c>
      <c r="K6">
        <f t="shared" si="7"/>
        <v>5160</v>
      </c>
      <c r="L6" s="5">
        <v>0.92</v>
      </c>
    </row>
    <row r="7" spans="1:15" x14ac:dyDescent="0.2">
      <c r="A7" s="11">
        <v>2</v>
      </c>
      <c r="B7">
        <v>24</v>
      </c>
      <c r="C7" s="1">
        <f t="shared" si="0"/>
        <v>13601</v>
      </c>
      <c r="D7" s="15">
        <f t="shared" si="1"/>
        <v>6209</v>
      </c>
      <c r="E7" s="1">
        <f t="shared" si="2"/>
        <v>270</v>
      </c>
      <c r="F7" s="15">
        <f t="shared" si="3"/>
        <v>123</v>
      </c>
      <c r="G7">
        <f t="shared" si="4"/>
        <v>680</v>
      </c>
      <c r="H7" s="15">
        <v>0</v>
      </c>
      <c r="I7">
        <f t="shared" si="5"/>
        <v>270</v>
      </c>
      <c r="J7">
        <f t="shared" si="6"/>
        <v>123</v>
      </c>
      <c r="K7">
        <f t="shared" si="7"/>
        <v>9500</v>
      </c>
      <c r="L7" s="5">
        <v>0.84</v>
      </c>
    </row>
    <row r="8" spans="1:15" x14ac:dyDescent="0.2">
      <c r="A8" s="11">
        <v>2</v>
      </c>
      <c r="B8">
        <v>25</v>
      </c>
      <c r="C8" s="1">
        <f t="shared" si="0"/>
        <v>24481</v>
      </c>
      <c r="D8" s="15">
        <f t="shared" si="1"/>
        <v>10880</v>
      </c>
      <c r="E8" s="1">
        <f t="shared" si="2"/>
        <v>486</v>
      </c>
      <c r="F8" s="15">
        <f t="shared" si="3"/>
        <v>216</v>
      </c>
      <c r="G8">
        <f t="shared" si="4"/>
        <v>1224</v>
      </c>
      <c r="H8" s="15">
        <v>0</v>
      </c>
      <c r="I8">
        <f t="shared" si="5"/>
        <v>486</v>
      </c>
      <c r="J8">
        <f t="shared" si="6"/>
        <v>216</v>
      </c>
      <c r="K8">
        <f t="shared" si="7"/>
        <v>17100</v>
      </c>
      <c r="L8" s="5">
        <v>0.8</v>
      </c>
    </row>
    <row r="9" spans="1:15" x14ac:dyDescent="0.2">
      <c r="A9" s="11">
        <v>2</v>
      </c>
      <c r="B9">
        <v>26</v>
      </c>
      <c r="C9" s="1">
        <f t="shared" si="0"/>
        <v>43820</v>
      </c>
      <c r="D9" s="15">
        <f t="shared" si="1"/>
        <v>19339</v>
      </c>
      <c r="E9" s="1">
        <f t="shared" si="2"/>
        <v>869</v>
      </c>
      <c r="F9" s="15">
        <f t="shared" si="3"/>
        <v>383</v>
      </c>
      <c r="G9">
        <f t="shared" si="4"/>
        <v>2191</v>
      </c>
      <c r="H9" s="15">
        <v>0</v>
      </c>
      <c r="I9">
        <f t="shared" si="5"/>
        <v>869</v>
      </c>
      <c r="J9">
        <f t="shared" si="6"/>
        <v>383</v>
      </c>
      <c r="K9">
        <f t="shared" si="7"/>
        <v>30600</v>
      </c>
      <c r="L9" s="5">
        <v>0.79</v>
      </c>
    </row>
    <row r="10" spans="1:15" x14ac:dyDescent="0.2">
      <c r="A10" s="11">
        <v>2</v>
      </c>
      <c r="B10">
        <v>27</v>
      </c>
      <c r="C10" s="1">
        <f t="shared" si="0"/>
        <v>77999</v>
      </c>
      <c r="D10" s="15">
        <f t="shared" si="1"/>
        <v>34179</v>
      </c>
      <c r="E10" s="1">
        <f t="shared" si="2"/>
        <v>1546</v>
      </c>
      <c r="F10" s="15">
        <f t="shared" si="3"/>
        <v>677</v>
      </c>
      <c r="G10">
        <f t="shared" si="4"/>
        <v>3899</v>
      </c>
      <c r="H10" s="15">
        <v>0</v>
      </c>
      <c r="I10">
        <f t="shared" si="5"/>
        <v>1546</v>
      </c>
      <c r="J10">
        <f t="shared" ref="J10" si="8">F10</f>
        <v>677</v>
      </c>
      <c r="K10">
        <f t="shared" si="7"/>
        <v>54450</v>
      </c>
      <c r="L10" s="5">
        <v>0.78</v>
      </c>
    </row>
    <row r="11" spans="1:15" x14ac:dyDescent="0.2">
      <c r="A11" s="12">
        <v>4</v>
      </c>
      <c r="B11">
        <v>41</v>
      </c>
      <c r="C11">
        <f>INT(C4*$D$2)</f>
        <v>4400</v>
      </c>
      <c r="D11" s="15">
        <v>0</v>
      </c>
      <c r="E11">
        <f>INT(E4*$D$2)</f>
        <v>88</v>
      </c>
      <c r="F11" s="15">
        <v>0</v>
      </c>
      <c r="G11">
        <f t="shared" ref="G11:G24" si="9">INT(C11/20)</f>
        <v>220</v>
      </c>
      <c r="H11">
        <v>0</v>
      </c>
      <c r="I11">
        <f t="shared" si="5"/>
        <v>88</v>
      </c>
      <c r="J11">
        <f t="shared" si="6"/>
        <v>0</v>
      </c>
      <c r="K11">
        <f t="shared" si="7"/>
        <v>3080</v>
      </c>
    </row>
    <row r="12" spans="1:15" x14ac:dyDescent="0.2">
      <c r="A12" s="12">
        <v>4</v>
      </c>
      <c r="B12">
        <v>42</v>
      </c>
      <c r="C12">
        <f t="shared" ref="C12:C17" si="10">INT(C5*$D$2)</f>
        <v>7700</v>
      </c>
      <c r="D12" s="15">
        <f t="shared" ref="D12:D17" si="11">C12-C11</f>
        <v>3300</v>
      </c>
      <c r="E12">
        <f t="shared" ref="E12:E17" si="12">INT(E5*$D$2)</f>
        <v>154</v>
      </c>
      <c r="F12" s="15">
        <f t="shared" ref="F12:F17" si="13">E12-E11</f>
        <v>66</v>
      </c>
      <c r="G12">
        <f t="shared" si="9"/>
        <v>385</v>
      </c>
      <c r="H12">
        <f>G12-G11</f>
        <v>165</v>
      </c>
      <c r="I12">
        <f t="shared" si="5"/>
        <v>154</v>
      </c>
      <c r="J12">
        <f t="shared" si="6"/>
        <v>66</v>
      </c>
      <c r="K12">
        <f t="shared" si="7"/>
        <v>5390</v>
      </c>
      <c r="L12" s="5"/>
    </row>
    <row r="13" spans="1:15" x14ac:dyDescent="0.2">
      <c r="A13" s="12">
        <v>4</v>
      </c>
      <c r="B13">
        <v>43</v>
      </c>
      <c r="C13">
        <f t="shared" si="10"/>
        <v>14784</v>
      </c>
      <c r="D13" s="15">
        <f t="shared" si="11"/>
        <v>7084</v>
      </c>
      <c r="E13">
        <f t="shared" si="12"/>
        <v>294</v>
      </c>
      <c r="F13" s="15">
        <f t="shared" si="13"/>
        <v>140</v>
      </c>
      <c r="G13">
        <f t="shared" si="9"/>
        <v>739</v>
      </c>
      <c r="H13">
        <f t="shared" ref="H13:H17" si="14">G13-G12</f>
        <v>354</v>
      </c>
      <c r="I13">
        <f t="shared" si="5"/>
        <v>294</v>
      </c>
      <c r="J13">
        <f t="shared" si="6"/>
        <v>140</v>
      </c>
      <c r="K13">
        <f t="shared" si="7"/>
        <v>10330</v>
      </c>
      <c r="L13" s="5"/>
    </row>
    <row r="14" spans="1:15" x14ac:dyDescent="0.2">
      <c r="A14" s="12">
        <v>4</v>
      </c>
      <c r="B14">
        <v>44</v>
      </c>
      <c r="C14">
        <f t="shared" si="10"/>
        <v>27202</v>
      </c>
      <c r="D14" s="15">
        <f t="shared" si="11"/>
        <v>12418</v>
      </c>
      <c r="E14">
        <f t="shared" si="12"/>
        <v>540</v>
      </c>
      <c r="F14" s="15">
        <f t="shared" si="13"/>
        <v>246</v>
      </c>
      <c r="G14">
        <f t="shared" si="9"/>
        <v>1360</v>
      </c>
      <c r="H14">
        <f t="shared" si="14"/>
        <v>621</v>
      </c>
      <c r="I14">
        <f t="shared" si="5"/>
        <v>540</v>
      </c>
      <c r="J14">
        <f t="shared" si="6"/>
        <v>246</v>
      </c>
      <c r="K14">
        <f t="shared" si="7"/>
        <v>19000</v>
      </c>
      <c r="L14" s="5"/>
    </row>
    <row r="15" spans="1:15" x14ac:dyDescent="0.2">
      <c r="A15" s="12">
        <v>4</v>
      </c>
      <c r="B15">
        <v>45</v>
      </c>
      <c r="C15">
        <f t="shared" si="10"/>
        <v>48962</v>
      </c>
      <c r="D15" s="15">
        <f t="shared" si="11"/>
        <v>21760</v>
      </c>
      <c r="E15">
        <f t="shared" si="12"/>
        <v>972</v>
      </c>
      <c r="F15" s="15">
        <f t="shared" si="13"/>
        <v>432</v>
      </c>
      <c r="G15">
        <f t="shared" si="9"/>
        <v>2448</v>
      </c>
      <c r="H15">
        <f t="shared" si="14"/>
        <v>1088</v>
      </c>
      <c r="I15">
        <f t="shared" si="5"/>
        <v>972</v>
      </c>
      <c r="J15">
        <f t="shared" si="6"/>
        <v>432</v>
      </c>
      <c r="K15">
        <f t="shared" si="7"/>
        <v>34200</v>
      </c>
      <c r="L15" s="5"/>
    </row>
    <row r="16" spans="1:15" x14ac:dyDescent="0.2">
      <c r="A16" s="12">
        <v>4</v>
      </c>
      <c r="B16">
        <v>46</v>
      </c>
      <c r="C16">
        <f t="shared" si="10"/>
        <v>87640</v>
      </c>
      <c r="D16" s="15">
        <f t="shared" si="11"/>
        <v>38678</v>
      </c>
      <c r="E16">
        <f t="shared" si="12"/>
        <v>1738</v>
      </c>
      <c r="F16" s="15">
        <f t="shared" si="13"/>
        <v>766</v>
      </c>
      <c r="G16">
        <f t="shared" si="9"/>
        <v>4382</v>
      </c>
      <c r="H16">
        <f t="shared" si="14"/>
        <v>1934</v>
      </c>
      <c r="I16">
        <f t="shared" si="5"/>
        <v>1738</v>
      </c>
      <c r="J16">
        <f t="shared" si="6"/>
        <v>766</v>
      </c>
      <c r="K16">
        <f t="shared" si="7"/>
        <v>61200</v>
      </c>
      <c r="L16" s="5"/>
    </row>
    <row r="17" spans="1:13" x14ac:dyDescent="0.2">
      <c r="A17" s="12">
        <v>4</v>
      </c>
      <c r="B17">
        <v>47</v>
      </c>
      <c r="C17">
        <f t="shared" si="10"/>
        <v>155998</v>
      </c>
      <c r="D17" s="15">
        <f t="shared" si="11"/>
        <v>68358</v>
      </c>
      <c r="E17">
        <f t="shared" si="12"/>
        <v>3092</v>
      </c>
      <c r="F17" s="15">
        <f t="shared" si="13"/>
        <v>1354</v>
      </c>
      <c r="G17">
        <f t="shared" si="9"/>
        <v>7799</v>
      </c>
      <c r="H17">
        <f t="shared" si="14"/>
        <v>3417</v>
      </c>
      <c r="I17">
        <f t="shared" si="5"/>
        <v>3092</v>
      </c>
      <c r="J17">
        <f t="shared" ref="J17" si="15">F17</f>
        <v>1354</v>
      </c>
      <c r="K17">
        <f t="shared" si="7"/>
        <v>108910</v>
      </c>
      <c r="L17" s="5"/>
    </row>
    <row r="18" spans="1:13" x14ac:dyDescent="0.2">
      <c r="A18" s="4">
        <v>5</v>
      </c>
      <c r="B18">
        <v>51</v>
      </c>
      <c r="C18">
        <f>INT(C4*$E$2)</f>
        <v>7920</v>
      </c>
      <c r="D18" s="15">
        <v>0</v>
      </c>
      <c r="E18">
        <f>INT(E4*$E$2)</f>
        <v>158</v>
      </c>
      <c r="F18" s="15">
        <v>0</v>
      </c>
      <c r="G18">
        <f t="shared" si="9"/>
        <v>396</v>
      </c>
      <c r="H18">
        <v>0</v>
      </c>
      <c r="I18">
        <f t="shared" ref="I18:I24" si="16">E18</f>
        <v>158</v>
      </c>
      <c r="J18">
        <f t="shared" si="6"/>
        <v>0</v>
      </c>
      <c r="K18">
        <f t="shared" si="7"/>
        <v>5540</v>
      </c>
      <c r="L18" s="1"/>
    </row>
    <row r="19" spans="1:13" x14ac:dyDescent="0.2">
      <c r="A19" s="4">
        <v>5</v>
      </c>
      <c r="B19">
        <v>52</v>
      </c>
      <c r="C19">
        <f t="shared" ref="C19:C24" si="17">INT(C5*$E$2)</f>
        <v>13860</v>
      </c>
      <c r="D19" s="15">
        <f t="shared" ref="D19:D24" si="18">C19-C18</f>
        <v>5940</v>
      </c>
      <c r="E19">
        <f t="shared" ref="E19:E24" si="19">INT(E5*$E$2)</f>
        <v>277</v>
      </c>
      <c r="F19" s="15">
        <f t="shared" ref="F19:F24" si="20">E19-E18</f>
        <v>119</v>
      </c>
      <c r="G19">
        <f t="shared" si="9"/>
        <v>693</v>
      </c>
      <c r="H19">
        <f t="shared" ref="H19:H24" si="21">G19-G18</f>
        <v>297</v>
      </c>
      <c r="I19">
        <f t="shared" si="16"/>
        <v>277</v>
      </c>
      <c r="J19">
        <f t="shared" si="6"/>
        <v>119</v>
      </c>
      <c r="K19">
        <f t="shared" si="7"/>
        <v>9700</v>
      </c>
      <c r="L19" s="5"/>
    </row>
    <row r="20" spans="1:13" x14ac:dyDescent="0.2">
      <c r="A20" s="4">
        <v>5</v>
      </c>
      <c r="B20">
        <v>53</v>
      </c>
      <c r="C20">
        <f t="shared" si="17"/>
        <v>26611</v>
      </c>
      <c r="D20" s="15">
        <f t="shared" si="18"/>
        <v>12751</v>
      </c>
      <c r="E20">
        <f t="shared" si="19"/>
        <v>529</v>
      </c>
      <c r="F20" s="15">
        <f t="shared" si="20"/>
        <v>252</v>
      </c>
      <c r="G20">
        <f t="shared" si="9"/>
        <v>1330</v>
      </c>
      <c r="H20">
        <f t="shared" si="21"/>
        <v>637</v>
      </c>
      <c r="I20">
        <f t="shared" si="16"/>
        <v>529</v>
      </c>
      <c r="J20">
        <f t="shared" si="6"/>
        <v>252</v>
      </c>
      <c r="K20">
        <f t="shared" si="7"/>
        <v>18590</v>
      </c>
      <c r="L20" s="5"/>
    </row>
    <row r="21" spans="1:13" x14ac:dyDescent="0.2">
      <c r="A21" s="4">
        <v>5</v>
      </c>
      <c r="B21">
        <v>54</v>
      </c>
      <c r="C21">
        <f t="shared" si="17"/>
        <v>48963</v>
      </c>
      <c r="D21" s="15">
        <f t="shared" si="18"/>
        <v>22352</v>
      </c>
      <c r="E21">
        <f t="shared" si="19"/>
        <v>972</v>
      </c>
      <c r="F21" s="15">
        <f t="shared" si="20"/>
        <v>443</v>
      </c>
      <c r="G21">
        <f t="shared" si="9"/>
        <v>2448</v>
      </c>
      <c r="H21">
        <f t="shared" si="21"/>
        <v>1118</v>
      </c>
      <c r="I21">
        <f t="shared" si="16"/>
        <v>972</v>
      </c>
      <c r="J21">
        <f t="shared" si="6"/>
        <v>443</v>
      </c>
      <c r="K21">
        <f t="shared" si="7"/>
        <v>34200</v>
      </c>
      <c r="L21" s="5"/>
    </row>
    <row r="22" spans="1:13" x14ac:dyDescent="0.2">
      <c r="A22" s="4">
        <v>5</v>
      </c>
      <c r="B22">
        <v>55</v>
      </c>
      <c r="C22">
        <f t="shared" si="17"/>
        <v>88131</v>
      </c>
      <c r="D22" s="15">
        <f t="shared" si="18"/>
        <v>39168</v>
      </c>
      <c r="E22">
        <f t="shared" si="19"/>
        <v>1749</v>
      </c>
      <c r="F22" s="15">
        <f t="shared" si="20"/>
        <v>777</v>
      </c>
      <c r="G22">
        <f t="shared" si="9"/>
        <v>4406</v>
      </c>
      <c r="H22">
        <f t="shared" si="21"/>
        <v>1958</v>
      </c>
      <c r="I22">
        <f t="shared" si="16"/>
        <v>1749</v>
      </c>
      <c r="J22">
        <f t="shared" si="6"/>
        <v>777</v>
      </c>
      <c r="K22">
        <f t="shared" si="7"/>
        <v>61550</v>
      </c>
      <c r="L22" s="5"/>
    </row>
    <row r="23" spans="1:13" x14ac:dyDescent="0.2">
      <c r="A23" s="4">
        <v>5</v>
      </c>
      <c r="B23">
        <v>56</v>
      </c>
      <c r="C23">
        <f t="shared" si="17"/>
        <v>157752</v>
      </c>
      <c r="D23" s="15">
        <f t="shared" si="18"/>
        <v>69621</v>
      </c>
      <c r="E23">
        <f t="shared" si="19"/>
        <v>3128</v>
      </c>
      <c r="F23" s="15">
        <f t="shared" si="20"/>
        <v>1379</v>
      </c>
      <c r="G23">
        <f t="shared" si="9"/>
        <v>7887</v>
      </c>
      <c r="H23">
        <f t="shared" si="21"/>
        <v>3481</v>
      </c>
      <c r="I23">
        <f t="shared" si="16"/>
        <v>3128</v>
      </c>
      <c r="J23">
        <f t="shared" si="6"/>
        <v>1379</v>
      </c>
      <c r="K23">
        <f t="shared" si="7"/>
        <v>110150</v>
      </c>
      <c r="L23" s="5"/>
    </row>
    <row r="24" spans="1:13" x14ac:dyDescent="0.2">
      <c r="A24" s="4">
        <v>5</v>
      </c>
      <c r="B24">
        <v>57</v>
      </c>
      <c r="C24">
        <f t="shared" si="17"/>
        <v>280796</v>
      </c>
      <c r="D24" s="15">
        <f t="shared" si="18"/>
        <v>123044</v>
      </c>
      <c r="E24">
        <f t="shared" si="19"/>
        <v>5565</v>
      </c>
      <c r="F24" s="15">
        <f t="shared" si="20"/>
        <v>2437</v>
      </c>
      <c r="G24">
        <f t="shared" si="9"/>
        <v>14039</v>
      </c>
      <c r="H24">
        <f t="shared" si="21"/>
        <v>6152</v>
      </c>
      <c r="I24">
        <f t="shared" si="16"/>
        <v>5565</v>
      </c>
      <c r="J24">
        <f t="shared" ref="J24" si="22">F24</f>
        <v>2437</v>
      </c>
      <c r="K24">
        <f t="shared" si="7"/>
        <v>196040</v>
      </c>
      <c r="L24" s="5"/>
    </row>
    <row r="26" spans="1:13" s="12" customFormat="1" x14ac:dyDescent="0.2">
      <c r="A26" s="14" t="s">
        <v>63</v>
      </c>
    </row>
    <row r="27" spans="1:13" x14ac:dyDescent="0.2">
      <c r="A27" s="5"/>
      <c r="B27" s="5"/>
      <c r="C27" s="5" t="s">
        <v>69</v>
      </c>
      <c r="D27" s="5" t="s">
        <v>70</v>
      </c>
      <c r="E27" s="5" t="s">
        <v>199</v>
      </c>
      <c r="F27" s="5">
        <v>1.2</v>
      </c>
    </row>
    <row r="28" spans="1:13" s="16" customFormat="1" x14ac:dyDescent="0.2">
      <c r="A28" s="16" t="s">
        <v>34</v>
      </c>
      <c r="B28" s="16">
        <v>1</v>
      </c>
      <c r="C28" s="1">
        <f>G28*10</f>
        <v>850</v>
      </c>
      <c r="D28" s="1">
        <f>C28*$F$27</f>
        <v>1020</v>
      </c>
      <c r="E28" s="8">
        <f>(C28+D28)/2</f>
        <v>935</v>
      </c>
      <c r="F28" s="34"/>
      <c r="G28" s="16">
        <v>85</v>
      </c>
    </row>
    <row r="29" spans="1:13" x14ac:dyDescent="0.2">
      <c r="A29" s="1" t="s">
        <v>34</v>
      </c>
      <c r="B29">
        <v>2</v>
      </c>
      <c r="C29" s="1">
        <f t="shared" ref="C29:C48" si="23">G29*10</f>
        <v>950</v>
      </c>
      <c r="D29" s="1">
        <f t="shared" ref="D29:D48" si="24">C29*$F$27</f>
        <v>1140</v>
      </c>
      <c r="E29" s="8">
        <f t="shared" ref="E29:E48" si="25">(C29+D29)/2</f>
        <v>1045</v>
      </c>
      <c r="F29" s="5"/>
      <c r="G29">
        <f>G28+H29</f>
        <v>95</v>
      </c>
      <c r="H29">
        <v>10</v>
      </c>
    </row>
    <row r="30" spans="1:13" x14ac:dyDescent="0.2">
      <c r="A30" s="1" t="s">
        <v>34</v>
      </c>
      <c r="B30">
        <v>3</v>
      </c>
      <c r="C30" s="1">
        <f t="shared" si="23"/>
        <v>1050</v>
      </c>
      <c r="D30" s="1">
        <f t="shared" si="24"/>
        <v>1260</v>
      </c>
      <c r="E30" s="8">
        <f t="shared" si="25"/>
        <v>1155</v>
      </c>
      <c r="F30" s="5"/>
      <c r="G30">
        <f t="shared" ref="G30:G34" si="26">G29+H30</f>
        <v>105</v>
      </c>
      <c r="H30">
        <v>10</v>
      </c>
      <c r="I30" s="5"/>
      <c r="J30" s="5"/>
      <c r="K30" s="5"/>
    </row>
    <row r="31" spans="1:13" x14ac:dyDescent="0.2">
      <c r="A31" s="1" t="s">
        <v>34</v>
      </c>
      <c r="B31">
        <v>4</v>
      </c>
      <c r="C31" s="1">
        <f t="shared" si="23"/>
        <v>1150</v>
      </c>
      <c r="D31" s="1">
        <f t="shared" si="24"/>
        <v>1380</v>
      </c>
      <c r="E31" s="8">
        <f t="shared" si="25"/>
        <v>1265</v>
      </c>
      <c r="F31" s="5"/>
      <c r="G31">
        <f t="shared" si="26"/>
        <v>115</v>
      </c>
      <c r="H31">
        <v>10</v>
      </c>
      <c r="I31" s="1"/>
      <c r="J31" s="15"/>
      <c r="K31" s="1"/>
      <c r="L31" s="1"/>
      <c r="M31" s="15"/>
    </row>
    <row r="32" spans="1:13" s="5" customFormat="1" x14ac:dyDescent="0.2">
      <c r="A32" s="5" t="s">
        <v>34</v>
      </c>
      <c r="B32" s="5">
        <v>5</v>
      </c>
      <c r="C32" s="1">
        <f t="shared" si="23"/>
        <v>1250</v>
      </c>
      <c r="D32" s="1">
        <f t="shared" si="24"/>
        <v>1500</v>
      </c>
      <c r="E32" s="8">
        <f t="shared" si="25"/>
        <v>1375</v>
      </c>
      <c r="F32" s="34">
        <v>125</v>
      </c>
      <c r="G32">
        <f>G31+H32</f>
        <v>125</v>
      </c>
      <c r="H32">
        <v>10</v>
      </c>
    </row>
    <row r="33" spans="1:14" x14ac:dyDescent="0.2">
      <c r="A33" s="1" t="s">
        <v>34</v>
      </c>
      <c r="B33">
        <v>6</v>
      </c>
      <c r="C33" s="1">
        <f t="shared" si="23"/>
        <v>1350</v>
      </c>
      <c r="D33" s="1">
        <f t="shared" si="24"/>
        <v>1620</v>
      </c>
      <c r="E33" s="8">
        <f t="shared" si="25"/>
        <v>1485</v>
      </c>
      <c r="G33">
        <f t="shared" si="26"/>
        <v>135</v>
      </c>
      <c r="H33">
        <v>10</v>
      </c>
      <c r="N33" s="1"/>
    </row>
    <row r="34" spans="1:14" x14ac:dyDescent="0.2">
      <c r="A34" s="1" t="s">
        <v>175</v>
      </c>
      <c r="B34">
        <v>7</v>
      </c>
      <c r="C34" s="1">
        <f t="shared" si="23"/>
        <v>1450</v>
      </c>
      <c r="D34" s="1">
        <f t="shared" si="24"/>
        <v>1740</v>
      </c>
      <c r="E34" s="8">
        <f t="shared" si="25"/>
        <v>1595</v>
      </c>
      <c r="G34">
        <f t="shared" si="26"/>
        <v>145</v>
      </c>
      <c r="H34">
        <v>10</v>
      </c>
    </row>
    <row r="35" spans="1:14" s="39" customFormat="1" x14ac:dyDescent="0.2">
      <c r="A35" s="39" t="s">
        <v>67</v>
      </c>
      <c r="B35" s="39">
        <v>1</v>
      </c>
      <c r="C35" s="3">
        <f t="shared" si="23"/>
        <v>1450</v>
      </c>
      <c r="D35" s="3">
        <f t="shared" si="24"/>
        <v>1740</v>
      </c>
      <c r="E35" s="39">
        <f t="shared" si="25"/>
        <v>1595</v>
      </c>
      <c r="G35" s="39">
        <v>145</v>
      </c>
      <c r="I35" s="4"/>
      <c r="J35" s="4"/>
      <c r="K35" s="4"/>
      <c r="L35" s="4"/>
      <c r="M35" s="4"/>
    </row>
    <row r="36" spans="1:14" x14ac:dyDescent="0.2">
      <c r="A36" s="1" t="s">
        <v>67</v>
      </c>
      <c r="B36">
        <v>2</v>
      </c>
      <c r="C36" s="1">
        <f t="shared" si="23"/>
        <v>2650</v>
      </c>
      <c r="D36" s="1">
        <f t="shared" si="24"/>
        <v>3180</v>
      </c>
      <c r="E36" s="8">
        <f t="shared" si="25"/>
        <v>2915</v>
      </c>
      <c r="G36">
        <f>G35+H36</f>
        <v>265</v>
      </c>
      <c r="H36">
        <v>120</v>
      </c>
    </row>
    <row r="37" spans="1:14" x14ac:dyDescent="0.2">
      <c r="A37" s="1" t="s">
        <v>67</v>
      </c>
      <c r="B37">
        <v>3</v>
      </c>
      <c r="C37" s="1">
        <f t="shared" si="23"/>
        <v>3850</v>
      </c>
      <c r="D37" s="1">
        <f t="shared" si="24"/>
        <v>4620</v>
      </c>
      <c r="E37" s="8">
        <f t="shared" si="25"/>
        <v>4235</v>
      </c>
      <c r="G37">
        <f t="shared" ref="G37:G41" si="27">G36+H37</f>
        <v>385</v>
      </c>
      <c r="H37">
        <v>120</v>
      </c>
    </row>
    <row r="38" spans="1:14" x14ac:dyDescent="0.2">
      <c r="A38" s="1" t="s">
        <v>67</v>
      </c>
      <c r="B38">
        <v>4</v>
      </c>
      <c r="C38" s="1">
        <f t="shared" si="23"/>
        <v>5050</v>
      </c>
      <c r="D38" s="1">
        <f t="shared" si="24"/>
        <v>6060</v>
      </c>
      <c r="E38" s="8">
        <f t="shared" si="25"/>
        <v>5555</v>
      </c>
      <c r="G38">
        <f t="shared" si="27"/>
        <v>505</v>
      </c>
      <c r="H38">
        <v>120</v>
      </c>
    </row>
    <row r="39" spans="1:14" s="5" customFormat="1" x14ac:dyDescent="0.2">
      <c r="A39" s="5" t="s">
        <v>67</v>
      </c>
      <c r="B39" s="5">
        <v>5</v>
      </c>
      <c r="C39" s="1">
        <f t="shared" si="23"/>
        <v>6250</v>
      </c>
      <c r="D39" s="1">
        <f t="shared" si="24"/>
        <v>7500</v>
      </c>
      <c r="E39" s="8">
        <f t="shared" si="25"/>
        <v>6875</v>
      </c>
      <c r="F39" s="34">
        <v>6250</v>
      </c>
      <c r="G39">
        <f t="shared" si="27"/>
        <v>625</v>
      </c>
      <c r="H39">
        <v>120</v>
      </c>
    </row>
    <row r="40" spans="1:14" x14ac:dyDescent="0.2">
      <c r="A40" s="1" t="s">
        <v>67</v>
      </c>
      <c r="B40">
        <v>6</v>
      </c>
      <c r="C40" s="1">
        <f t="shared" si="23"/>
        <v>7450</v>
      </c>
      <c r="D40" s="1">
        <f t="shared" si="24"/>
        <v>8940</v>
      </c>
      <c r="E40" s="8">
        <f t="shared" si="25"/>
        <v>8195</v>
      </c>
      <c r="G40">
        <f t="shared" si="27"/>
        <v>745</v>
      </c>
      <c r="H40">
        <v>120</v>
      </c>
      <c r="L40" s="1"/>
    </row>
    <row r="41" spans="1:14" x14ac:dyDescent="0.2">
      <c r="A41" s="1" t="s">
        <v>176</v>
      </c>
      <c r="B41">
        <v>7</v>
      </c>
      <c r="C41" s="1">
        <f t="shared" si="23"/>
        <v>8650</v>
      </c>
      <c r="D41" s="1">
        <f t="shared" si="24"/>
        <v>10380</v>
      </c>
      <c r="E41" s="8">
        <f t="shared" si="25"/>
        <v>9515</v>
      </c>
      <c r="G41">
        <f t="shared" si="27"/>
        <v>865</v>
      </c>
      <c r="H41">
        <v>120</v>
      </c>
      <c r="L41" s="1"/>
    </row>
    <row r="42" spans="1:14" s="39" customFormat="1" x14ac:dyDescent="0.2">
      <c r="A42" s="39" t="s">
        <v>68</v>
      </c>
      <c r="B42" s="39">
        <v>1</v>
      </c>
      <c r="C42" s="3">
        <f t="shared" si="23"/>
        <v>2800</v>
      </c>
      <c r="D42" s="3">
        <f t="shared" si="24"/>
        <v>3360</v>
      </c>
      <c r="E42" s="39">
        <f t="shared" si="25"/>
        <v>3080</v>
      </c>
      <c r="G42" s="39">
        <v>280</v>
      </c>
      <c r="L42" s="3"/>
    </row>
    <row r="43" spans="1:14" x14ac:dyDescent="0.2">
      <c r="A43" s="1" t="s">
        <v>68</v>
      </c>
      <c r="B43">
        <v>2</v>
      </c>
      <c r="C43" s="1">
        <f t="shared" si="23"/>
        <v>4600</v>
      </c>
      <c r="D43" s="1">
        <f t="shared" si="24"/>
        <v>5520</v>
      </c>
      <c r="E43" s="8">
        <f t="shared" si="25"/>
        <v>5060</v>
      </c>
      <c r="G43">
        <f>G42+H43</f>
        <v>460</v>
      </c>
      <c r="H43">
        <v>180</v>
      </c>
    </row>
    <row r="44" spans="1:14" x14ac:dyDescent="0.2">
      <c r="A44" s="1" t="s">
        <v>68</v>
      </c>
      <c r="B44">
        <v>3</v>
      </c>
      <c r="C44" s="1">
        <f t="shared" si="23"/>
        <v>6400</v>
      </c>
      <c r="D44" s="1">
        <f t="shared" si="24"/>
        <v>7680</v>
      </c>
      <c r="E44" s="8">
        <f t="shared" si="25"/>
        <v>7040</v>
      </c>
      <c r="G44">
        <f t="shared" ref="G44:G48" si="28">G43+H44</f>
        <v>640</v>
      </c>
      <c r="H44">
        <v>180</v>
      </c>
    </row>
    <row r="45" spans="1:14" x14ac:dyDescent="0.2">
      <c r="A45" s="1" t="s">
        <v>68</v>
      </c>
      <c r="B45">
        <v>4</v>
      </c>
      <c r="C45" s="1">
        <f t="shared" si="23"/>
        <v>8200</v>
      </c>
      <c r="D45" s="1">
        <f t="shared" si="24"/>
        <v>9840</v>
      </c>
      <c r="E45" s="8">
        <f t="shared" si="25"/>
        <v>9020</v>
      </c>
      <c r="G45">
        <f t="shared" si="28"/>
        <v>820</v>
      </c>
      <c r="H45">
        <v>180</v>
      </c>
    </row>
    <row r="46" spans="1:14" s="5" customFormat="1" x14ac:dyDescent="0.2">
      <c r="A46" s="5" t="s">
        <v>68</v>
      </c>
      <c r="B46" s="5">
        <v>5</v>
      </c>
      <c r="C46" s="1">
        <f t="shared" si="23"/>
        <v>10000</v>
      </c>
      <c r="D46" s="1">
        <f t="shared" si="24"/>
        <v>12000</v>
      </c>
      <c r="E46" s="8">
        <f t="shared" si="25"/>
        <v>11000</v>
      </c>
      <c r="F46" s="34">
        <v>10000</v>
      </c>
      <c r="G46">
        <f t="shared" si="28"/>
        <v>1000</v>
      </c>
      <c r="H46">
        <v>180</v>
      </c>
    </row>
    <row r="47" spans="1:14" x14ac:dyDescent="0.2">
      <c r="A47" s="1" t="s">
        <v>68</v>
      </c>
      <c r="B47">
        <v>6</v>
      </c>
      <c r="C47" s="1">
        <f t="shared" si="23"/>
        <v>11800</v>
      </c>
      <c r="D47" s="1">
        <f t="shared" si="24"/>
        <v>14160</v>
      </c>
      <c r="E47" s="8">
        <f t="shared" si="25"/>
        <v>12980</v>
      </c>
      <c r="G47">
        <f t="shared" si="28"/>
        <v>1180</v>
      </c>
      <c r="H47">
        <v>180</v>
      </c>
    </row>
    <row r="48" spans="1:14" x14ac:dyDescent="0.2">
      <c r="A48" s="1" t="s">
        <v>68</v>
      </c>
      <c r="B48">
        <v>7</v>
      </c>
      <c r="C48" s="1">
        <f t="shared" si="23"/>
        <v>13600</v>
      </c>
      <c r="D48" s="1">
        <f t="shared" si="24"/>
        <v>16320</v>
      </c>
      <c r="E48" s="8">
        <f t="shared" si="25"/>
        <v>14960</v>
      </c>
      <c r="G48">
        <f t="shared" si="28"/>
        <v>1360</v>
      </c>
      <c r="H48">
        <v>180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0748-9121-4F3E-AF23-4C2C8D9A8EBB}">
  <dimension ref="A1:Q33"/>
  <sheetViews>
    <sheetView workbookViewId="0">
      <selection activeCell="B4" sqref="B4"/>
    </sheetView>
  </sheetViews>
  <sheetFormatPr defaultRowHeight="14.25" x14ac:dyDescent="0.2"/>
  <sheetData>
    <row r="1" spans="1:17" x14ac:dyDescent="0.2">
      <c r="B1" s="1" t="s">
        <v>12</v>
      </c>
      <c r="C1" s="1" t="s">
        <v>14</v>
      </c>
      <c r="D1" s="1" t="s">
        <v>19</v>
      </c>
      <c r="E1" s="1" t="s">
        <v>21</v>
      </c>
    </row>
    <row r="2" spans="1:17" x14ac:dyDescent="0.2">
      <c r="A2" s="1" t="s">
        <v>22</v>
      </c>
      <c r="B2" s="1">
        <v>2200</v>
      </c>
      <c r="C2" s="1">
        <v>44</v>
      </c>
      <c r="D2" s="1">
        <v>111</v>
      </c>
      <c r="E2" s="1">
        <v>44</v>
      </c>
    </row>
    <row r="3" spans="1:17" x14ac:dyDescent="0.2">
      <c r="A3" s="1"/>
      <c r="B3" s="1"/>
      <c r="C3" s="1"/>
      <c r="D3" s="1"/>
      <c r="E3" s="1"/>
    </row>
    <row r="4" spans="1:17" x14ac:dyDescent="0.2">
      <c r="A4" s="1" t="s">
        <v>52</v>
      </c>
      <c r="B4">
        <v>4654</v>
      </c>
      <c r="C4">
        <v>93</v>
      </c>
      <c r="D4">
        <v>233</v>
      </c>
      <c r="E4">
        <v>93</v>
      </c>
      <c r="F4">
        <f>E4/E2</f>
        <v>2.1136363636363638</v>
      </c>
      <c r="G4" s="1">
        <v>1</v>
      </c>
      <c r="H4">
        <v>3490</v>
      </c>
      <c r="I4">
        <v>70</v>
      </c>
      <c r="J4">
        <v>174</v>
      </c>
      <c r="K4">
        <v>70</v>
      </c>
      <c r="N4" s="5">
        <f>H4/B4</f>
        <v>0.74989256553502359</v>
      </c>
      <c r="O4" s="5">
        <f>I4/C4</f>
        <v>0.75268817204301075</v>
      </c>
      <c r="P4" s="5">
        <f>J4/D4</f>
        <v>0.74678111587982832</v>
      </c>
      <c r="Q4" s="5">
        <f>K4/E4</f>
        <v>0.75268817204301075</v>
      </c>
    </row>
    <row r="5" spans="1:17" s="5" customFormat="1" x14ac:dyDescent="0.2">
      <c r="A5" s="5" t="s">
        <v>53</v>
      </c>
      <c r="B5" s="5">
        <f>B4+H4</f>
        <v>8144</v>
      </c>
      <c r="C5" s="5">
        <f>C4+I4</f>
        <v>163</v>
      </c>
      <c r="D5" s="5">
        <f>D4+J4</f>
        <v>407</v>
      </c>
      <c r="E5" s="5">
        <f>E4+K4</f>
        <v>163</v>
      </c>
      <c r="N5" s="5">
        <f>H6/B5</f>
        <v>0.92092337917485267</v>
      </c>
      <c r="O5" s="5">
        <f>I6/C5</f>
        <v>0.92024539877300615</v>
      </c>
      <c r="P5" s="5">
        <f>J6/D5</f>
        <v>0.92137592137592139</v>
      </c>
      <c r="Q5" s="5">
        <f>K6/E5</f>
        <v>0.92024539877300615</v>
      </c>
    </row>
    <row r="6" spans="1:17" s="2" customFormat="1" x14ac:dyDescent="0.2">
      <c r="A6" s="2" t="s">
        <v>54</v>
      </c>
      <c r="B6" s="2">
        <f>B5+H6</f>
        <v>15644</v>
      </c>
      <c r="C6" s="2">
        <f>C5+I6</f>
        <v>313</v>
      </c>
      <c r="D6" s="2">
        <f>D5+J6</f>
        <v>782</v>
      </c>
      <c r="E6" s="2">
        <f>E5+K6</f>
        <v>313</v>
      </c>
      <c r="G6" s="2">
        <v>2</v>
      </c>
      <c r="H6" s="2">
        <f>375*20</f>
        <v>7500</v>
      </c>
      <c r="I6" s="2">
        <v>150</v>
      </c>
      <c r="J6" s="2">
        <v>375</v>
      </c>
      <c r="K6" s="2">
        <v>150</v>
      </c>
      <c r="N6">
        <f>H8/B6</f>
        <v>0.77473791869087194</v>
      </c>
      <c r="O6">
        <f>I8/C6</f>
        <v>0.77635782747603832</v>
      </c>
      <c r="P6">
        <f>J8/D6</f>
        <v>0.77493606138107418</v>
      </c>
      <c r="Q6">
        <f>K8/E6</f>
        <v>0.77635782747603832</v>
      </c>
    </row>
    <row r="7" spans="1:17" s="5" customFormat="1" x14ac:dyDescent="0.2">
      <c r="A7" s="5" t="s">
        <v>55</v>
      </c>
      <c r="B7" s="5">
        <f>B6+H8</f>
        <v>27764</v>
      </c>
      <c r="C7" s="5">
        <f t="shared" ref="C7:E7" si="0">C6+I8</f>
        <v>556</v>
      </c>
      <c r="D7" s="5">
        <f t="shared" si="0"/>
        <v>1388</v>
      </c>
      <c r="E7" s="5">
        <f t="shared" si="0"/>
        <v>556</v>
      </c>
    </row>
    <row r="8" spans="1:17" x14ac:dyDescent="0.2">
      <c r="A8" s="1"/>
      <c r="G8" s="1">
        <v>3</v>
      </c>
      <c r="H8">
        <f>J8*20</f>
        <v>12120</v>
      </c>
      <c r="I8">
        <f>K8</f>
        <v>243</v>
      </c>
      <c r="J8">
        <v>606</v>
      </c>
      <c r="K8">
        <v>243</v>
      </c>
    </row>
    <row r="9" spans="1:17" x14ac:dyDescent="0.2">
      <c r="A9" s="1" t="s">
        <v>56</v>
      </c>
      <c r="B9">
        <v>8310</v>
      </c>
      <c r="C9">
        <v>166</v>
      </c>
      <c r="D9">
        <v>416</v>
      </c>
      <c r="E9">
        <v>166</v>
      </c>
      <c r="F9">
        <f>E9/E2</f>
        <v>3.7727272727272729</v>
      </c>
      <c r="G9" s="1"/>
    </row>
    <row r="10" spans="1:17" x14ac:dyDescent="0.2">
      <c r="A10" s="5" t="s">
        <v>57</v>
      </c>
      <c r="B10">
        <f>B9+H12</f>
        <v>14541</v>
      </c>
      <c r="C10">
        <f t="shared" ref="C10:E10" si="1">C9+I12</f>
        <v>291</v>
      </c>
      <c r="D10">
        <f t="shared" si="1"/>
        <v>727</v>
      </c>
      <c r="E10">
        <f t="shared" si="1"/>
        <v>291</v>
      </c>
    </row>
    <row r="11" spans="1:17" x14ac:dyDescent="0.2">
      <c r="A11" s="5" t="s">
        <v>58</v>
      </c>
      <c r="B11">
        <f>B10+H14</f>
        <v>27941</v>
      </c>
      <c r="C11">
        <f t="shared" ref="C11:E11" si="2">C10+I14</f>
        <v>559</v>
      </c>
      <c r="D11">
        <f t="shared" si="2"/>
        <v>1397</v>
      </c>
      <c r="E11">
        <f t="shared" si="2"/>
        <v>559</v>
      </c>
    </row>
    <row r="12" spans="1:17" x14ac:dyDescent="0.2">
      <c r="G12">
        <v>1</v>
      </c>
      <c r="H12" s="1">
        <v>6231</v>
      </c>
      <c r="I12" s="1">
        <v>125</v>
      </c>
      <c r="J12">
        <f>INT(H12/20)</f>
        <v>311</v>
      </c>
      <c r="K12">
        <v>125</v>
      </c>
    </row>
    <row r="13" spans="1:17" x14ac:dyDescent="0.2">
      <c r="N13">
        <f>H12/B9</f>
        <v>0.74981949458483754</v>
      </c>
      <c r="O13">
        <f>I12/C9</f>
        <v>0.75301204819277112</v>
      </c>
      <c r="P13">
        <f>J12/D9</f>
        <v>0.74759615384615385</v>
      </c>
      <c r="Q13">
        <f>K12/E9</f>
        <v>0.75301204819277112</v>
      </c>
    </row>
    <row r="14" spans="1:17" x14ac:dyDescent="0.2">
      <c r="G14">
        <v>2</v>
      </c>
      <c r="H14">
        <v>13400</v>
      </c>
      <c r="I14">
        <v>268</v>
      </c>
      <c r="J14">
        <f>H14/20</f>
        <v>670</v>
      </c>
      <c r="K14">
        <v>268</v>
      </c>
      <c r="N14">
        <f>H14/B10</f>
        <v>0.9215322192421429</v>
      </c>
      <c r="O14">
        <f>I14/C10</f>
        <v>0.92096219931271472</v>
      </c>
      <c r="P14">
        <f>J14/D10</f>
        <v>0.92159559834938098</v>
      </c>
      <c r="Q14">
        <f>K14/E10</f>
        <v>0.92096219931271472</v>
      </c>
    </row>
    <row r="18" spans="1:11" s="12" customFormat="1" x14ac:dyDescent="0.2">
      <c r="I18" s="14"/>
    </row>
    <row r="19" spans="1:11" x14ac:dyDescent="0.2">
      <c r="I19" s="1"/>
      <c r="J19" s="1"/>
      <c r="K19" s="1"/>
    </row>
    <row r="20" spans="1:11" x14ac:dyDescent="0.2">
      <c r="D20">
        <v>2</v>
      </c>
      <c r="E20">
        <v>3</v>
      </c>
      <c r="F20">
        <v>4</v>
      </c>
      <c r="G20" s="12">
        <v>5</v>
      </c>
      <c r="H20" s="12">
        <v>6</v>
      </c>
    </row>
    <row r="21" spans="1:11" x14ac:dyDescent="0.2">
      <c r="A21" s="16" t="s">
        <v>17</v>
      </c>
      <c r="G21" s="12"/>
      <c r="H21" s="12"/>
      <c r="J21" s="17" t="s">
        <v>64</v>
      </c>
    </row>
    <row r="22" spans="1:11" x14ac:dyDescent="0.2">
      <c r="A22" t="s">
        <v>65</v>
      </c>
      <c r="B22" s="18">
        <v>1.1000000000000001E-3</v>
      </c>
      <c r="D22" s="18">
        <v>5.0000000000000001E-4</v>
      </c>
      <c r="E22" s="19">
        <v>1E-3</v>
      </c>
      <c r="F22" s="18">
        <v>1.4E-3</v>
      </c>
      <c r="G22" s="20">
        <v>2E-3</v>
      </c>
      <c r="H22" s="20">
        <v>2.5000000000000001E-3</v>
      </c>
      <c r="J22" s="18">
        <f>H22+B22</f>
        <v>3.5999999999999999E-3</v>
      </c>
    </row>
    <row r="23" spans="1:11" x14ac:dyDescent="0.2">
      <c r="A23" t="s">
        <v>66</v>
      </c>
      <c r="B23" s="18">
        <v>2.2000000000000001E-3</v>
      </c>
      <c r="D23" s="18">
        <v>8.9999999999999998E-4</v>
      </c>
      <c r="E23" s="18">
        <v>1.9E-3</v>
      </c>
      <c r="F23" s="18">
        <v>2.8E-3</v>
      </c>
      <c r="G23" s="20">
        <v>3.5999999999999999E-3</v>
      </c>
      <c r="H23" s="20">
        <v>4.4999999999999997E-3</v>
      </c>
      <c r="J23" s="18">
        <f t="shared" ref="J23:J24" si="3">H23+B23</f>
        <v>6.6999999999999994E-3</v>
      </c>
    </row>
    <row r="24" spans="1:11" x14ac:dyDescent="0.2">
      <c r="A24" t="s">
        <v>19</v>
      </c>
      <c r="B24">
        <v>30</v>
      </c>
      <c r="D24">
        <v>5</v>
      </c>
      <c r="E24">
        <v>10</v>
      </c>
      <c r="F24">
        <v>15</v>
      </c>
      <c r="G24" s="21">
        <v>20</v>
      </c>
      <c r="H24" s="21">
        <v>25</v>
      </c>
      <c r="J24">
        <f t="shared" si="3"/>
        <v>55</v>
      </c>
    </row>
    <row r="25" spans="1:11" x14ac:dyDescent="0.2">
      <c r="G25" s="12"/>
      <c r="H25" s="12"/>
    </row>
    <row r="26" spans="1:11" x14ac:dyDescent="0.2">
      <c r="G26" s="12"/>
      <c r="H26" s="12"/>
    </row>
    <row r="27" spans="1:11" x14ac:dyDescent="0.2">
      <c r="A27" s="16" t="s">
        <v>23</v>
      </c>
      <c r="G27" s="12"/>
      <c r="H27" s="12"/>
      <c r="J27" s="17" t="s">
        <v>64</v>
      </c>
    </row>
    <row r="28" spans="1:11" x14ac:dyDescent="0.2">
      <c r="A28" t="s">
        <v>65</v>
      </c>
      <c r="B28" s="18">
        <v>1.4E-3</v>
      </c>
      <c r="D28" s="18">
        <v>6.9999999999999999E-4</v>
      </c>
      <c r="E28" s="18">
        <v>1.4E-3</v>
      </c>
      <c r="F28" s="19">
        <v>2.0999999999999999E-3</v>
      </c>
      <c r="G28" s="20">
        <v>2.8E-3</v>
      </c>
      <c r="H28" s="20">
        <v>3.5000000000000001E-3</v>
      </c>
      <c r="J28" s="18">
        <f>H28+B28</f>
        <v>4.8999999999999998E-3</v>
      </c>
    </row>
    <row r="29" spans="1:11" x14ac:dyDescent="0.2">
      <c r="A29" t="s">
        <v>66</v>
      </c>
      <c r="B29" s="18">
        <v>2.8999999999999998E-3</v>
      </c>
      <c r="D29" s="18">
        <v>1.4E-3</v>
      </c>
      <c r="E29" s="19">
        <v>2.8E-3</v>
      </c>
      <c r="F29" s="19">
        <v>4.1999999999999997E-3</v>
      </c>
      <c r="G29" s="20">
        <v>5.5999999999999999E-3</v>
      </c>
      <c r="H29" s="20">
        <v>7.0000000000000001E-3</v>
      </c>
      <c r="J29" s="18">
        <f t="shared" ref="J29" si="4">H29+B29</f>
        <v>9.8999999999999991E-3</v>
      </c>
    </row>
    <row r="30" spans="1:11" x14ac:dyDescent="0.2">
      <c r="A30" t="s">
        <v>19</v>
      </c>
      <c r="B30">
        <v>60</v>
      </c>
      <c r="D30">
        <v>10</v>
      </c>
      <c r="E30">
        <v>20</v>
      </c>
      <c r="F30" s="22">
        <v>30</v>
      </c>
      <c r="G30" s="21">
        <v>40</v>
      </c>
      <c r="H30" s="21">
        <v>50</v>
      </c>
      <c r="J30">
        <f>H30+B30</f>
        <v>110</v>
      </c>
    </row>
    <row r="31" spans="1:11" x14ac:dyDescent="0.2">
      <c r="G31" s="12"/>
      <c r="H31" s="12"/>
    </row>
    <row r="32" spans="1:11" x14ac:dyDescent="0.2">
      <c r="G32" s="12"/>
      <c r="H32" s="12"/>
    </row>
    <row r="33" spans="7:8" x14ac:dyDescent="0.2">
      <c r="G33" s="12"/>
      <c r="H33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CCE4-28BA-4672-A69E-35BC111CEC15}">
  <dimension ref="A1:Y45"/>
  <sheetViews>
    <sheetView workbookViewId="0">
      <selection activeCell="T23" sqref="T23"/>
    </sheetView>
  </sheetViews>
  <sheetFormatPr defaultRowHeight="14.25" x14ac:dyDescent="0.2"/>
  <cols>
    <col min="4" max="5" width="6.625" customWidth="1"/>
    <col min="6" max="6" width="6.875" customWidth="1"/>
    <col min="7" max="8" width="14.125" customWidth="1"/>
    <col min="9" max="9" width="13" customWidth="1"/>
    <col min="10" max="10" width="3.625" customWidth="1"/>
    <col min="11" max="12" width="3.375" customWidth="1"/>
    <col min="13" max="13" width="12.75" customWidth="1"/>
    <col min="17" max="17" width="12" customWidth="1"/>
    <col min="21" max="21" width="13.25" customWidth="1"/>
  </cols>
  <sheetData>
    <row r="1" spans="1:25" x14ac:dyDescent="0.2">
      <c r="A1" s="42" t="s">
        <v>49</v>
      </c>
      <c r="B1" s="43" t="s">
        <v>50</v>
      </c>
      <c r="C1" s="42" t="s">
        <v>51</v>
      </c>
      <c r="D1" s="43" t="s">
        <v>198</v>
      </c>
      <c r="E1" s="43" t="s">
        <v>200</v>
      </c>
      <c r="F1" s="43" t="s">
        <v>7</v>
      </c>
      <c r="G1" s="43" t="s">
        <v>186</v>
      </c>
      <c r="H1" s="43" t="s">
        <v>187</v>
      </c>
      <c r="I1" s="43" t="s">
        <v>188</v>
      </c>
      <c r="J1" s="43" t="s">
        <v>34</v>
      </c>
      <c r="K1" s="43" t="s">
        <v>67</v>
      </c>
      <c r="L1" s="43" t="s">
        <v>68</v>
      </c>
      <c r="M1" s="43" t="s">
        <v>189</v>
      </c>
      <c r="N1" s="40" t="s">
        <v>190</v>
      </c>
      <c r="O1" s="40" t="s">
        <v>191</v>
      </c>
      <c r="P1" s="40" t="s">
        <v>192</v>
      </c>
      <c r="Q1" s="41" t="s">
        <v>193</v>
      </c>
    </row>
    <row r="2" spans="1:25" x14ac:dyDescent="0.2">
      <c r="A2" s="11">
        <v>2</v>
      </c>
      <c r="B2">
        <v>1</v>
      </c>
      <c r="C2">
        <v>0</v>
      </c>
      <c r="D2" t="str">
        <f>A2&amp;C2</f>
        <v>20</v>
      </c>
      <c r="E2" t="str">
        <f>A2&amp;B2</f>
        <v>21</v>
      </c>
      <c r="F2">
        <f t="shared" ref="F2:F43" si="0">B2*10</f>
        <v>10</v>
      </c>
      <c r="G2">
        <f>VLOOKUP(F2,强化调整表!$A$2:$I$71,7,0)*10+VLOOKUP(F2,强化调整表!$A$2:$I$71,9,0)*10</f>
        <v>3500</v>
      </c>
      <c r="H2">
        <f>VLOOKUP(--E2,进阶值!$B$4:$E$24,2,0)/2</f>
        <v>1100</v>
      </c>
      <c r="I2">
        <f>VLOOKUP(--E2,进阶值!$B$4:$E$24,4,0)*10</f>
        <v>440</v>
      </c>
      <c r="J2">
        <f>进阶调整表1!N2</f>
        <v>0</v>
      </c>
      <c r="K2">
        <f>进阶调整表1!P2</f>
        <v>0</v>
      </c>
      <c r="L2">
        <f>进阶调整表1!R2</f>
        <v>0</v>
      </c>
      <c r="M2">
        <f>J2*VLOOKUP(B2,进阶值!$B$28:$E$34,4,0)+K2*VLOOKUP(B2,进阶值!$B$35:$E$41,4,0)+L2*VLOOKUP(B2,进阶值!$B$42:$E$48,4,0)</f>
        <v>0</v>
      </c>
      <c r="N2">
        <f>VLOOKUP(F2,强化调整表!$A$2:$E$71,5,0)/10</f>
        <v>375</v>
      </c>
      <c r="O2">
        <f>VLOOKUP(--D2,$W$2:$Y$8,3,0)*VLOOKUP(B2,$T$3:$U$9,2,0)*相关定价!$E$3</f>
        <v>0</v>
      </c>
      <c r="P2">
        <f>VLOOKUP(--D2,$W$2:$X$8,2,0)</f>
        <v>10</v>
      </c>
      <c r="Q2">
        <f>(G2+H2+I2+M2)/(N2+O2+P2)</f>
        <v>13.090909090909092</v>
      </c>
      <c r="T2" s="1" t="s">
        <v>72</v>
      </c>
      <c r="U2" s="1" t="s">
        <v>194</v>
      </c>
      <c r="W2" s="1" t="s">
        <v>195</v>
      </c>
      <c r="X2" s="1" t="s">
        <v>197</v>
      </c>
      <c r="Y2" s="1" t="s">
        <v>196</v>
      </c>
    </row>
    <row r="3" spans="1:25" x14ac:dyDescent="0.2">
      <c r="A3" s="11">
        <v>2</v>
      </c>
      <c r="B3">
        <v>2</v>
      </c>
      <c r="C3">
        <v>0</v>
      </c>
      <c r="D3" t="str">
        <f t="shared" ref="D3:D43" si="1">A3&amp;C3</f>
        <v>20</v>
      </c>
      <c r="E3" t="str">
        <f t="shared" ref="E3:E43" si="2">A3&amp;B3</f>
        <v>22</v>
      </c>
      <c r="F3">
        <f t="shared" si="0"/>
        <v>20</v>
      </c>
      <c r="G3">
        <f>VLOOKUP(F3,强化调整表!$A$2:$I$71,7,0)*10+VLOOKUP(F3,强化调整表!$A$2:$I$71,9,0)*10</f>
        <v>7000</v>
      </c>
      <c r="H3">
        <f>VLOOKUP(--E3,进阶值!$B$4:$E$24,2,0)/2</f>
        <v>1925</v>
      </c>
      <c r="I3">
        <f>VLOOKUP(--E3,进阶值!$B$4:$E$24,4,0)*10</f>
        <v>770</v>
      </c>
      <c r="J3">
        <f>进阶调整表1!N3</f>
        <v>0</v>
      </c>
      <c r="K3">
        <f>进阶调整表1!P3</f>
        <v>0</v>
      </c>
      <c r="L3">
        <f>进阶调整表1!R3</f>
        <v>0</v>
      </c>
      <c r="M3">
        <f>J3*VLOOKUP(B3,进阶值!$B$28:$E$34,4,0)+K3*VLOOKUP(B3,进阶值!$B$35:$E$41,4,0)+L3*VLOOKUP(B3,进阶值!$B$42:$E$48,4,0)</f>
        <v>0</v>
      </c>
      <c r="N3">
        <f>VLOOKUP(F3,强化调整表!$A$2:$E$71,5,0)/10</f>
        <v>1525</v>
      </c>
      <c r="O3">
        <f>VLOOKUP(--D3,$W$2:$Y$8,3,0)*VLOOKUP(B3,$T$3:$U$9,2,0)*相关定价!$E$3+O2</f>
        <v>700</v>
      </c>
      <c r="P3">
        <f t="shared" ref="P3:P43" si="3">VLOOKUP(--D3,$W$2:$X$8,2,0)</f>
        <v>10</v>
      </c>
      <c r="Q3">
        <f t="shared" ref="Q3:Q43" si="4">(G3+H3+I3+M3)/(N3+O3+P3)</f>
        <v>4.3378076062639819</v>
      </c>
      <c r="T3">
        <v>1</v>
      </c>
      <c r="U3">
        <v>0</v>
      </c>
      <c r="W3">
        <v>20</v>
      </c>
      <c r="X3">
        <f>VLOOKUP(W3,相关定价!$A$4:$E$9,5,0)</f>
        <v>10</v>
      </c>
      <c r="Y3">
        <v>1</v>
      </c>
    </row>
    <row r="4" spans="1:25" x14ac:dyDescent="0.2">
      <c r="A4" s="11">
        <v>2</v>
      </c>
      <c r="B4">
        <v>3</v>
      </c>
      <c r="C4">
        <v>0</v>
      </c>
      <c r="D4" t="str">
        <f t="shared" si="1"/>
        <v>20</v>
      </c>
      <c r="E4" t="str">
        <f t="shared" si="2"/>
        <v>23</v>
      </c>
      <c r="F4">
        <f t="shared" si="0"/>
        <v>30</v>
      </c>
      <c r="G4">
        <f>VLOOKUP(F4,强化调整表!$A$2:$I$71,7,0)*10+VLOOKUP(F4,强化调整表!$A$2:$I$71,9,0)*10</f>
        <v>10500</v>
      </c>
      <c r="H4">
        <f>VLOOKUP(--E4,进阶值!$B$4:$E$24,2,0)/2</f>
        <v>3696</v>
      </c>
      <c r="I4">
        <f>VLOOKUP(--E4,进阶值!$B$4:$E$24,4,0)*10</f>
        <v>1470</v>
      </c>
      <c r="J4">
        <f>进阶调整表1!N4</f>
        <v>0</v>
      </c>
      <c r="K4">
        <f>进阶调整表1!P4</f>
        <v>0</v>
      </c>
      <c r="L4">
        <f>进阶调整表1!R4</f>
        <v>0</v>
      </c>
      <c r="M4">
        <f>J4*VLOOKUP(B4,进阶值!$B$28:$E$34,4,0)+K4*VLOOKUP(B4,进阶值!$B$35:$E$41,4,0)+L4*VLOOKUP(B4,进阶值!$B$42:$E$48,4,0)</f>
        <v>0</v>
      </c>
      <c r="N4">
        <f>VLOOKUP(F4,强化调整表!$A$2:$E$71,5,0)/10</f>
        <v>4225</v>
      </c>
      <c r="O4">
        <f>VLOOKUP(--D4,$W$2:$Y$8,3,0)*VLOOKUP(B4,$T$3:$U$9,2,0)*相关定价!$E$3+O3</f>
        <v>2100</v>
      </c>
      <c r="P4">
        <f t="shared" si="3"/>
        <v>10</v>
      </c>
      <c r="Q4">
        <f t="shared" si="4"/>
        <v>2.47292817679558</v>
      </c>
      <c r="T4">
        <v>2</v>
      </c>
      <c r="U4">
        <v>2</v>
      </c>
      <c r="W4">
        <v>41</v>
      </c>
      <c r="X4">
        <f>VLOOKUP(W4,相关定价!$A$4:$E$9,5,0)</f>
        <v>100</v>
      </c>
      <c r="Y4">
        <v>2</v>
      </c>
    </row>
    <row r="5" spans="1:25" x14ac:dyDescent="0.2">
      <c r="A5" s="11">
        <v>2</v>
      </c>
      <c r="B5">
        <v>4</v>
      </c>
      <c r="C5">
        <v>0</v>
      </c>
      <c r="D5" t="str">
        <f t="shared" si="1"/>
        <v>20</v>
      </c>
      <c r="E5" t="str">
        <f t="shared" si="2"/>
        <v>24</v>
      </c>
      <c r="F5">
        <f t="shared" si="0"/>
        <v>40</v>
      </c>
      <c r="G5">
        <f>VLOOKUP(F5,强化调整表!$A$2:$I$71,7,0)*10+VLOOKUP(F5,强化调整表!$A$2:$I$71,9,0)*10</f>
        <v>14000</v>
      </c>
      <c r="H5">
        <f>VLOOKUP(--E5,进阶值!$B$4:$E$24,2,0)/2</f>
        <v>6800.5</v>
      </c>
      <c r="I5">
        <f>VLOOKUP(--E5,进阶值!$B$4:$E$24,4,0)*10</f>
        <v>2700</v>
      </c>
      <c r="J5">
        <f>进阶调整表1!N5</f>
        <v>0</v>
      </c>
      <c r="K5">
        <f>进阶调整表1!P5</f>
        <v>0</v>
      </c>
      <c r="L5">
        <f>进阶调整表1!R5</f>
        <v>0</v>
      </c>
      <c r="M5">
        <f>J5*VLOOKUP(B5,进阶值!$B$28:$E$34,4,0)+K5*VLOOKUP(B5,进阶值!$B$35:$E$41,4,0)+L5*VLOOKUP(B5,进阶值!$B$42:$E$48,4,0)</f>
        <v>0</v>
      </c>
      <c r="N5">
        <f>VLOOKUP(F5,强化调整表!$A$2:$E$71,5,0)/10</f>
        <v>10025</v>
      </c>
      <c r="O5">
        <f>VLOOKUP(--D5,$W$2:$Y$8,3,0)*VLOOKUP(B5,$T$3:$U$9,2,0)*相关定价!$E$3+O4</f>
        <v>4200</v>
      </c>
      <c r="P5">
        <f t="shared" si="3"/>
        <v>10</v>
      </c>
      <c r="Q5">
        <f t="shared" si="4"/>
        <v>1.6508956796628029</v>
      </c>
      <c r="T5">
        <v>3</v>
      </c>
      <c r="U5">
        <v>4</v>
      </c>
      <c r="W5">
        <v>42</v>
      </c>
      <c r="X5">
        <f>VLOOKUP(W5,相关定价!$A$4:$E$9,5,0)</f>
        <v>150</v>
      </c>
      <c r="Y5">
        <v>2</v>
      </c>
    </row>
    <row r="6" spans="1:25" x14ac:dyDescent="0.2">
      <c r="A6" s="11">
        <v>2</v>
      </c>
      <c r="B6">
        <v>5</v>
      </c>
      <c r="C6">
        <v>0</v>
      </c>
      <c r="D6" t="str">
        <f t="shared" si="1"/>
        <v>20</v>
      </c>
      <c r="E6" t="str">
        <f t="shared" si="2"/>
        <v>25</v>
      </c>
      <c r="F6">
        <f t="shared" si="0"/>
        <v>50</v>
      </c>
      <c r="G6">
        <f>VLOOKUP(F6,强化调整表!$A$2:$I$71,7,0)*10+VLOOKUP(F6,强化调整表!$A$2:$I$71,9,0)*10</f>
        <v>17500</v>
      </c>
      <c r="H6">
        <f>VLOOKUP(--E6,进阶值!$B$4:$E$24,2,0)/2</f>
        <v>12240.5</v>
      </c>
      <c r="I6">
        <f>VLOOKUP(--E6,进阶值!$B$4:$E$24,4,0)*10</f>
        <v>4860</v>
      </c>
      <c r="J6">
        <f>进阶调整表1!N6</f>
        <v>0</v>
      </c>
      <c r="K6">
        <f>进阶调整表1!P6</f>
        <v>0</v>
      </c>
      <c r="L6">
        <f>进阶调整表1!R6</f>
        <v>0</v>
      </c>
      <c r="M6">
        <f>J6*VLOOKUP(B6,进阶值!$B$28:$E$34,4,0)+K6*VLOOKUP(B6,进阶值!$B$35:$E$41,4,0)+L6*VLOOKUP(B6,进阶值!$B$42:$E$48,4,0)</f>
        <v>0</v>
      </c>
      <c r="N6">
        <f>VLOOKUP(F6,强化调整表!$A$2:$E$71,5,0)/10</f>
        <v>22025</v>
      </c>
      <c r="O6">
        <f>VLOOKUP(--D6,$W$2:$Y$8,3,0)*VLOOKUP(B6,$T$3:$U$9,2,0)*相关定价!$E$3+O5</f>
        <v>7000</v>
      </c>
      <c r="P6">
        <f t="shared" si="3"/>
        <v>10</v>
      </c>
      <c r="Q6">
        <f t="shared" si="4"/>
        <v>1.1916824522128466</v>
      </c>
      <c r="T6">
        <v>4</v>
      </c>
      <c r="U6">
        <v>6</v>
      </c>
      <c r="W6">
        <v>51</v>
      </c>
      <c r="X6">
        <f>VLOOKUP(W6,相关定价!$A$4:$E$9,5,0)</f>
        <v>300</v>
      </c>
      <c r="Y6">
        <v>3</v>
      </c>
    </row>
    <row r="7" spans="1:25" x14ac:dyDescent="0.2">
      <c r="A7" s="11">
        <v>2</v>
      </c>
      <c r="B7">
        <v>6</v>
      </c>
      <c r="C7">
        <v>0</v>
      </c>
      <c r="D7" t="str">
        <f t="shared" si="1"/>
        <v>20</v>
      </c>
      <c r="E7" t="str">
        <f t="shared" si="2"/>
        <v>26</v>
      </c>
      <c r="F7">
        <f t="shared" si="0"/>
        <v>60</v>
      </c>
      <c r="G7">
        <f>VLOOKUP(F7,强化调整表!$A$2:$I$71,7,0)*10+VLOOKUP(F7,强化调整表!$A$2:$I$71,9,0)*10</f>
        <v>21000</v>
      </c>
      <c r="H7">
        <f>VLOOKUP(--E7,进阶值!$B$4:$E$24,2,0)/2</f>
        <v>21910</v>
      </c>
      <c r="I7">
        <f>VLOOKUP(--E7,进阶值!$B$4:$E$24,4,0)*10</f>
        <v>8690</v>
      </c>
      <c r="J7">
        <f>进阶调整表1!N7</f>
        <v>0</v>
      </c>
      <c r="K7">
        <f>进阶调整表1!P7</f>
        <v>0</v>
      </c>
      <c r="L7">
        <f>进阶调整表1!R7</f>
        <v>0</v>
      </c>
      <c r="M7">
        <f>J7*VLOOKUP(B7,进阶值!$B$28:$E$34,4,0)+K7*VLOOKUP(B7,进阶值!$B$35:$E$41,4,0)+L7*VLOOKUP(B7,进阶值!$B$42:$E$48,4,0)</f>
        <v>0</v>
      </c>
      <c r="N7">
        <f>VLOOKUP(F7,强化调整表!$A$2:$E$71,5,0)/10</f>
        <v>45875</v>
      </c>
      <c r="O7">
        <f>VLOOKUP(--D7,$W$2:$Y$8,3,0)*VLOOKUP(B7,$T$3:$U$9,2,0)*相关定价!$E$3+O6</f>
        <v>10500</v>
      </c>
      <c r="P7">
        <f t="shared" si="3"/>
        <v>10</v>
      </c>
      <c r="Q7">
        <f t="shared" si="4"/>
        <v>0.91513700452247937</v>
      </c>
      <c r="T7">
        <v>5</v>
      </c>
      <c r="U7">
        <v>8</v>
      </c>
      <c r="W7">
        <v>52</v>
      </c>
      <c r="X7">
        <f>VLOOKUP(W7,相关定价!$A$4:$E$9,5,0)</f>
        <v>450</v>
      </c>
      <c r="Y7">
        <v>3</v>
      </c>
    </row>
    <row r="8" spans="1:25" s="5" customFormat="1" x14ac:dyDescent="0.2">
      <c r="A8" s="48">
        <v>2</v>
      </c>
      <c r="B8" s="5">
        <v>7</v>
      </c>
      <c r="C8" s="5">
        <v>0</v>
      </c>
      <c r="D8" s="5" t="str">
        <f t="shared" si="1"/>
        <v>20</v>
      </c>
      <c r="E8" s="5" t="str">
        <f t="shared" si="2"/>
        <v>27</v>
      </c>
      <c r="F8" s="5">
        <f t="shared" si="0"/>
        <v>70</v>
      </c>
      <c r="G8" s="5">
        <f>VLOOKUP(F8,强化调整表!$A$2:$I$71,7,0)*10+VLOOKUP(F8,强化调整表!$A$2:$I$71,9,0)*10</f>
        <v>24500</v>
      </c>
      <c r="H8" s="5">
        <f>VLOOKUP(--E8,进阶值!$B$4:$E$24,2,0)/2</f>
        <v>38999.5</v>
      </c>
      <c r="I8" s="5">
        <f>VLOOKUP(--E8,进阶值!$B$4:$E$24,4,0)*10</f>
        <v>15460</v>
      </c>
      <c r="J8" s="5">
        <f>进阶调整表1!N8</f>
        <v>0</v>
      </c>
      <c r="K8" s="5">
        <f>进阶调整表1!P8</f>
        <v>0</v>
      </c>
      <c r="L8" s="5">
        <f>进阶调整表1!R8</f>
        <v>0</v>
      </c>
      <c r="M8" s="5">
        <f>J8*VLOOKUP(B8,进阶值!$B$28:$E$34,4,0)+K8*VLOOKUP(B8,进阶值!$B$35:$E$41,4,0)+L8*VLOOKUP(B8,进阶值!$B$42:$E$48,4,0)</f>
        <v>0</v>
      </c>
      <c r="N8" s="5">
        <f>VLOOKUP(F8,强化调整表!$A$2:$E$71,5,0)/10</f>
        <v>90225</v>
      </c>
      <c r="O8">
        <f>VLOOKUP(--D8,$W$2:$Y$8,3,0)*VLOOKUP(B8,$T$3:$U$9,2,0)*相关定价!$E$3+O7</f>
        <v>14700</v>
      </c>
      <c r="P8" s="5">
        <f t="shared" si="3"/>
        <v>10</v>
      </c>
      <c r="Q8" s="5">
        <f t="shared" si="4"/>
        <v>0.75246104731500452</v>
      </c>
      <c r="T8" s="5">
        <v>6</v>
      </c>
      <c r="U8" s="5">
        <v>10</v>
      </c>
      <c r="W8" s="5">
        <v>53</v>
      </c>
      <c r="X8" s="5">
        <f>VLOOKUP(W8,相关定价!$A$4:$E$9,5,0)</f>
        <v>1350</v>
      </c>
      <c r="Y8" s="5">
        <v>3</v>
      </c>
    </row>
    <row r="9" spans="1:25" x14ac:dyDescent="0.2">
      <c r="A9" s="12">
        <v>4</v>
      </c>
      <c r="B9">
        <v>1</v>
      </c>
      <c r="C9">
        <v>1</v>
      </c>
      <c r="D9" t="str">
        <f t="shared" si="1"/>
        <v>41</v>
      </c>
      <c r="E9" t="str">
        <f t="shared" si="2"/>
        <v>41</v>
      </c>
      <c r="F9">
        <f t="shared" si="0"/>
        <v>10</v>
      </c>
      <c r="G9">
        <f>VLOOKUP(F9,强化调整表!$A$2:$I$71,7,0)*10+VLOOKUP(F9,强化调整表!$A$2:$I$71,9,0)*10</f>
        <v>3500</v>
      </c>
      <c r="H9">
        <f>VLOOKUP(--E9,进阶值!$B$4:$E$24,2,0)/2</f>
        <v>2200</v>
      </c>
      <c r="I9">
        <f>VLOOKUP(--E9,进阶值!$B$4:$E$24,4,0)*10</f>
        <v>880</v>
      </c>
      <c r="J9">
        <f>进阶调整表1!N9</f>
        <v>2</v>
      </c>
      <c r="K9">
        <f>进阶调整表1!P9</f>
        <v>0</v>
      </c>
      <c r="L9">
        <f>进阶调整表1!R9</f>
        <v>0</v>
      </c>
      <c r="M9">
        <f>J9*VLOOKUP(B9,进阶值!$B$28:$E$34,4,0)+K9*VLOOKUP(B9,进阶值!$B$35:$E$41,4,0)+L9*VLOOKUP(B9,进阶值!$B$42:$E$48,4,0)</f>
        <v>1870</v>
      </c>
      <c r="N9">
        <f>VLOOKUP(F9,强化调整表!$A$2:$E$71,5,0)/10</f>
        <v>375</v>
      </c>
      <c r="O9">
        <f>VLOOKUP(--D9,$W$2:$Y$8,3,0)*VLOOKUP(B9,$T$3:$U$9,2,0)*相关定价!$E$3</f>
        <v>0</v>
      </c>
      <c r="P9">
        <f t="shared" si="3"/>
        <v>100</v>
      </c>
      <c r="Q9">
        <f t="shared" si="4"/>
        <v>17.789473684210527</v>
      </c>
      <c r="R9">
        <f>Q9-Q2</f>
        <v>4.6985645933014357</v>
      </c>
      <c r="T9">
        <v>7</v>
      </c>
      <c r="U9">
        <v>12</v>
      </c>
    </row>
    <row r="10" spans="1:25" x14ac:dyDescent="0.2">
      <c r="A10" s="12">
        <v>4</v>
      </c>
      <c r="B10">
        <v>2</v>
      </c>
      <c r="C10">
        <v>1</v>
      </c>
      <c r="D10" t="str">
        <f t="shared" si="1"/>
        <v>41</v>
      </c>
      <c r="E10" t="str">
        <f t="shared" si="2"/>
        <v>42</v>
      </c>
      <c r="F10">
        <f t="shared" si="0"/>
        <v>20</v>
      </c>
      <c r="G10">
        <f>VLOOKUP(F10,强化调整表!$A$2:$I$71,7,0)*10+VLOOKUP(F10,强化调整表!$A$2:$I$71,9,0)*10</f>
        <v>7000</v>
      </c>
      <c r="H10">
        <f>VLOOKUP(--E10,进阶值!$B$4:$E$24,2,0)/2</f>
        <v>3850</v>
      </c>
      <c r="I10">
        <f>VLOOKUP(--E10,进阶值!$B$4:$E$24,4,0)*10</f>
        <v>1540</v>
      </c>
      <c r="J10">
        <f>进阶调整表1!N10</f>
        <v>2</v>
      </c>
      <c r="K10">
        <f>进阶调整表1!P10</f>
        <v>0</v>
      </c>
      <c r="L10">
        <f>进阶调整表1!R10</f>
        <v>0</v>
      </c>
      <c r="M10">
        <f>J10*VLOOKUP(B10,进阶值!$B$28:$E$34,4,0)+K10*VLOOKUP(B10,进阶值!$B$35:$E$41,4,0)+L10*VLOOKUP(B10,进阶值!$B$42:$E$48,4,0)</f>
        <v>2090</v>
      </c>
      <c r="N10">
        <f>VLOOKUP(F10,强化调整表!$A$2:$E$71,5,0)/10</f>
        <v>1525</v>
      </c>
      <c r="O10">
        <f>VLOOKUP(--D10,$W$2:$Y$8,3,0)*VLOOKUP(B10,$T$3:$U$9,2,0)*相关定价!$E$3+O9</f>
        <v>1400</v>
      </c>
      <c r="P10">
        <f t="shared" si="3"/>
        <v>100</v>
      </c>
      <c r="Q10">
        <f t="shared" si="4"/>
        <v>4.7867768595041325</v>
      </c>
      <c r="R10">
        <f>Q10-Q3</f>
        <v>0.44896925324015058</v>
      </c>
    </row>
    <row r="11" spans="1:25" x14ac:dyDescent="0.2">
      <c r="A11" s="12">
        <v>4</v>
      </c>
      <c r="B11">
        <v>3</v>
      </c>
      <c r="C11">
        <v>1</v>
      </c>
      <c r="D11" t="str">
        <f t="shared" si="1"/>
        <v>41</v>
      </c>
      <c r="E11" t="str">
        <f t="shared" si="2"/>
        <v>43</v>
      </c>
      <c r="F11">
        <f t="shared" si="0"/>
        <v>30</v>
      </c>
      <c r="G11">
        <f>VLOOKUP(F11,强化调整表!$A$2:$I$71,7,0)*10+VLOOKUP(F11,强化调整表!$A$2:$I$71,9,0)*10</f>
        <v>10500</v>
      </c>
      <c r="H11">
        <f>VLOOKUP(--E11,进阶值!$B$4:$E$24,2,0)/2</f>
        <v>7392</v>
      </c>
      <c r="I11">
        <f>VLOOKUP(--E11,进阶值!$B$4:$E$24,4,0)*10</f>
        <v>2940</v>
      </c>
      <c r="J11">
        <f>进阶调整表1!N11</f>
        <v>2</v>
      </c>
      <c r="K11">
        <f>进阶调整表1!P11</f>
        <v>0</v>
      </c>
      <c r="L11">
        <f>进阶调整表1!R11</f>
        <v>0</v>
      </c>
      <c r="M11">
        <f>J11*VLOOKUP(B11,进阶值!$B$28:$E$34,4,0)+K11*VLOOKUP(B11,进阶值!$B$35:$E$41,4,0)+L11*VLOOKUP(B11,进阶值!$B$42:$E$48,4,0)</f>
        <v>2310</v>
      </c>
      <c r="N11">
        <f>VLOOKUP(F11,强化调整表!$A$2:$E$71,5,0)/10</f>
        <v>4225</v>
      </c>
      <c r="O11">
        <f>VLOOKUP(--D11,$W$2:$Y$8,3,0)*VLOOKUP(B11,$T$3:$U$9,2,0)*相关定价!$E$3+O10</f>
        <v>4200</v>
      </c>
      <c r="P11">
        <f t="shared" si="3"/>
        <v>100</v>
      </c>
      <c r="Q11">
        <f t="shared" si="4"/>
        <v>2.7146041055718477</v>
      </c>
      <c r="R11">
        <f t="shared" ref="R11:R43" si="5">Q11-Q4</f>
        <v>0.24167592877626776</v>
      </c>
      <c r="V11">
        <f>42*3*350</f>
        <v>44100</v>
      </c>
    </row>
    <row r="12" spans="1:25" x14ac:dyDescent="0.2">
      <c r="A12" s="12">
        <v>4</v>
      </c>
      <c r="B12">
        <v>4</v>
      </c>
      <c r="C12">
        <v>1</v>
      </c>
      <c r="D12" t="str">
        <f t="shared" si="1"/>
        <v>41</v>
      </c>
      <c r="E12" t="str">
        <f t="shared" si="2"/>
        <v>44</v>
      </c>
      <c r="F12">
        <f t="shared" si="0"/>
        <v>40</v>
      </c>
      <c r="G12">
        <f>VLOOKUP(F12,强化调整表!$A$2:$I$71,7,0)*10+VLOOKUP(F12,强化调整表!$A$2:$I$71,9,0)*10</f>
        <v>14000</v>
      </c>
      <c r="H12">
        <f>VLOOKUP(--E12,进阶值!$B$4:$E$24,2,0)/2</f>
        <v>13601</v>
      </c>
      <c r="I12">
        <f>VLOOKUP(--E12,进阶值!$B$4:$E$24,4,0)*10</f>
        <v>5400</v>
      </c>
      <c r="J12">
        <f>进阶调整表1!N12</f>
        <v>2</v>
      </c>
      <c r="K12">
        <f>进阶调整表1!P12</f>
        <v>0</v>
      </c>
      <c r="L12">
        <f>进阶调整表1!R12</f>
        <v>0</v>
      </c>
      <c r="M12">
        <f>J12*VLOOKUP(B12,进阶值!$B$28:$E$34,4,0)+K12*VLOOKUP(B12,进阶值!$B$35:$E$41,4,0)+L12*VLOOKUP(B12,进阶值!$B$42:$E$48,4,0)</f>
        <v>2530</v>
      </c>
      <c r="N12">
        <f>VLOOKUP(F12,强化调整表!$A$2:$E$71,5,0)/10</f>
        <v>10025</v>
      </c>
      <c r="O12">
        <f>VLOOKUP(--D12,$W$2:$Y$8,3,0)*VLOOKUP(B12,$T$3:$U$9,2,0)*相关定价!$E$3+O11</f>
        <v>8400</v>
      </c>
      <c r="P12">
        <f t="shared" si="3"/>
        <v>100</v>
      </c>
      <c r="Q12">
        <f t="shared" si="4"/>
        <v>1.9180026990553307</v>
      </c>
      <c r="R12">
        <f t="shared" si="5"/>
        <v>0.26710701939252779</v>
      </c>
    </row>
    <row r="13" spans="1:25" x14ac:dyDescent="0.2">
      <c r="A13" s="12">
        <v>4</v>
      </c>
      <c r="B13">
        <v>5</v>
      </c>
      <c r="C13">
        <v>1</v>
      </c>
      <c r="D13" t="str">
        <f t="shared" si="1"/>
        <v>41</v>
      </c>
      <c r="E13" t="str">
        <f t="shared" si="2"/>
        <v>45</v>
      </c>
      <c r="F13">
        <f t="shared" si="0"/>
        <v>50</v>
      </c>
      <c r="G13">
        <f>VLOOKUP(F13,强化调整表!$A$2:$I$71,7,0)*10+VLOOKUP(F13,强化调整表!$A$2:$I$71,9,0)*10</f>
        <v>17500</v>
      </c>
      <c r="H13">
        <f>VLOOKUP(--E13,进阶值!$B$4:$E$24,2,0)/2</f>
        <v>24481</v>
      </c>
      <c r="I13">
        <f>VLOOKUP(--E13,进阶值!$B$4:$E$24,4,0)*10</f>
        <v>9720</v>
      </c>
      <c r="J13">
        <f>进阶调整表1!N13</f>
        <v>2</v>
      </c>
      <c r="K13">
        <f>进阶调整表1!P13</f>
        <v>0</v>
      </c>
      <c r="L13">
        <f>进阶调整表1!R13</f>
        <v>0</v>
      </c>
      <c r="M13">
        <f>J13*VLOOKUP(B13,进阶值!$B$28:$E$34,4,0)+K13*VLOOKUP(B13,进阶值!$B$35:$E$41,4,0)+L13*VLOOKUP(B13,进阶值!$B$42:$E$48,4,0)</f>
        <v>2750</v>
      </c>
      <c r="N13">
        <f>VLOOKUP(F13,强化调整表!$A$2:$E$71,5,0)/10</f>
        <v>22025</v>
      </c>
      <c r="O13">
        <f>VLOOKUP(--D13,$W$2:$Y$8,3,0)*VLOOKUP(B13,$T$3:$U$9,2,0)*相关定价!$E$3+O12</f>
        <v>14000</v>
      </c>
      <c r="P13">
        <f t="shared" si="3"/>
        <v>100</v>
      </c>
      <c r="Q13">
        <f t="shared" si="4"/>
        <v>1.5072941176470589</v>
      </c>
      <c r="R13">
        <f t="shared" si="5"/>
        <v>0.31561166543421226</v>
      </c>
      <c r="V13" s="1" t="s">
        <v>214</v>
      </c>
      <c r="W13" s="1" t="s">
        <v>215</v>
      </c>
    </row>
    <row r="14" spans="1:25" x14ac:dyDescent="0.2">
      <c r="A14" s="12">
        <v>4</v>
      </c>
      <c r="B14">
        <v>6</v>
      </c>
      <c r="C14">
        <v>1</v>
      </c>
      <c r="D14" t="str">
        <f t="shared" si="1"/>
        <v>41</v>
      </c>
      <c r="E14" t="str">
        <f t="shared" si="2"/>
        <v>46</v>
      </c>
      <c r="F14">
        <f t="shared" si="0"/>
        <v>60</v>
      </c>
      <c r="G14">
        <f>VLOOKUP(F14,强化调整表!$A$2:$I$71,7,0)*10+VLOOKUP(F14,强化调整表!$A$2:$I$71,9,0)*10</f>
        <v>21000</v>
      </c>
      <c r="H14">
        <f>VLOOKUP(--E14,进阶值!$B$4:$E$24,2,0)/2</f>
        <v>43820</v>
      </c>
      <c r="I14">
        <f>VLOOKUP(--E14,进阶值!$B$4:$E$24,4,0)*10</f>
        <v>17380</v>
      </c>
      <c r="J14">
        <f>进阶调整表1!N14</f>
        <v>2</v>
      </c>
      <c r="K14">
        <f>进阶调整表1!P14</f>
        <v>0</v>
      </c>
      <c r="L14">
        <f>进阶调整表1!R14</f>
        <v>0</v>
      </c>
      <c r="M14">
        <f>J14*VLOOKUP(B14,进阶值!$B$28:$E$34,4,0)+K14*VLOOKUP(B14,进阶值!$B$35:$E$41,4,0)+L14*VLOOKUP(B14,进阶值!$B$42:$E$48,4,0)</f>
        <v>2970</v>
      </c>
      <c r="N14">
        <f>VLOOKUP(F14,强化调整表!$A$2:$E$71,5,0)/10</f>
        <v>45875</v>
      </c>
      <c r="O14">
        <f>VLOOKUP(--D14,$W$2:$Y$8,3,0)*VLOOKUP(B14,$T$3:$U$9,2,0)*相关定价!$E$3+O13</f>
        <v>21000</v>
      </c>
      <c r="P14">
        <f t="shared" si="3"/>
        <v>100</v>
      </c>
      <c r="Q14">
        <f t="shared" si="4"/>
        <v>1.2716685330347144</v>
      </c>
      <c r="R14" s="42">
        <f t="shared" si="5"/>
        <v>0.35653152851223502</v>
      </c>
      <c r="U14" s="1" t="s">
        <v>212</v>
      </c>
      <c r="V14">
        <v>2</v>
      </c>
      <c r="W14">
        <v>2</v>
      </c>
    </row>
    <row r="15" spans="1:25" s="5" customFormat="1" x14ac:dyDescent="0.2">
      <c r="A15" s="47">
        <v>4</v>
      </c>
      <c r="B15" s="5">
        <v>7</v>
      </c>
      <c r="C15" s="5">
        <v>1</v>
      </c>
      <c r="D15" s="5" t="str">
        <f t="shared" si="1"/>
        <v>41</v>
      </c>
      <c r="E15" s="5" t="str">
        <f t="shared" si="2"/>
        <v>47</v>
      </c>
      <c r="F15" s="5">
        <f t="shared" si="0"/>
        <v>70</v>
      </c>
      <c r="G15" s="5">
        <f>VLOOKUP(F15,强化调整表!$A$2:$I$71,7,0)*10+VLOOKUP(F15,强化调整表!$A$2:$I$71,9,0)*10</f>
        <v>24500</v>
      </c>
      <c r="H15" s="5">
        <f>VLOOKUP(--E15,进阶值!$B$4:$E$24,2,0)/2</f>
        <v>77999</v>
      </c>
      <c r="I15" s="5">
        <f>VLOOKUP(--E15,进阶值!$B$4:$E$24,4,0)*10</f>
        <v>30920</v>
      </c>
      <c r="J15" s="5">
        <f>进阶调整表1!N15</f>
        <v>2</v>
      </c>
      <c r="K15" s="5">
        <f>进阶调整表1!P15</f>
        <v>0</v>
      </c>
      <c r="L15" s="5">
        <f>进阶调整表1!R15</f>
        <v>0</v>
      </c>
      <c r="M15" s="5">
        <f>J15*VLOOKUP(B15,进阶值!$B$28:$E$34,4,0)+K15*VLOOKUP(B15,进阶值!$B$35:$E$41,4,0)+L15*VLOOKUP(B15,进阶值!$B$42:$E$48,4,0)</f>
        <v>3190</v>
      </c>
      <c r="N15" s="5">
        <f>VLOOKUP(F15,强化调整表!$A$2:$E$71,5,0)/10</f>
        <v>90225</v>
      </c>
      <c r="O15">
        <f>VLOOKUP(--D15,$W$2:$Y$8,3,0)*VLOOKUP(B15,$T$3:$U$9,2,0)*相关定价!$E$3+O14</f>
        <v>29400</v>
      </c>
      <c r="P15" s="5">
        <f t="shared" si="3"/>
        <v>100</v>
      </c>
      <c r="Q15" s="5">
        <f t="shared" si="4"/>
        <v>1.141023178116517</v>
      </c>
      <c r="R15" s="5">
        <f t="shared" si="5"/>
        <v>0.38856213080151247</v>
      </c>
      <c r="U15" s="5" t="s">
        <v>213</v>
      </c>
      <c r="V15" s="5">
        <f>(N22+O22+P22)*4*V14+(N43+O43+P43)*4*W14</f>
        <v>2043600</v>
      </c>
    </row>
    <row r="16" spans="1:25" x14ac:dyDescent="0.2">
      <c r="A16" s="12">
        <v>4</v>
      </c>
      <c r="B16">
        <v>1</v>
      </c>
      <c r="C16">
        <v>2</v>
      </c>
      <c r="D16" t="str">
        <f t="shared" si="1"/>
        <v>42</v>
      </c>
      <c r="E16" t="str">
        <f t="shared" si="2"/>
        <v>41</v>
      </c>
      <c r="F16">
        <f t="shared" si="0"/>
        <v>10</v>
      </c>
      <c r="G16">
        <f>VLOOKUP(F16,强化调整表!$A$2:$I$71,7,0)*10+VLOOKUP(F16,强化调整表!$A$2:$I$71,9,0)*10</f>
        <v>3500</v>
      </c>
      <c r="H16">
        <f>VLOOKUP(--E16,进阶值!$B$4:$E$24,2,0)/2</f>
        <v>2200</v>
      </c>
      <c r="I16">
        <f>VLOOKUP(--E16,进阶值!$B$4:$E$24,4,0)*10</f>
        <v>880</v>
      </c>
      <c r="J16">
        <f>进阶调整表1!N16</f>
        <v>1</v>
      </c>
      <c r="K16">
        <f>进阶调整表1!P16</f>
        <v>1</v>
      </c>
      <c r="L16">
        <f>进阶调整表1!R16</f>
        <v>0</v>
      </c>
      <c r="M16">
        <f>J16*VLOOKUP(B16,进阶值!$B$28:$E$34,4,0)+K16*VLOOKUP(B16,进阶值!$B$35:$E$41,4,0)+L16*VLOOKUP(B16,进阶值!$B$42:$E$48,4,0)</f>
        <v>2530</v>
      </c>
      <c r="N16">
        <f>VLOOKUP(F16,强化调整表!$A$2:$E$71,5,0)/10</f>
        <v>375</v>
      </c>
      <c r="O16">
        <f>VLOOKUP(--D16,$W$2:$Y$8,3,0)*VLOOKUP(B16,$T$3:$U$9,2,0)*相关定价!$E$3</f>
        <v>0</v>
      </c>
      <c r="P16">
        <f t="shared" si="3"/>
        <v>150</v>
      </c>
      <c r="Q16">
        <f t="shared" si="4"/>
        <v>17.352380952380951</v>
      </c>
      <c r="R16">
        <f t="shared" si="5"/>
        <v>-0.43709273182957631</v>
      </c>
      <c r="U16" s="1" t="s">
        <v>249</v>
      </c>
      <c r="V16">
        <f>(G22+H22+I22)*4*V14</f>
        <v>1067352</v>
      </c>
      <c r="W16">
        <f>(G43+H43+I43)*4*W14</f>
        <v>1764384</v>
      </c>
      <c r="X16">
        <f>V16+W16</f>
        <v>2831736</v>
      </c>
    </row>
    <row r="17" spans="1:24" x14ac:dyDescent="0.2">
      <c r="A17" s="12">
        <v>4</v>
      </c>
      <c r="B17">
        <v>2</v>
      </c>
      <c r="C17">
        <v>2</v>
      </c>
      <c r="D17" t="str">
        <f t="shared" si="1"/>
        <v>42</v>
      </c>
      <c r="E17" t="str">
        <f t="shared" si="2"/>
        <v>42</v>
      </c>
      <c r="F17">
        <f t="shared" si="0"/>
        <v>20</v>
      </c>
      <c r="G17">
        <f>VLOOKUP(F17,强化调整表!$A$2:$I$71,7,0)*10+VLOOKUP(F17,强化调整表!$A$2:$I$71,9,0)*10</f>
        <v>7000</v>
      </c>
      <c r="H17">
        <f>VLOOKUP(--E17,进阶值!$B$4:$E$24,2,0)/2</f>
        <v>3850</v>
      </c>
      <c r="I17">
        <f>VLOOKUP(--E17,进阶值!$B$4:$E$24,4,0)*10</f>
        <v>1540</v>
      </c>
      <c r="J17">
        <f>进阶调整表1!N17</f>
        <v>1</v>
      </c>
      <c r="K17">
        <f>进阶调整表1!P17</f>
        <v>1</v>
      </c>
      <c r="L17">
        <f>进阶调整表1!R17</f>
        <v>0</v>
      </c>
      <c r="M17">
        <f>J17*VLOOKUP(B17,进阶值!$B$28:$E$34,4,0)+K17*VLOOKUP(B17,进阶值!$B$35:$E$41,4,0)+L17*VLOOKUP(B17,进阶值!$B$42:$E$48,4,0)</f>
        <v>3960</v>
      </c>
      <c r="N17">
        <f>VLOOKUP(F17,强化调整表!$A$2:$E$71,5,0)/10</f>
        <v>1525</v>
      </c>
      <c r="O17">
        <f>VLOOKUP(--D17,$W$2:$Y$8,3,0)*VLOOKUP(B17,$T$3:$U$9,2,0)*相关定价!$E$3+O16</f>
        <v>1400</v>
      </c>
      <c r="P17">
        <f t="shared" si="3"/>
        <v>150</v>
      </c>
      <c r="Q17">
        <f t="shared" si="4"/>
        <v>5.3170731707317076</v>
      </c>
      <c r="R17" s="42">
        <f t="shared" si="5"/>
        <v>0.53029631122757515</v>
      </c>
      <c r="X17">
        <f>X16/V15</f>
        <v>1.3856605989430417</v>
      </c>
    </row>
    <row r="18" spans="1:24" x14ac:dyDescent="0.2">
      <c r="A18" s="12">
        <v>4</v>
      </c>
      <c r="B18">
        <v>3</v>
      </c>
      <c r="C18">
        <v>2</v>
      </c>
      <c r="D18" t="str">
        <f t="shared" si="1"/>
        <v>42</v>
      </c>
      <c r="E18" t="str">
        <f t="shared" si="2"/>
        <v>43</v>
      </c>
      <c r="F18">
        <f t="shared" si="0"/>
        <v>30</v>
      </c>
      <c r="G18">
        <f>VLOOKUP(F18,强化调整表!$A$2:$I$71,7,0)*10+VLOOKUP(F18,强化调整表!$A$2:$I$71,9,0)*10</f>
        <v>10500</v>
      </c>
      <c r="H18">
        <f>VLOOKUP(--E18,进阶值!$B$4:$E$24,2,0)/2</f>
        <v>7392</v>
      </c>
      <c r="I18">
        <f>VLOOKUP(--E18,进阶值!$B$4:$E$24,4,0)*10</f>
        <v>2940</v>
      </c>
      <c r="J18">
        <f>进阶调整表1!N18</f>
        <v>1</v>
      </c>
      <c r="K18">
        <f>进阶调整表1!P18</f>
        <v>1</v>
      </c>
      <c r="L18">
        <f>进阶调整表1!R18</f>
        <v>0</v>
      </c>
      <c r="M18">
        <f>J18*VLOOKUP(B18,进阶值!$B$28:$E$34,4,0)+K18*VLOOKUP(B18,进阶值!$B$35:$E$41,4,0)+L18*VLOOKUP(B18,进阶值!$B$42:$E$48,4,0)</f>
        <v>5390</v>
      </c>
      <c r="N18">
        <f>VLOOKUP(F18,强化调整表!$A$2:$E$71,5,0)/10</f>
        <v>4225</v>
      </c>
      <c r="O18">
        <f>VLOOKUP(--D18,$W$2:$Y$8,3,0)*VLOOKUP(B18,$T$3:$U$9,2,0)*相关定价!$E$3+O17</f>
        <v>4200</v>
      </c>
      <c r="P18">
        <f t="shared" si="3"/>
        <v>150</v>
      </c>
      <c r="Q18">
        <f t="shared" si="4"/>
        <v>3.0579591836734692</v>
      </c>
      <c r="R18">
        <f t="shared" si="5"/>
        <v>0.34335507810162147</v>
      </c>
    </row>
    <row r="19" spans="1:24" x14ac:dyDescent="0.2">
      <c r="A19" s="12">
        <v>4</v>
      </c>
      <c r="B19">
        <v>4</v>
      </c>
      <c r="C19">
        <v>2</v>
      </c>
      <c r="D19" t="str">
        <f t="shared" si="1"/>
        <v>42</v>
      </c>
      <c r="E19" t="str">
        <f t="shared" si="2"/>
        <v>44</v>
      </c>
      <c r="F19">
        <f t="shared" si="0"/>
        <v>40</v>
      </c>
      <c r="G19">
        <f>VLOOKUP(F19,强化调整表!$A$2:$I$71,7,0)*10+VLOOKUP(F19,强化调整表!$A$2:$I$71,9,0)*10</f>
        <v>14000</v>
      </c>
      <c r="H19">
        <f>VLOOKUP(--E19,进阶值!$B$4:$E$24,2,0)/2</f>
        <v>13601</v>
      </c>
      <c r="I19">
        <f>VLOOKUP(--E19,进阶值!$B$4:$E$24,4,0)*10</f>
        <v>5400</v>
      </c>
      <c r="J19">
        <f>进阶调整表1!N19</f>
        <v>1</v>
      </c>
      <c r="K19">
        <f>进阶调整表1!P19</f>
        <v>1</v>
      </c>
      <c r="L19">
        <f>进阶调整表1!R19</f>
        <v>0</v>
      </c>
      <c r="M19">
        <f>J19*VLOOKUP(B19,进阶值!$B$28:$E$34,4,0)+K19*VLOOKUP(B19,进阶值!$B$35:$E$41,4,0)+L19*VLOOKUP(B19,进阶值!$B$42:$E$48,4,0)</f>
        <v>6820</v>
      </c>
      <c r="N19">
        <f>VLOOKUP(F19,强化调整表!$A$2:$E$71,5,0)/10</f>
        <v>10025</v>
      </c>
      <c r="O19">
        <f>VLOOKUP(--D19,$W$2:$Y$8,3,0)*VLOOKUP(B19,$T$3:$U$9,2,0)*相关定价!$E$3+O18</f>
        <v>8400</v>
      </c>
      <c r="P19">
        <f t="shared" si="3"/>
        <v>150</v>
      </c>
      <c r="Q19">
        <f t="shared" si="4"/>
        <v>2.1437954239569312</v>
      </c>
      <c r="R19">
        <f t="shared" si="5"/>
        <v>0.22579272490160052</v>
      </c>
    </row>
    <row r="20" spans="1:24" x14ac:dyDescent="0.2">
      <c r="A20" s="12">
        <v>4</v>
      </c>
      <c r="B20">
        <v>5</v>
      </c>
      <c r="C20">
        <v>2</v>
      </c>
      <c r="D20" t="str">
        <f t="shared" si="1"/>
        <v>42</v>
      </c>
      <c r="E20" t="str">
        <f t="shared" si="2"/>
        <v>45</v>
      </c>
      <c r="F20">
        <f t="shared" si="0"/>
        <v>50</v>
      </c>
      <c r="G20">
        <f>VLOOKUP(F20,强化调整表!$A$2:$I$71,7,0)*10+VLOOKUP(F20,强化调整表!$A$2:$I$71,9,0)*10</f>
        <v>17500</v>
      </c>
      <c r="H20">
        <f>VLOOKUP(--E20,进阶值!$B$4:$E$24,2,0)/2</f>
        <v>24481</v>
      </c>
      <c r="I20">
        <f>VLOOKUP(--E20,进阶值!$B$4:$E$24,4,0)*10</f>
        <v>9720</v>
      </c>
      <c r="J20">
        <f>进阶调整表1!N20</f>
        <v>1</v>
      </c>
      <c r="K20">
        <f>进阶调整表1!P20</f>
        <v>1</v>
      </c>
      <c r="L20">
        <f>进阶调整表1!R20</f>
        <v>0</v>
      </c>
      <c r="M20">
        <f>J20*VLOOKUP(B20,进阶值!$B$28:$E$34,4,0)+K20*VLOOKUP(B20,进阶值!$B$35:$E$41,4,0)+L20*VLOOKUP(B20,进阶值!$B$42:$E$48,4,0)</f>
        <v>8250</v>
      </c>
      <c r="N20">
        <f>VLOOKUP(F20,强化调整表!$A$2:$E$71,5,0)/10</f>
        <v>22025</v>
      </c>
      <c r="O20">
        <f>VLOOKUP(--D20,$W$2:$Y$8,3,0)*VLOOKUP(B20,$T$3:$U$9,2,0)*相关定价!$E$3+O19</f>
        <v>14000</v>
      </c>
      <c r="P20">
        <f t="shared" si="3"/>
        <v>150</v>
      </c>
      <c r="Q20">
        <f t="shared" si="4"/>
        <v>1.6572494816862473</v>
      </c>
      <c r="R20">
        <f t="shared" si="5"/>
        <v>0.14995536403918841</v>
      </c>
    </row>
    <row r="21" spans="1:24" x14ac:dyDescent="0.2">
      <c r="A21" s="12">
        <v>4</v>
      </c>
      <c r="B21">
        <v>6</v>
      </c>
      <c r="C21">
        <v>2</v>
      </c>
      <c r="D21" t="str">
        <f t="shared" si="1"/>
        <v>42</v>
      </c>
      <c r="E21" t="str">
        <f t="shared" si="2"/>
        <v>46</v>
      </c>
      <c r="F21">
        <f t="shared" si="0"/>
        <v>60</v>
      </c>
      <c r="G21">
        <f>VLOOKUP(F21,强化调整表!$A$2:$I$71,7,0)*10+VLOOKUP(F21,强化调整表!$A$2:$I$71,9,0)*10</f>
        <v>21000</v>
      </c>
      <c r="H21">
        <f>VLOOKUP(--E21,进阶值!$B$4:$E$24,2,0)/2</f>
        <v>43820</v>
      </c>
      <c r="I21">
        <f>VLOOKUP(--E21,进阶值!$B$4:$E$24,4,0)*10</f>
        <v>17380</v>
      </c>
      <c r="J21">
        <f>进阶调整表1!N21</f>
        <v>1</v>
      </c>
      <c r="K21">
        <f>进阶调整表1!P21</f>
        <v>1</v>
      </c>
      <c r="L21">
        <f>进阶调整表1!R21</f>
        <v>0</v>
      </c>
      <c r="M21">
        <f>J21*VLOOKUP(B21,进阶值!$B$28:$E$34,4,0)+K21*VLOOKUP(B21,进阶值!$B$35:$E$41,4,0)+L21*VLOOKUP(B21,进阶值!$B$42:$E$48,4,0)</f>
        <v>9680</v>
      </c>
      <c r="N21">
        <f>VLOOKUP(F21,强化调整表!$A$2:$E$71,5,0)/10</f>
        <v>45875</v>
      </c>
      <c r="O21">
        <f>VLOOKUP(--D21,$W$2:$Y$8,3,0)*VLOOKUP(B21,$T$3:$U$9,2,0)*相关定价!$E$3+O20</f>
        <v>21000</v>
      </c>
      <c r="P21">
        <f t="shared" si="3"/>
        <v>150</v>
      </c>
      <c r="Q21">
        <f t="shared" si="4"/>
        <v>1.3708317791868705</v>
      </c>
      <c r="R21">
        <f t="shared" si="5"/>
        <v>9.9163246152156104E-2</v>
      </c>
    </row>
    <row r="22" spans="1:24" s="5" customFormat="1" x14ac:dyDescent="0.2">
      <c r="A22" s="47">
        <v>4</v>
      </c>
      <c r="B22" s="5">
        <v>7</v>
      </c>
      <c r="C22" s="5">
        <v>2</v>
      </c>
      <c r="D22" s="5" t="str">
        <f t="shared" si="1"/>
        <v>42</v>
      </c>
      <c r="E22" s="5" t="str">
        <f t="shared" si="2"/>
        <v>47</v>
      </c>
      <c r="F22" s="5">
        <f t="shared" si="0"/>
        <v>70</v>
      </c>
      <c r="G22" s="5">
        <f>VLOOKUP(F22,强化调整表!$A$2:$I$71,7,0)*10+VLOOKUP(F22,强化调整表!$A$2:$I$71,9,0)*10</f>
        <v>24500</v>
      </c>
      <c r="H22" s="5">
        <f>VLOOKUP(--E22,进阶值!$B$4:$E$24,2,0)/2</f>
        <v>77999</v>
      </c>
      <c r="I22" s="5">
        <f>VLOOKUP(--E22,进阶值!$B$4:$E$24,4,0)*10</f>
        <v>30920</v>
      </c>
      <c r="J22" s="5">
        <f>进阶调整表1!N22</f>
        <v>1</v>
      </c>
      <c r="K22" s="5">
        <f>进阶调整表1!P22</f>
        <v>1</v>
      </c>
      <c r="L22" s="5">
        <f>进阶调整表1!R22</f>
        <v>0</v>
      </c>
      <c r="M22" s="5">
        <f>J22*VLOOKUP(B22,进阶值!$B$28:$E$34,4,0)+K22*VLOOKUP(B22,进阶值!$B$35:$E$41,4,0)+L22*VLOOKUP(B22,进阶值!$B$42:$E$48,4,0)</f>
        <v>11110</v>
      </c>
      <c r="N22" s="5">
        <f>VLOOKUP(F22,强化调整表!$A$2:$E$71,5,0)/10</f>
        <v>90225</v>
      </c>
      <c r="O22">
        <f>VLOOKUP(--D22,$W$2:$Y$8,3,0)*VLOOKUP(B22,$T$3:$U$9,2,0)*相关定价!$E$3+O21</f>
        <v>29400</v>
      </c>
      <c r="P22" s="5">
        <f t="shared" si="3"/>
        <v>150</v>
      </c>
      <c r="Q22" s="5">
        <f t="shared" si="4"/>
        <v>1.2066708411605094</v>
      </c>
      <c r="R22" s="5">
        <f t="shared" si="5"/>
        <v>6.5647663043992388E-2</v>
      </c>
    </row>
    <row r="23" spans="1:24" x14ac:dyDescent="0.2">
      <c r="A23" s="4">
        <v>5</v>
      </c>
      <c r="B23">
        <v>1</v>
      </c>
      <c r="C23">
        <v>1</v>
      </c>
      <c r="D23" t="str">
        <f t="shared" si="1"/>
        <v>51</v>
      </c>
      <c r="E23" t="str">
        <f t="shared" si="2"/>
        <v>51</v>
      </c>
      <c r="F23">
        <f t="shared" si="0"/>
        <v>10</v>
      </c>
      <c r="G23">
        <f>VLOOKUP(F23,强化调整表!$A$2:$I$71,7,0)*10+VLOOKUP(F23,强化调整表!$A$2:$I$71,9,0)*10</f>
        <v>3500</v>
      </c>
      <c r="H23">
        <f>VLOOKUP(--E23,进阶值!$B$4:$E$24,2,0)/2</f>
        <v>3960</v>
      </c>
      <c r="I23">
        <f>VLOOKUP(--E23,进阶值!$B$4:$E$24,4,0)*10</f>
        <v>1580</v>
      </c>
      <c r="J23">
        <f>进阶调整表1!N23</f>
        <v>2</v>
      </c>
      <c r="K23">
        <f>进阶调整表1!P23</f>
        <v>1</v>
      </c>
      <c r="L23">
        <f>进阶调整表1!R23</f>
        <v>0</v>
      </c>
      <c r="M23">
        <f>J23*VLOOKUP(B23,进阶值!$B$28:$E$34,4,0)+K23*VLOOKUP(B23,进阶值!$B$35:$E$41,4,0)+L23*VLOOKUP(B23,进阶值!$B$42:$E$48,4,0)</f>
        <v>3465</v>
      </c>
      <c r="N23">
        <f>VLOOKUP(F23,强化调整表!$A$2:$E$71,5,0)/10</f>
        <v>375</v>
      </c>
      <c r="O23">
        <f>VLOOKUP(--D23,$W$2:$Y$8,3,0)*VLOOKUP(B23,$T$3:$U$9,2,0)*相关定价!$E$3</f>
        <v>0</v>
      </c>
      <c r="P23">
        <f t="shared" si="3"/>
        <v>300</v>
      </c>
      <c r="Q23">
        <f t="shared" si="4"/>
        <v>18.525925925925925</v>
      </c>
      <c r="R23">
        <f t="shared" si="5"/>
        <v>1.1735449735449741</v>
      </c>
      <c r="T23" s="1" t="s">
        <v>254</v>
      </c>
    </row>
    <row r="24" spans="1:24" x14ac:dyDescent="0.2">
      <c r="A24" s="4">
        <v>5</v>
      </c>
      <c r="B24">
        <v>2</v>
      </c>
      <c r="C24">
        <v>1</v>
      </c>
      <c r="D24" t="str">
        <f t="shared" si="1"/>
        <v>51</v>
      </c>
      <c r="E24" t="str">
        <f t="shared" si="2"/>
        <v>52</v>
      </c>
      <c r="F24">
        <f t="shared" si="0"/>
        <v>20</v>
      </c>
      <c r="G24">
        <f>VLOOKUP(F24,强化调整表!$A$2:$I$71,7,0)*10+VLOOKUP(F24,强化调整表!$A$2:$I$71,9,0)*10</f>
        <v>7000</v>
      </c>
      <c r="H24">
        <f>VLOOKUP(--E24,进阶值!$B$4:$E$24,2,0)/2</f>
        <v>6930</v>
      </c>
      <c r="I24">
        <f>VLOOKUP(--E24,进阶值!$B$4:$E$24,4,0)*10</f>
        <v>2770</v>
      </c>
      <c r="J24">
        <f>进阶调整表1!N24</f>
        <v>2</v>
      </c>
      <c r="K24">
        <f>进阶调整表1!P24</f>
        <v>1</v>
      </c>
      <c r="L24">
        <f>进阶调整表1!R24</f>
        <v>0</v>
      </c>
      <c r="M24">
        <f>J24*VLOOKUP(B24,进阶值!$B$28:$E$34,4,0)+K24*VLOOKUP(B24,进阶值!$B$35:$E$41,4,0)+L24*VLOOKUP(B24,进阶值!$B$42:$E$48,4,0)</f>
        <v>5005</v>
      </c>
      <c r="N24">
        <f>VLOOKUP(F24,强化调整表!$A$2:$E$71,5,0)/10</f>
        <v>1525</v>
      </c>
      <c r="O24">
        <f>VLOOKUP(--D24,$W$2:$Y$8,3,0)*VLOOKUP(B24,$T$3:$U$9,2,0)*相关定价!$E$3+O23</f>
        <v>2100</v>
      </c>
      <c r="P24">
        <f t="shared" si="3"/>
        <v>300</v>
      </c>
      <c r="Q24">
        <f t="shared" si="4"/>
        <v>5.529936305732484</v>
      </c>
      <c r="R24">
        <f t="shared" si="5"/>
        <v>0.21286313500077636</v>
      </c>
      <c r="T24" s="1" t="s">
        <v>72</v>
      </c>
      <c r="U24" s="1" t="s">
        <v>194</v>
      </c>
    </row>
    <row r="25" spans="1:24" x14ac:dyDescent="0.2">
      <c r="A25" s="4">
        <v>5</v>
      </c>
      <c r="B25">
        <v>3</v>
      </c>
      <c r="C25">
        <v>1</v>
      </c>
      <c r="D25" t="str">
        <f t="shared" si="1"/>
        <v>51</v>
      </c>
      <c r="E25" t="str">
        <f t="shared" si="2"/>
        <v>53</v>
      </c>
      <c r="F25">
        <f t="shared" si="0"/>
        <v>30</v>
      </c>
      <c r="G25">
        <f>VLOOKUP(F25,强化调整表!$A$2:$I$71,7,0)*10+VLOOKUP(F25,强化调整表!$A$2:$I$71,9,0)*10</f>
        <v>10500</v>
      </c>
      <c r="H25">
        <f>VLOOKUP(--E25,进阶值!$B$4:$E$24,2,0)/2</f>
        <v>13305.5</v>
      </c>
      <c r="I25">
        <f>VLOOKUP(--E25,进阶值!$B$4:$E$24,4,0)*10</f>
        <v>5290</v>
      </c>
      <c r="J25">
        <f>进阶调整表1!N25</f>
        <v>2</v>
      </c>
      <c r="K25">
        <f>进阶调整表1!P25</f>
        <v>1</v>
      </c>
      <c r="L25">
        <f>进阶调整表1!R25</f>
        <v>0</v>
      </c>
      <c r="M25">
        <f>J25*VLOOKUP(B25,进阶值!$B$28:$E$34,4,0)+K25*VLOOKUP(B25,进阶值!$B$35:$E$41,4,0)+L25*VLOOKUP(B25,进阶值!$B$42:$E$48,4,0)</f>
        <v>6545</v>
      </c>
      <c r="N25">
        <f>VLOOKUP(F25,强化调整表!$A$2:$E$71,5,0)/10</f>
        <v>4225</v>
      </c>
      <c r="O25">
        <f>VLOOKUP(--D25,$W$2:$Y$8,3,0)*VLOOKUP(B25,$T$3:$U$9,2,0)*相关定价!$E$3+O24</f>
        <v>6300</v>
      </c>
      <c r="P25">
        <f t="shared" si="3"/>
        <v>300</v>
      </c>
      <c r="Q25">
        <f t="shared" si="4"/>
        <v>3.2924249422632794</v>
      </c>
      <c r="R25">
        <f t="shared" si="5"/>
        <v>0.23446575858981022</v>
      </c>
      <c r="T25">
        <v>1</v>
      </c>
      <c r="U25">
        <v>2</v>
      </c>
    </row>
    <row r="26" spans="1:24" x14ac:dyDescent="0.2">
      <c r="A26" s="4">
        <v>5</v>
      </c>
      <c r="B26">
        <v>4</v>
      </c>
      <c r="C26">
        <v>1</v>
      </c>
      <c r="D26" t="str">
        <f t="shared" si="1"/>
        <v>51</v>
      </c>
      <c r="E26" t="str">
        <f t="shared" si="2"/>
        <v>54</v>
      </c>
      <c r="F26">
        <f t="shared" si="0"/>
        <v>40</v>
      </c>
      <c r="G26">
        <f>VLOOKUP(F26,强化调整表!$A$2:$I$71,7,0)*10+VLOOKUP(F26,强化调整表!$A$2:$I$71,9,0)*10</f>
        <v>14000</v>
      </c>
      <c r="H26">
        <f>VLOOKUP(--E26,进阶值!$B$4:$E$24,2,0)/2</f>
        <v>24481.5</v>
      </c>
      <c r="I26">
        <f>VLOOKUP(--E26,进阶值!$B$4:$E$24,4,0)*10</f>
        <v>9720</v>
      </c>
      <c r="J26">
        <f>进阶调整表1!N26</f>
        <v>2</v>
      </c>
      <c r="K26">
        <f>进阶调整表1!P26</f>
        <v>1</v>
      </c>
      <c r="L26">
        <f>进阶调整表1!R26</f>
        <v>0</v>
      </c>
      <c r="M26">
        <f>J26*VLOOKUP(B26,进阶值!$B$28:$E$34,4,0)+K26*VLOOKUP(B26,进阶值!$B$35:$E$41,4,0)+L26*VLOOKUP(B26,进阶值!$B$42:$E$48,4,0)</f>
        <v>8085</v>
      </c>
      <c r="N26">
        <f>VLOOKUP(F26,强化调整表!$A$2:$E$71,5,0)/10</f>
        <v>10025</v>
      </c>
      <c r="O26">
        <f>VLOOKUP(--D26,$W$2:$Y$8,3,0)*VLOOKUP(B26,$T$3:$U$9,2,0)*相关定价!$E$3+O25</f>
        <v>12600</v>
      </c>
      <c r="P26">
        <f t="shared" si="3"/>
        <v>300</v>
      </c>
      <c r="Q26">
        <f t="shared" si="4"/>
        <v>2.455245365321701</v>
      </c>
      <c r="R26" s="42">
        <f t="shared" si="5"/>
        <v>0.31144994136476978</v>
      </c>
      <c r="T26">
        <v>2</v>
      </c>
      <c r="U26">
        <v>4</v>
      </c>
    </row>
    <row r="27" spans="1:24" x14ac:dyDescent="0.2">
      <c r="A27" s="4">
        <v>5</v>
      </c>
      <c r="B27">
        <v>5</v>
      </c>
      <c r="C27">
        <v>1</v>
      </c>
      <c r="D27" t="str">
        <f t="shared" si="1"/>
        <v>51</v>
      </c>
      <c r="E27" t="str">
        <f t="shared" si="2"/>
        <v>55</v>
      </c>
      <c r="F27">
        <f t="shared" si="0"/>
        <v>50</v>
      </c>
      <c r="G27">
        <f>VLOOKUP(F27,强化调整表!$A$2:$I$71,7,0)*10+VLOOKUP(F27,强化调整表!$A$2:$I$71,9,0)*10</f>
        <v>17500</v>
      </c>
      <c r="H27">
        <f>VLOOKUP(--E27,进阶值!$B$4:$E$24,2,0)/2</f>
        <v>44065.5</v>
      </c>
      <c r="I27">
        <f>VLOOKUP(--E27,进阶值!$B$4:$E$24,4,0)*10</f>
        <v>17490</v>
      </c>
      <c r="J27">
        <f>进阶调整表1!N27</f>
        <v>2</v>
      </c>
      <c r="K27">
        <f>进阶调整表1!P27</f>
        <v>1</v>
      </c>
      <c r="L27">
        <f>进阶调整表1!R27</f>
        <v>0</v>
      </c>
      <c r="M27">
        <f>J27*VLOOKUP(B27,进阶值!$B$28:$E$34,4,0)+K27*VLOOKUP(B27,进阶值!$B$35:$E$41,4,0)+L27*VLOOKUP(B27,进阶值!$B$42:$E$48,4,0)</f>
        <v>9625</v>
      </c>
      <c r="N27">
        <f>VLOOKUP(F27,强化调整表!$A$2:$E$71,5,0)/10</f>
        <v>22025</v>
      </c>
      <c r="O27">
        <f>VLOOKUP(--D27,$W$2:$Y$8,3,0)*VLOOKUP(B27,$T$3:$U$9,2,0)*相关定价!$E$3+O26</f>
        <v>21000</v>
      </c>
      <c r="P27">
        <f t="shared" si="3"/>
        <v>300</v>
      </c>
      <c r="Q27">
        <f t="shared" si="4"/>
        <v>2.0468667051356029</v>
      </c>
      <c r="R27">
        <f t="shared" si="5"/>
        <v>0.38961722344935557</v>
      </c>
      <c r="T27">
        <v>3</v>
      </c>
      <c r="U27">
        <v>6</v>
      </c>
    </row>
    <row r="28" spans="1:24" x14ac:dyDescent="0.2">
      <c r="A28" s="4">
        <v>5</v>
      </c>
      <c r="B28">
        <v>6</v>
      </c>
      <c r="C28">
        <v>1</v>
      </c>
      <c r="D28" t="str">
        <f t="shared" si="1"/>
        <v>51</v>
      </c>
      <c r="E28" t="str">
        <f t="shared" si="2"/>
        <v>56</v>
      </c>
      <c r="F28">
        <f t="shared" si="0"/>
        <v>60</v>
      </c>
      <c r="G28">
        <f>VLOOKUP(F28,强化调整表!$A$2:$I$71,7,0)*10+VLOOKUP(F28,强化调整表!$A$2:$I$71,9,0)*10</f>
        <v>21000</v>
      </c>
      <c r="H28">
        <f>VLOOKUP(--E28,进阶值!$B$4:$E$24,2,0)/2</f>
        <v>78876</v>
      </c>
      <c r="I28">
        <f>VLOOKUP(--E28,进阶值!$B$4:$E$24,4,0)*10</f>
        <v>31280</v>
      </c>
      <c r="J28">
        <f>进阶调整表1!N28</f>
        <v>2</v>
      </c>
      <c r="K28">
        <f>进阶调整表1!P28</f>
        <v>1</v>
      </c>
      <c r="L28">
        <f>进阶调整表1!R28</f>
        <v>0</v>
      </c>
      <c r="M28">
        <f>J28*VLOOKUP(B28,进阶值!$B$28:$E$34,4,0)+K28*VLOOKUP(B28,进阶值!$B$35:$E$41,4,0)+L28*VLOOKUP(B28,进阶值!$B$42:$E$48,4,0)</f>
        <v>11165</v>
      </c>
      <c r="N28">
        <f>VLOOKUP(F28,强化调整表!$A$2:$E$71,5,0)/10</f>
        <v>45875</v>
      </c>
      <c r="O28">
        <f>VLOOKUP(--D28,$W$2:$Y$8,3,0)*VLOOKUP(B28,$T$3:$U$9,2,0)*相关定价!$E$3+O27</f>
        <v>31500</v>
      </c>
      <c r="P28">
        <f t="shared" si="3"/>
        <v>300</v>
      </c>
      <c r="Q28">
        <f t="shared" si="4"/>
        <v>1.8322626327647249</v>
      </c>
      <c r="R28">
        <f t="shared" si="5"/>
        <v>0.46143085357785441</v>
      </c>
      <c r="T28">
        <v>4</v>
      </c>
      <c r="U28">
        <v>8</v>
      </c>
    </row>
    <row r="29" spans="1:24" s="5" customFormat="1" x14ac:dyDescent="0.2">
      <c r="A29" s="2">
        <v>5</v>
      </c>
      <c r="B29" s="5">
        <v>7</v>
      </c>
      <c r="C29" s="5">
        <v>1</v>
      </c>
      <c r="D29" s="5" t="str">
        <f t="shared" si="1"/>
        <v>51</v>
      </c>
      <c r="E29" s="5" t="str">
        <f t="shared" si="2"/>
        <v>57</v>
      </c>
      <c r="F29" s="5">
        <f t="shared" si="0"/>
        <v>70</v>
      </c>
      <c r="G29" s="5">
        <f>VLOOKUP(F29,强化调整表!$A$2:$I$71,7,0)*10+VLOOKUP(F29,强化调整表!$A$2:$I$71,9,0)*10</f>
        <v>24500</v>
      </c>
      <c r="H29" s="5">
        <f>VLOOKUP(--E29,进阶值!$B$4:$E$24,2,0)/2</f>
        <v>140398</v>
      </c>
      <c r="I29" s="5">
        <f>VLOOKUP(--E29,进阶值!$B$4:$E$24,4,0)*10</f>
        <v>55650</v>
      </c>
      <c r="J29" s="5">
        <f>进阶调整表1!N29</f>
        <v>2</v>
      </c>
      <c r="K29" s="5">
        <f>进阶调整表1!P29</f>
        <v>1</v>
      </c>
      <c r="L29" s="5">
        <f>进阶调整表1!R29</f>
        <v>0</v>
      </c>
      <c r="M29" s="5">
        <f>J29*VLOOKUP(B29,进阶值!$B$28:$E$34,4,0)+K29*VLOOKUP(B29,进阶值!$B$35:$E$41,4,0)+L29*VLOOKUP(B29,进阶值!$B$42:$E$48,4,0)</f>
        <v>12705</v>
      </c>
      <c r="N29" s="5">
        <f>VLOOKUP(F29,强化调整表!$A$2:$E$71,5,0)/10</f>
        <v>90225</v>
      </c>
      <c r="O29">
        <f>VLOOKUP(--D29,$W$2:$Y$8,3,0)*VLOOKUP(B29,$T$3:$U$9,2,0)*相关定价!$E$3+O28</f>
        <v>44100</v>
      </c>
      <c r="P29" s="5">
        <f t="shared" si="3"/>
        <v>300</v>
      </c>
      <c r="Q29" s="5">
        <f t="shared" si="4"/>
        <v>1.7326128133704735</v>
      </c>
      <c r="R29" s="5">
        <f t="shared" si="5"/>
        <v>0.52594197220996408</v>
      </c>
      <c r="T29">
        <v>5</v>
      </c>
      <c r="U29" s="5">
        <v>10</v>
      </c>
    </row>
    <row r="30" spans="1:24" x14ac:dyDescent="0.2">
      <c r="A30" s="4">
        <v>5</v>
      </c>
      <c r="B30">
        <v>1</v>
      </c>
      <c r="C30">
        <v>2</v>
      </c>
      <c r="D30" t="str">
        <f t="shared" si="1"/>
        <v>52</v>
      </c>
      <c r="E30" t="str">
        <f t="shared" si="2"/>
        <v>51</v>
      </c>
      <c r="F30">
        <f t="shared" si="0"/>
        <v>10</v>
      </c>
      <c r="G30">
        <f>VLOOKUP(F30,强化调整表!$A$2:$I$71,7,0)*10+VLOOKUP(F30,强化调整表!$A$2:$I$71,9,0)*10</f>
        <v>3500</v>
      </c>
      <c r="H30">
        <f>VLOOKUP(--E30,进阶值!$B$4:$E$24,2,0)/2</f>
        <v>3960</v>
      </c>
      <c r="I30">
        <f>VLOOKUP(--E30,进阶值!$B$4:$E$24,4,0)*10</f>
        <v>1580</v>
      </c>
      <c r="J30">
        <f>进阶调整表1!N30</f>
        <v>1</v>
      </c>
      <c r="K30">
        <f>进阶调整表1!P30</f>
        <v>1</v>
      </c>
      <c r="L30">
        <f>进阶调整表1!R30</f>
        <v>1</v>
      </c>
      <c r="M30">
        <f>J30*VLOOKUP(B30,进阶值!$B$28:$E$34,4,0)+K30*VLOOKUP(B30,进阶值!$B$35:$E$41,4,0)+L30*VLOOKUP(B30,进阶值!$B$42:$E$48,4,0)</f>
        <v>5610</v>
      </c>
      <c r="N30">
        <f>VLOOKUP(F30,强化调整表!$A$2:$E$71,5,0)/10</f>
        <v>375</v>
      </c>
      <c r="O30">
        <f>VLOOKUP(--D30,$W$2:$Y$8,3,0)*VLOOKUP(B30,$T$3:$U$9,2,0)*相关定价!$E$3</f>
        <v>0</v>
      </c>
      <c r="P30">
        <f t="shared" si="3"/>
        <v>450</v>
      </c>
      <c r="Q30">
        <f t="shared" si="4"/>
        <v>17.757575757575758</v>
      </c>
      <c r="R30">
        <f t="shared" si="5"/>
        <v>-0.76835016835016745</v>
      </c>
      <c r="T30" s="5">
        <v>6</v>
      </c>
      <c r="U30">
        <v>12</v>
      </c>
    </row>
    <row r="31" spans="1:24" x14ac:dyDescent="0.2">
      <c r="A31" s="4">
        <v>5</v>
      </c>
      <c r="B31">
        <v>2</v>
      </c>
      <c r="C31">
        <v>2</v>
      </c>
      <c r="D31" t="str">
        <f t="shared" si="1"/>
        <v>52</v>
      </c>
      <c r="E31" t="str">
        <f t="shared" si="2"/>
        <v>52</v>
      </c>
      <c r="F31">
        <f t="shared" si="0"/>
        <v>20</v>
      </c>
      <c r="G31">
        <f>VLOOKUP(F31,强化调整表!$A$2:$I$71,7,0)*10+VLOOKUP(F31,强化调整表!$A$2:$I$71,9,0)*10</f>
        <v>7000</v>
      </c>
      <c r="H31">
        <f>VLOOKUP(--E31,进阶值!$B$4:$E$24,2,0)/2</f>
        <v>6930</v>
      </c>
      <c r="I31">
        <f>VLOOKUP(--E31,进阶值!$B$4:$E$24,4,0)*10</f>
        <v>2770</v>
      </c>
      <c r="J31">
        <f>进阶调整表1!N31</f>
        <v>1</v>
      </c>
      <c r="K31">
        <f>进阶调整表1!P31</f>
        <v>1</v>
      </c>
      <c r="L31">
        <f>进阶调整表1!R31</f>
        <v>1</v>
      </c>
      <c r="M31">
        <f>J31*VLOOKUP(B31,进阶值!$B$28:$E$34,4,0)+K31*VLOOKUP(B31,进阶值!$B$35:$E$41,4,0)+L31*VLOOKUP(B31,进阶值!$B$42:$E$48,4,0)</f>
        <v>9020</v>
      </c>
      <c r="N31">
        <f>VLOOKUP(F31,强化调整表!$A$2:$E$71,5,0)/10</f>
        <v>1525</v>
      </c>
      <c r="O31">
        <f>VLOOKUP(--D31,$W$2:$Y$8,3,0)*VLOOKUP(B31,$T$3:$U$9,2,0)*相关定价!$E$3+O30</f>
        <v>2100</v>
      </c>
      <c r="P31">
        <f t="shared" si="3"/>
        <v>450</v>
      </c>
      <c r="Q31">
        <f t="shared" si="4"/>
        <v>6.3116564417177914</v>
      </c>
      <c r="R31" s="42">
        <f t="shared" si="5"/>
        <v>0.78172013598530743</v>
      </c>
      <c r="T31">
        <v>7</v>
      </c>
      <c r="U31">
        <v>0</v>
      </c>
    </row>
    <row r="32" spans="1:24" x14ac:dyDescent="0.2">
      <c r="A32" s="4">
        <v>5</v>
      </c>
      <c r="B32">
        <v>3</v>
      </c>
      <c r="C32">
        <v>2</v>
      </c>
      <c r="D32" t="str">
        <f t="shared" si="1"/>
        <v>52</v>
      </c>
      <c r="E32" t="str">
        <f t="shared" si="2"/>
        <v>53</v>
      </c>
      <c r="F32">
        <f t="shared" si="0"/>
        <v>30</v>
      </c>
      <c r="G32">
        <f>VLOOKUP(F32,强化调整表!$A$2:$I$71,7,0)*10+VLOOKUP(F32,强化调整表!$A$2:$I$71,9,0)*10</f>
        <v>10500</v>
      </c>
      <c r="H32">
        <f>VLOOKUP(--E32,进阶值!$B$4:$E$24,2,0)/2</f>
        <v>13305.5</v>
      </c>
      <c r="I32">
        <f>VLOOKUP(--E32,进阶值!$B$4:$E$24,4,0)*10</f>
        <v>5290</v>
      </c>
      <c r="J32">
        <f>进阶调整表1!N32</f>
        <v>1</v>
      </c>
      <c r="K32">
        <f>进阶调整表1!P32</f>
        <v>1</v>
      </c>
      <c r="L32">
        <f>进阶调整表1!R32</f>
        <v>1</v>
      </c>
      <c r="M32">
        <f>J32*VLOOKUP(B32,进阶值!$B$28:$E$34,4,0)+K32*VLOOKUP(B32,进阶值!$B$35:$E$41,4,0)+L32*VLOOKUP(B32,进阶值!$B$42:$E$48,4,0)</f>
        <v>12430</v>
      </c>
      <c r="N32">
        <f>VLOOKUP(F32,强化调整表!$A$2:$E$71,5,0)/10</f>
        <v>4225</v>
      </c>
      <c r="O32">
        <f>VLOOKUP(--D32,$W$2:$Y$8,3,0)*VLOOKUP(B32,$T$3:$U$9,2,0)*相关定价!$E$3+O31</f>
        <v>6300</v>
      </c>
      <c r="P32">
        <f t="shared" si="3"/>
        <v>450</v>
      </c>
      <c r="Q32">
        <f t="shared" si="4"/>
        <v>3.783644646924829</v>
      </c>
      <c r="R32">
        <f t="shared" si="5"/>
        <v>0.49121970466154963</v>
      </c>
    </row>
    <row r="33" spans="1:18" x14ac:dyDescent="0.2">
      <c r="A33" s="4">
        <v>5</v>
      </c>
      <c r="B33">
        <v>4</v>
      </c>
      <c r="C33">
        <v>2</v>
      </c>
      <c r="D33" t="str">
        <f t="shared" si="1"/>
        <v>52</v>
      </c>
      <c r="E33" t="str">
        <f t="shared" si="2"/>
        <v>54</v>
      </c>
      <c r="F33">
        <f t="shared" si="0"/>
        <v>40</v>
      </c>
      <c r="G33">
        <f>VLOOKUP(F33,强化调整表!$A$2:$I$71,7,0)*10+VLOOKUP(F33,强化调整表!$A$2:$I$71,9,0)*10</f>
        <v>14000</v>
      </c>
      <c r="H33">
        <f>VLOOKUP(--E33,进阶值!$B$4:$E$24,2,0)/2</f>
        <v>24481.5</v>
      </c>
      <c r="I33">
        <f>VLOOKUP(--E33,进阶值!$B$4:$E$24,4,0)*10</f>
        <v>9720</v>
      </c>
      <c r="J33">
        <f>进阶调整表1!N33</f>
        <v>1</v>
      </c>
      <c r="K33">
        <f>进阶调整表1!P33</f>
        <v>1</v>
      </c>
      <c r="L33">
        <f>进阶调整表1!R33</f>
        <v>1</v>
      </c>
      <c r="M33">
        <f>J33*VLOOKUP(B33,进阶值!$B$28:$E$34,4,0)+K33*VLOOKUP(B33,进阶值!$B$35:$E$41,4,0)+L33*VLOOKUP(B33,进阶值!$B$42:$E$48,4,0)</f>
        <v>15840</v>
      </c>
      <c r="N33">
        <f>VLOOKUP(F33,强化调整表!$A$2:$E$71,5,0)/10</f>
        <v>10025</v>
      </c>
      <c r="O33">
        <f>VLOOKUP(--D33,$W$2:$Y$8,3,0)*VLOOKUP(B33,$T$3:$U$9,2,0)*相关定价!$E$3+O32</f>
        <v>12600</v>
      </c>
      <c r="P33">
        <f t="shared" si="3"/>
        <v>450</v>
      </c>
      <c r="Q33">
        <f t="shared" si="4"/>
        <v>2.7753629469122427</v>
      </c>
      <c r="R33">
        <f t="shared" si="5"/>
        <v>0.32011758159054171</v>
      </c>
    </row>
    <row r="34" spans="1:18" x14ac:dyDescent="0.2">
      <c r="A34" s="4">
        <v>5</v>
      </c>
      <c r="B34">
        <v>5</v>
      </c>
      <c r="C34">
        <v>2</v>
      </c>
      <c r="D34" t="str">
        <f t="shared" si="1"/>
        <v>52</v>
      </c>
      <c r="E34" t="str">
        <f t="shared" si="2"/>
        <v>55</v>
      </c>
      <c r="F34">
        <f t="shared" si="0"/>
        <v>50</v>
      </c>
      <c r="G34">
        <f>VLOOKUP(F34,强化调整表!$A$2:$I$71,7,0)*10+VLOOKUP(F34,强化调整表!$A$2:$I$71,9,0)*10</f>
        <v>17500</v>
      </c>
      <c r="H34">
        <f>VLOOKUP(--E34,进阶值!$B$4:$E$24,2,0)/2</f>
        <v>44065.5</v>
      </c>
      <c r="I34">
        <f>VLOOKUP(--E34,进阶值!$B$4:$E$24,4,0)*10</f>
        <v>17490</v>
      </c>
      <c r="J34">
        <f>进阶调整表1!N34</f>
        <v>1</v>
      </c>
      <c r="K34">
        <f>进阶调整表1!P34</f>
        <v>1</v>
      </c>
      <c r="L34">
        <f>进阶调整表1!R34</f>
        <v>1</v>
      </c>
      <c r="M34">
        <f>J34*VLOOKUP(B34,进阶值!$B$28:$E$34,4,0)+K34*VLOOKUP(B34,进阶值!$B$35:$E$41,4,0)+L34*VLOOKUP(B34,进阶值!$B$42:$E$48,4,0)</f>
        <v>19250</v>
      </c>
      <c r="N34">
        <f>VLOOKUP(F34,强化调整表!$A$2:$E$71,5,0)/10</f>
        <v>22025</v>
      </c>
      <c r="O34">
        <f>VLOOKUP(--D34,$W$2:$Y$8,3,0)*VLOOKUP(B34,$T$3:$U$9,2,0)*相关定价!$E$3+O33</f>
        <v>21000</v>
      </c>
      <c r="P34">
        <f t="shared" si="3"/>
        <v>450</v>
      </c>
      <c r="Q34">
        <f t="shared" si="4"/>
        <v>2.2611960897067278</v>
      </c>
      <c r="R34">
        <f t="shared" si="5"/>
        <v>0.21432938457112494</v>
      </c>
    </row>
    <row r="35" spans="1:18" x14ac:dyDescent="0.2">
      <c r="A35" s="4">
        <v>5</v>
      </c>
      <c r="B35">
        <v>6</v>
      </c>
      <c r="C35">
        <v>2</v>
      </c>
      <c r="D35" t="str">
        <f t="shared" si="1"/>
        <v>52</v>
      </c>
      <c r="E35" t="str">
        <f t="shared" si="2"/>
        <v>56</v>
      </c>
      <c r="F35">
        <f t="shared" si="0"/>
        <v>60</v>
      </c>
      <c r="G35">
        <f>VLOOKUP(F35,强化调整表!$A$2:$I$71,7,0)*10+VLOOKUP(F35,强化调整表!$A$2:$I$71,9,0)*10</f>
        <v>21000</v>
      </c>
      <c r="H35">
        <f>VLOOKUP(--E35,进阶值!$B$4:$E$24,2,0)/2</f>
        <v>78876</v>
      </c>
      <c r="I35">
        <f>VLOOKUP(--E35,进阶值!$B$4:$E$24,4,0)*10</f>
        <v>31280</v>
      </c>
      <c r="J35">
        <f>进阶调整表1!N35</f>
        <v>1</v>
      </c>
      <c r="K35">
        <f>进阶调整表1!P35</f>
        <v>1</v>
      </c>
      <c r="L35">
        <f>进阶调整表1!R35</f>
        <v>1</v>
      </c>
      <c r="M35">
        <f>J35*VLOOKUP(B35,进阶值!$B$28:$E$34,4,0)+K35*VLOOKUP(B35,进阶值!$B$35:$E$41,4,0)+L35*VLOOKUP(B35,进阶值!$B$42:$E$48,4,0)</f>
        <v>22660</v>
      </c>
      <c r="N35">
        <f>VLOOKUP(F35,强化调整表!$A$2:$E$71,5,0)/10</f>
        <v>45875</v>
      </c>
      <c r="O35">
        <f>VLOOKUP(--D35,$W$2:$Y$8,3,0)*VLOOKUP(B35,$T$3:$U$9,2,0)*相关定价!$E$3+O34</f>
        <v>31500</v>
      </c>
      <c r="P35">
        <f t="shared" si="3"/>
        <v>450</v>
      </c>
      <c r="Q35">
        <f t="shared" si="4"/>
        <v>1.9764343077417283</v>
      </c>
      <c r="R35">
        <f t="shared" si="5"/>
        <v>0.14417167497700345</v>
      </c>
    </row>
    <row r="36" spans="1:18" s="5" customFormat="1" x14ac:dyDescent="0.2">
      <c r="A36" s="2">
        <v>5</v>
      </c>
      <c r="B36" s="5">
        <v>7</v>
      </c>
      <c r="C36" s="5">
        <v>2</v>
      </c>
      <c r="D36" s="5" t="str">
        <f t="shared" si="1"/>
        <v>52</v>
      </c>
      <c r="E36" s="5" t="str">
        <f t="shared" si="2"/>
        <v>57</v>
      </c>
      <c r="F36" s="5">
        <f t="shared" si="0"/>
        <v>70</v>
      </c>
      <c r="G36" s="5">
        <f>VLOOKUP(F36,强化调整表!$A$2:$I$71,7,0)*10+VLOOKUP(F36,强化调整表!$A$2:$I$71,9,0)*10</f>
        <v>24500</v>
      </c>
      <c r="H36" s="5">
        <f>VLOOKUP(--E36,进阶值!$B$4:$E$24,2,0)/2</f>
        <v>140398</v>
      </c>
      <c r="I36" s="5">
        <f>VLOOKUP(--E36,进阶值!$B$4:$E$24,4,0)*10</f>
        <v>55650</v>
      </c>
      <c r="J36" s="5">
        <f>进阶调整表1!N36</f>
        <v>1</v>
      </c>
      <c r="K36" s="5">
        <f>进阶调整表1!P36</f>
        <v>1</v>
      </c>
      <c r="L36" s="5">
        <f>进阶调整表1!R36</f>
        <v>1</v>
      </c>
      <c r="M36" s="5">
        <f>J36*VLOOKUP(B36,进阶值!$B$28:$E$34,4,0)+K36*VLOOKUP(B36,进阶值!$B$35:$E$41,4,0)+L36*VLOOKUP(B36,进阶值!$B$42:$E$48,4,0)</f>
        <v>26070</v>
      </c>
      <c r="N36" s="5">
        <f>VLOOKUP(F36,强化调整表!$A$2:$E$71,5,0)/10</f>
        <v>90225</v>
      </c>
      <c r="O36">
        <f>VLOOKUP(--D36,$W$2:$Y$8,3,0)*VLOOKUP(B36,$T$3:$U$9,2,0)*相关定价!$E$3+O35</f>
        <v>44100</v>
      </c>
      <c r="P36" s="5">
        <f t="shared" si="3"/>
        <v>450</v>
      </c>
      <c r="Q36" s="5">
        <f t="shared" si="4"/>
        <v>1.8298497495826378</v>
      </c>
      <c r="R36" s="5">
        <f t="shared" si="5"/>
        <v>9.7236936212164338E-2</v>
      </c>
    </row>
    <row r="37" spans="1:18" x14ac:dyDescent="0.2">
      <c r="A37" s="4">
        <v>5</v>
      </c>
      <c r="B37">
        <v>1</v>
      </c>
      <c r="C37">
        <v>3</v>
      </c>
      <c r="D37" t="str">
        <f t="shared" si="1"/>
        <v>53</v>
      </c>
      <c r="E37" t="str">
        <f t="shared" si="2"/>
        <v>51</v>
      </c>
      <c r="F37">
        <f t="shared" si="0"/>
        <v>10</v>
      </c>
      <c r="G37">
        <f>VLOOKUP(F37,强化调整表!$A$2:$I$71,7,0)*10+VLOOKUP(F37,强化调整表!$A$2:$I$71,9,0)*10</f>
        <v>3500</v>
      </c>
      <c r="H37">
        <f>VLOOKUP(--E37,进阶值!$B$4:$E$24,2,0)/2</f>
        <v>3960</v>
      </c>
      <c r="I37">
        <f>VLOOKUP(--E37,进阶值!$B$4:$E$24,4,0)*10</f>
        <v>1580</v>
      </c>
      <c r="J37">
        <f>进阶调整表1!N37</f>
        <v>0</v>
      </c>
      <c r="K37">
        <f>进阶调整表1!P37</f>
        <v>1</v>
      </c>
      <c r="L37">
        <f>进阶调整表1!R37</f>
        <v>2</v>
      </c>
      <c r="M37">
        <f>J37*VLOOKUP(B37,进阶值!$B$28:$E$34,4,0)+K37*VLOOKUP(B37,进阶值!$B$35:$E$41,4,0)+L37*VLOOKUP(B37,进阶值!$B$42:$E$48,4,0)</f>
        <v>7755</v>
      </c>
      <c r="N37">
        <f>VLOOKUP(F37,强化调整表!$A$2:$E$71,5,0)/10</f>
        <v>375</v>
      </c>
      <c r="O37">
        <f>VLOOKUP(--D37,$W$2:$Y$8,3,0)*VLOOKUP(B37,$T$3:$U$9,2,0)*相关定价!$E$3</f>
        <v>0</v>
      </c>
      <c r="P37">
        <f t="shared" si="3"/>
        <v>1350</v>
      </c>
      <c r="Q37">
        <f t="shared" si="4"/>
        <v>9.7362318840579718</v>
      </c>
      <c r="R37">
        <f t="shared" si="5"/>
        <v>-8.021343873517786</v>
      </c>
    </row>
    <row r="38" spans="1:18" x14ac:dyDescent="0.2">
      <c r="A38" s="4">
        <v>5</v>
      </c>
      <c r="B38">
        <v>2</v>
      </c>
      <c r="C38">
        <v>3</v>
      </c>
      <c r="D38" t="str">
        <f t="shared" si="1"/>
        <v>53</v>
      </c>
      <c r="E38" t="str">
        <f t="shared" si="2"/>
        <v>52</v>
      </c>
      <c r="F38">
        <f t="shared" si="0"/>
        <v>20</v>
      </c>
      <c r="G38">
        <f>VLOOKUP(F38,强化调整表!$A$2:$I$71,7,0)*10+VLOOKUP(F38,强化调整表!$A$2:$I$71,9,0)*10</f>
        <v>7000</v>
      </c>
      <c r="H38">
        <f>VLOOKUP(--E38,进阶值!$B$4:$E$24,2,0)/2</f>
        <v>6930</v>
      </c>
      <c r="I38">
        <f>VLOOKUP(--E38,进阶值!$B$4:$E$24,4,0)*10</f>
        <v>2770</v>
      </c>
      <c r="J38">
        <f>进阶调整表1!N38</f>
        <v>0</v>
      </c>
      <c r="K38">
        <f>进阶调整表1!P38</f>
        <v>1</v>
      </c>
      <c r="L38">
        <f>进阶调整表1!R38</f>
        <v>2</v>
      </c>
      <c r="M38">
        <f>J38*VLOOKUP(B38,进阶值!$B$28:$E$34,4,0)+K38*VLOOKUP(B38,进阶值!$B$35:$E$41,4,0)+L38*VLOOKUP(B38,进阶值!$B$42:$E$48,4,0)</f>
        <v>13035</v>
      </c>
      <c r="N38">
        <f>VLOOKUP(F38,强化调整表!$A$2:$E$71,5,0)/10</f>
        <v>1525</v>
      </c>
      <c r="O38">
        <f>VLOOKUP(--D38,$W$2:$Y$8,3,0)*VLOOKUP(B38,$T$3:$U$9,2,0)*相关定价!$E$3+O37</f>
        <v>2100</v>
      </c>
      <c r="P38">
        <f t="shared" si="3"/>
        <v>1350</v>
      </c>
      <c r="Q38">
        <f t="shared" si="4"/>
        <v>5.9768844221105528</v>
      </c>
      <c r="R38">
        <f t="shared" si="5"/>
        <v>-0.33477201960723857</v>
      </c>
    </row>
    <row r="39" spans="1:18" x14ac:dyDescent="0.2">
      <c r="A39" s="4">
        <v>5</v>
      </c>
      <c r="B39">
        <v>3</v>
      </c>
      <c r="C39">
        <v>3</v>
      </c>
      <c r="D39" t="str">
        <f t="shared" si="1"/>
        <v>53</v>
      </c>
      <c r="E39" t="str">
        <f t="shared" si="2"/>
        <v>53</v>
      </c>
      <c r="F39">
        <f t="shared" si="0"/>
        <v>30</v>
      </c>
      <c r="G39">
        <f>VLOOKUP(F39,强化调整表!$A$2:$I$71,7,0)*10+VLOOKUP(F39,强化调整表!$A$2:$I$71,9,0)*10</f>
        <v>10500</v>
      </c>
      <c r="H39">
        <f>VLOOKUP(--E39,进阶值!$B$4:$E$24,2,0)/2</f>
        <v>13305.5</v>
      </c>
      <c r="I39">
        <f>VLOOKUP(--E39,进阶值!$B$4:$E$24,4,0)*10</f>
        <v>5290</v>
      </c>
      <c r="J39">
        <f>进阶调整表1!N39</f>
        <v>0</v>
      </c>
      <c r="K39">
        <f>进阶调整表1!P39</f>
        <v>1</v>
      </c>
      <c r="L39">
        <f>进阶调整表1!R39</f>
        <v>2</v>
      </c>
      <c r="M39">
        <f>J39*VLOOKUP(B39,进阶值!$B$28:$E$34,4,0)+K39*VLOOKUP(B39,进阶值!$B$35:$E$41,4,0)+L39*VLOOKUP(B39,进阶值!$B$42:$E$48,4,0)</f>
        <v>18315</v>
      </c>
      <c r="N39">
        <f>VLOOKUP(F39,强化调整表!$A$2:$E$71,5,0)/10</f>
        <v>4225</v>
      </c>
      <c r="O39">
        <f>VLOOKUP(--D39,$W$2:$Y$8,3,0)*VLOOKUP(B39,$T$3:$U$9,2,0)*相关定价!$E$3+O38</f>
        <v>6300</v>
      </c>
      <c r="P39">
        <f t="shared" si="3"/>
        <v>1350</v>
      </c>
      <c r="Q39">
        <f t="shared" si="4"/>
        <v>3.9924631578947367</v>
      </c>
      <c r="R39" s="42">
        <f t="shared" si="5"/>
        <v>0.20881851096990767</v>
      </c>
    </row>
    <row r="40" spans="1:18" x14ac:dyDescent="0.2">
      <c r="A40" s="4">
        <v>5</v>
      </c>
      <c r="B40">
        <v>4</v>
      </c>
      <c r="C40">
        <v>3</v>
      </c>
      <c r="D40" t="str">
        <f t="shared" si="1"/>
        <v>53</v>
      </c>
      <c r="E40" t="str">
        <f t="shared" si="2"/>
        <v>54</v>
      </c>
      <c r="F40">
        <f t="shared" si="0"/>
        <v>40</v>
      </c>
      <c r="G40">
        <f>VLOOKUP(F40,强化调整表!$A$2:$I$71,7,0)*10+VLOOKUP(F40,强化调整表!$A$2:$I$71,9,0)*10</f>
        <v>14000</v>
      </c>
      <c r="H40">
        <f>VLOOKUP(--E40,进阶值!$B$4:$E$24,2,0)/2</f>
        <v>24481.5</v>
      </c>
      <c r="I40">
        <f>VLOOKUP(--E40,进阶值!$B$4:$E$24,4,0)*10</f>
        <v>9720</v>
      </c>
      <c r="J40">
        <f>进阶调整表1!N40</f>
        <v>0</v>
      </c>
      <c r="K40">
        <f>进阶调整表1!P40</f>
        <v>1</v>
      </c>
      <c r="L40">
        <f>进阶调整表1!R40</f>
        <v>2</v>
      </c>
      <c r="M40">
        <f>J40*VLOOKUP(B40,进阶值!$B$28:$E$34,4,0)+K40*VLOOKUP(B40,进阶值!$B$35:$E$41,4,0)+L40*VLOOKUP(B40,进阶值!$B$42:$E$48,4,0)</f>
        <v>23595</v>
      </c>
      <c r="N40">
        <f>VLOOKUP(F40,强化调整表!$A$2:$E$71,5,0)/10</f>
        <v>10025</v>
      </c>
      <c r="O40">
        <f>VLOOKUP(--D40,$W$2:$Y$8,3,0)*VLOOKUP(B40,$T$3:$U$9,2,0)*相关定价!$E$3+O39</f>
        <v>12600</v>
      </c>
      <c r="P40">
        <f t="shared" si="3"/>
        <v>1350</v>
      </c>
      <c r="Q40">
        <f t="shared" si="4"/>
        <v>2.9946402502606881</v>
      </c>
      <c r="R40">
        <f t="shared" si="5"/>
        <v>0.21927730334844542</v>
      </c>
    </row>
    <row r="41" spans="1:18" x14ac:dyDescent="0.2">
      <c r="A41" s="4">
        <v>5</v>
      </c>
      <c r="B41">
        <v>5</v>
      </c>
      <c r="C41">
        <v>3</v>
      </c>
      <c r="D41" t="str">
        <f t="shared" si="1"/>
        <v>53</v>
      </c>
      <c r="E41" t="str">
        <f t="shared" si="2"/>
        <v>55</v>
      </c>
      <c r="F41">
        <f t="shared" si="0"/>
        <v>50</v>
      </c>
      <c r="G41">
        <f>VLOOKUP(F41,强化调整表!$A$2:$I$71,7,0)*10+VLOOKUP(F41,强化调整表!$A$2:$I$71,9,0)*10</f>
        <v>17500</v>
      </c>
      <c r="H41">
        <f>VLOOKUP(--E41,进阶值!$B$4:$E$24,2,0)/2</f>
        <v>44065.5</v>
      </c>
      <c r="I41">
        <f>VLOOKUP(--E41,进阶值!$B$4:$E$24,4,0)*10</f>
        <v>17490</v>
      </c>
      <c r="J41">
        <f>进阶调整表1!N41</f>
        <v>0</v>
      </c>
      <c r="K41">
        <f>进阶调整表1!P41</f>
        <v>1</v>
      </c>
      <c r="L41">
        <f>进阶调整表1!R41</f>
        <v>2</v>
      </c>
      <c r="M41">
        <f>J41*VLOOKUP(B41,进阶值!$B$28:$E$34,4,0)+K41*VLOOKUP(B41,进阶值!$B$35:$E$41,4,0)+L41*VLOOKUP(B41,进阶值!$B$42:$E$48,4,0)</f>
        <v>28875</v>
      </c>
      <c r="N41">
        <f>VLOOKUP(F41,强化调整表!$A$2:$E$71,5,0)/10</f>
        <v>22025</v>
      </c>
      <c r="O41">
        <f>VLOOKUP(--D41,$W$2:$Y$8,3,0)*VLOOKUP(B41,$T$3:$U$9,2,0)*相关定价!$E$3+O40</f>
        <v>21000</v>
      </c>
      <c r="P41">
        <f t="shared" si="3"/>
        <v>1350</v>
      </c>
      <c r="Q41">
        <f t="shared" si="4"/>
        <v>2.4322366197183101</v>
      </c>
      <c r="R41">
        <f t="shared" si="5"/>
        <v>0.17104053001158226</v>
      </c>
    </row>
    <row r="42" spans="1:18" x14ac:dyDescent="0.2">
      <c r="A42" s="4">
        <v>5</v>
      </c>
      <c r="B42">
        <v>6</v>
      </c>
      <c r="C42">
        <v>3</v>
      </c>
      <c r="D42" t="str">
        <f t="shared" si="1"/>
        <v>53</v>
      </c>
      <c r="E42" t="str">
        <f t="shared" si="2"/>
        <v>56</v>
      </c>
      <c r="F42">
        <f t="shared" si="0"/>
        <v>60</v>
      </c>
      <c r="G42">
        <f>VLOOKUP(F42,强化调整表!$A$2:$I$71,7,0)*10+VLOOKUP(F42,强化调整表!$A$2:$I$71,9,0)*10</f>
        <v>21000</v>
      </c>
      <c r="H42">
        <f>VLOOKUP(--E42,进阶值!$B$4:$E$24,2,0)/2</f>
        <v>78876</v>
      </c>
      <c r="I42">
        <f>VLOOKUP(--E42,进阶值!$B$4:$E$24,4,0)*10</f>
        <v>31280</v>
      </c>
      <c r="J42">
        <f>进阶调整表1!N42</f>
        <v>0</v>
      </c>
      <c r="K42">
        <f>进阶调整表1!P42</f>
        <v>1</v>
      </c>
      <c r="L42">
        <f>进阶调整表1!R42</f>
        <v>2</v>
      </c>
      <c r="M42">
        <f>J42*VLOOKUP(B42,进阶值!$B$28:$E$34,4,0)+K42*VLOOKUP(B42,进阶值!$B$35:$E$41,4,0)+L42*VLOOKUP(B42,进阶值!$B$42:$E$48,4,0)</f>
        <v>34155</v>
      </c>
      <c r="N42">
        <f>VLOOKUP(F42,强化调整表!$A$2:$E$71,5,0)/10</f>
        <v>45875</v>
      </c>
      <c r="O42">
        <f>VLOOKUP(--D42,$W$2:$Y$8,3,0)*VLOOKUP(B42,$T$3:$U$9,2,0)*相关定价!$E$3+O41</f>
        <v>31500</v>
      </c>
      <c r="P42">
        <f t="shared" si="3"/>
        <v>1350</v>
      </c>
      <c r="Q42">
        <f t="shared" si="4"/>
        <v>2.0998539218799617</v>
      </c>
      <c r="R42">
        <f t="shared" si="5"/>
        <v>0.12341961413823332</v>
      </c>
    </row>
    <row r="43" spans="1:18" s="5" customFormat="1" x14ac:dyDescent="0.2">
      <c r="A43" s="2">
        <v>5</v>
      </c>
      <c r="B43" s="5">
        <v>7</v>
      </c>
      <c r="C43" s="5">
        <v>3</v>
      </c>
      <c r="D43" s="5" t="str">
        <f t="shared" si="1"/>
        <v>53</v>
      </c>
      <c r="E43" s="5" t="str">
        <f t="shared" si="2"/>
        <v>57</v>
      </c>
      <c r="F43" s="5">
        <f t="shared" si="0"/>
        <v>70</v>
      </c>
      <c r="G43" s="5">
        <f>VLOOKUP(F43,强化调整表!$A$2:$I$71,7,0)*10+VLOOKUP(F43,强化调整表!$A$2:$I$71,9,0)*10</f>
        <v>24500</v>
      </c>
      <c r="H43" s="5">
        <f>VLOOKUP(--E43,进阶值!$B$4:$E$24,2,0)/2</f>
        <v>140398</v>
      </c>
      <c r="I43" s="5">
        <f>VLOOKUP(--E43,进阶值!$B$4:$E$24,4,0)*10</f>
        <v>55650</v>
      </c>
      <c r="J43" s="5">
        <f>进阶调整表1!N43</f>
        <v>0</v>
      </c>
      <c r="K43" s="5">
        <f>进阶调整表1!P43</f>
        <v>1</v>
      </c>
      <c r="L43" s="5">
        <f>进阶调整表1!R43</f>
        <v>2</v>
      </c>
      <c r="M43" s="5">
        <f>J43*VLOOKUP(B43,进阶值!$B$28:$E$34,4,0)+K43*VLOOKUP(B43,进阶值!$B$35:$E$41,4,0)+L43*VLOOKUP(B43,进阶值!$B$42:$E$48,4,0)</f>
        <v>39435</v>
      </c>
      <c r="N43" s="56">
        <f>VLOOKUP(F43,强化调整表!$A$2:$E$71,5,0)/10</f>
        <v>90225</v>
      </c>
      <c r="O43" s="56">
        <f>VLOOKUP(--D43,$W$2:$Y$8,3,0)*VLOOKUP(B43,$T$3:$U$9,2,0)*相关定价!$E$3+O42</f>
        <v>44100</v>
      </c>
      <c r="P43" s="56">
        <f t="shared" si="3"/>
        <v>1350</v>
      </c>
      <c r="Q43" s="5">
        <f t="shared" si="4"/>
        <v>1.9162189054726368</v>
      </c>
      <c r="R43" s="5">
        <f t="shared" si="5"/>
        <v>8.636915588999905E-2</v>
      </c>
    </row>
    <row r="45" spans="1:18" x14ac:dyDescent="0.2">
      <c r="Q45">
        <v>4.2947551003551663</v>
      </c>
    </row>
  </sheetData>
  <autoFilter ref="A1:R43" xr:uid="{3D76FD00-7819-4FF7-A2BA-03FADFAC87E9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0CD1-1C16-496B-8BF9-336391ED6843}">
  <dimension ref="A1:S22"/>
  <sheetViews>
    <sheetView workbookViewId="0">
      <selection activeCell="E33" sqref="E33"/>
    </sheetView>
  </sheetViews>
  <sheetFormatPr defaultRowHeight="14.25" x14ac:dyDescent="0.2"/>
  <cols>
    <col min="1" max="1" width="6" customWidth="1"/>
    <col min="3" max="3" width="20.625" customWidth="1"/>
    <col min="4" max="19" width="19.125" customWidth="1"/>
  </cols>
  <sheetData>
    <row r="1" spans="1:19" x14ac:dyDescent="0.2">
      <c r="B1" s="23" t="s">
        <v>116</v>
      </c>
      <c r="C1" s="23" t="s">
        <v>117</v>
      </c>
      <c r="D1" s="24" t="s">
        <v>118</v>
      </c>
      <c r="E1" s="24" t="s">
        <v>119</v>
      </c>
      <c r="F1" s="24" t="s">
        <v>120</v>
      </c>
      <c r="G1" s="24" t="s">
        <v>121</v>
      </c>
      <c r="H1" s="24" t="s">
        <v>122</v>
      </c>
      <c r="I1" s="24" t="s">
        <v>123</v>
      </c>
      <c r="J1" s="24" t="s">
        <v>124</v>
      </c>
      <c r="K1" s="24" t="s">
        <v>125</v>
      </c>
      <c r="L1" s="24" t="s">
        <v>126</v>
      </c>
      <c r="M1" s="24" t="s">
        <v>127</v>
      </c>
      <c r="N1" s="24" t="s">
        <v>128</v>
      </c>
      <c r="O1" s="24" t="s">
        <v>129</v>
      </c>
      <c r="P1" s="24" t="s">
        <v>130</v>
      </c>
      <c r="Q1" s="24" t="s">
        <v>131</v>
      </c>
      <c r="R1" s="24" t="s">
        <v>132</v>
      </c>
      <c r="S1" s="24" t="s">
        <v>133</v>
      </c>
    </row>
    <row r="2" spans="1:19" x14ac:dyDescent="0.2">
      <c r="A2">
        <v>1</v>
      </c>
      <c r="B2" s="23" t="s">
        <v>134</v>
      </c>
      <c r="C2" s="23" t="s">
        <v>152</v>
      </c>
      <c r="D2" s="30" t="str">
        <f>极品属性输出!C25</f>
        <v>625,3,85,850</v>
      </c>
      <c r="E2" s="30" t="str">
        <f>极品属性输出!G25</f>
        <v>625,1,1700,850</v>
      </c>
      <c r="F2" s="30" t="str">
        <f>极品属性输出!K25</f>
        <v>625,2,85,850</v>
      </c>
      <c r="G2" s="30" t="str">
        <f>极品属性输出!O25</f>
        <v>625,4,85,850</v>
      </c>
      <c r="H2" s="30" t="str">
        <f>极品属性输出!S25</f>
        <v>625,5,85,850</v>
      </c>
      <c r="I2" s="30" t="str">
        <f>极品属性输出!W25</f>
        <v>625,6,85,850</v>
      </c>
      <c r="J2" s="30" t="str">
        <f>极品属性输出!AA25</f>
        <v>625,7,85,850</v>
      </c>
      <c r="K2" s="30" t="str">
        <f>极品属性输出!AE25</f>
        <v>625,8,85,850</v>
      </c>
      <c r="L2" s="30" t="str">
        <f>极品属性输出!AI25</f>
        <v>625,20,26,1020</v>
      </c>
      <c r="M2" s="30" t="str">
        <f>极品属性输出!AM25</f>
        <v>625,18,12,1020</v>
      </c>
      <c r="N2" s="30" t="str">
        <f>极品属性输出!AQ25</f>
        <v>625,19,12,1020</v>
      </c>
      <c r="O2" s="30" t="str">
        <f>极品属性输出!AU25</f>
        <v>625,21,26,1020</v>
      </c>
      <c r="P2" s="30" t="str">
        <f>极品属性输出!AY25</f>
        <v>625,22,51,1020</v>
      </c>
      <c r="Q2" s="30" t="str">
        <f>极品属性输出!BC25</f>
        <v>625,23,51,1020</v>
      </c>
      <c r="R2" s="30" t="str">
        <f>极品属性输出!BG25</f>
        <v>625,24,51,1020</v>
      </c>
      <c r="S2" s="30" t="str">
        <f>极品属性输出!BK25</f>
        <v>625,25,51,1020</v>
      </c>
    </row>
    <row r="3" spans="1:19" x14ac:dyDescent="0.2">
      <c r="A3">
        <v>2</v>
      </c>
      <c r="B3" s="23" t="s">
        <v>135</v>
      </c>
      <c r="C3" s="23" t="s">
        <v>153</v>
      </c>
      <c r="D3" s="30" t="str">
        <f>极品属性输出!C26</f>
        <v>625,3,95,950</v>
      </c>
      <c r="E3" s="30" t="str">
        <f>极品属性输出!G26</f>
        <v>625,1,1900,950</v>
      </c>
      <c r="F3" s="30" t="str">
        <f>极品属性输出!K26</f>
        <v>625,2,95,950</v>
      </c>
      <c r="G3" s="30" t="str">
        <f>极品属性输出!O26</f>
        <v>625,4,95,950</v>
      </c>
      <c r="H3" s="30" t="str">
        <f>极品属性输出!S26</f>
        <v>625,5,95,950</v>
      </c>
      <c r="I3" s="30" t="str">
        <f>极品属性输出!W26</f>
        <v>625,6,95,950</v>
      </c>
      <c r="J3" s="30" t="str">
        <f>极品属性输出!AA26</f>
        <v>625,7,95,950</v>
      </c>
      <c r="K3" s="30" t="str">
        <f>极品属性输出!AE26</f>
        <v>625,8,95,950</v>
      </c>
      <c r="L3" s="30" t="str">
        <f>极品属性输出!AI26</f>
        <v>625,20,29,1140</v>
      </c>
      <c r="M3" s="30" t="str">
        <f>极品属性输出!AM26</f>
        <v>625,18,14,1140</v>
      </c>
      <c r="N3" s="30" t="str">
        <f>极品属性输出!AQ26</f>
        <v>625,19,14,1140</v>
      </c>
      <c r="O3" s="30" t="str">
        <f>极品属性输出!AU26</f>
        <v>625,21,29,1140</v>
      </c>
      <c r="P3" s="30" t="str">
        <f>极品属性输出!AY26</f>
        <v>625,22,57,1140</v>
      </c>
      <c r="Q3" s="30" t="str">
        <f>极品属性输出!BC26</f>
        <v>625,23,57,1140</v>
      </c>
      <c r="R3" s="30" t="str">
        <f>极品属性输出!BG26</f>
        <v>625,24,57,1140</v>
      </c>
      <c r="S3" s="30" t="str">
        <f>极品属性输出!BK26</f>
        <v>625,25,57,1140</v>
      </c>
    </row>
    <row r="4" spans="1:19" x14ac:dyDescent="0.2">
      <c r="A4">
        <v>3</v>
      </c>
      <c r="B4" s="23" t="s">
        <v>136</v>
      </c>
      <c r="C4" s="23" t="s">
        <v>154</v>
      </c>
      <c r="D4" s="30" t="str">
        <f>极品属性输出!C27</f>
        <v>625,3,105,1050</v>
      </c>
      <c r="E4" s="30" t="str">
        <f>极品属性输出!G27</f>
        <v>625,1,2100,1050</v>
      </c>
      <c r="F4" s="30" t="str">
        <f>极品属性输出!K27</f>
        <v>625,2,105,1050</v>
      </c>
      <c r="G4" s="30" t="str">
        <f>极品属性输出!O27</f>
        <v>625,4,105,1050</v>
      </c>
      <c r="H4" s="30" t="str">
        <f>极品属性输出!S27</f>
        <v>625,5,105,1050</v>
      </c>
      <c r="I4" s="30" t="str">
        <f>极品属性输出!W27</f>
        <v>625,6,105,1050</v>
      </c>
      <c r="J4" s="30" t="str">
        <f>极品属性输出!AA27</f>
        <v>625,7,105,1050</v>
      </c>
      <c r="K4" s="30" t="str">
        <f>极品属性输出!AE27</f>
        <v>625,8,105,1050</v>
      </c>
      <c r="L4" s="30" t="str">
        <f>极品属性输出!AI27</f>
        <v>625,20,32,1260</v>
      </c>
      <c r="M4" s="30" t="str">
        <f>极品属性输出!AM27</f>
        <v>625,18,15,1260</v>
      </c>
      <c r="N4" s="30" t="str">
        <f>极品属性输出!AQ27</f>
        <v>625,19,15,1260</v>
      </c>
      <c r="O4" s="30" t="str">
        <f>极品属性输出!AU27</f>
        <v>625,21,32,1260</v>
      </c>
      <c r="P4" s="30" t="str">
        <f>极品属性输出!AY27</f>
        <v>625,22,63,1260</v>
      </c>
      <c r="Q4" s="30" t="str">
        <f>极品属性输出!BC27</f>
        <v>625,23,63,1260</v>
      </c>
      <c r="R4" s="30" t="str">
        <f>极品属性输出!BG27</f>
        <v>625,24,63,1260</v>
      </c>
      <c r="S4" s="30" t="str">
        <f>极品属性输出!BK27</f>
        <v>625,25,63,1260</v>
      </c>
    </row>
    <row r="5" spans="1:19" x14ac:dyDescent="0.2">
      <c r="A5">
        <v>4</v>
      </c>
      <c r="B5" s="23" t="s">
        <v>137</v>
      </c>
      <c r="C5" s="23" t="s">
        <v>155</v>
      </c>
      <c r="D5" s="30" t="str">
        <f>极品属性输出!C28</f>
        <v>625,3,115,1150</v>
      </c>
      <c r="E5" s="30" t="str">
        <f>极品属性输出!G28</f>
        <v>625,1,2300,1150</v>
      </c>
      <c r="F5" s="30" t="str">
        <f>极品属性输出!K28</f>
        <v>625,2,115,1150</v>
      </c>
      <c r="G5" s="30" t="str">
        <f>极品属性输出!O28</f>
        <v>625,4,115,1150</v>
      </c>
      <c r="H5" s="30" t="str">
        <f>极品属性输出!S28</f>
        <v>625,5,115,1150</v>
      </c>
      <c r="I5" s="30" t="str">
        <f>极品属性输出!W28</f>
        <v>625,6,115,1150</v>
      </c>
      <c r="J5" s="30" t="str">
        <f>极品属性输出!AA28</f>
        <v>625,7,115,1150</v>
      </c>
      <c r="K5" s="30" t="str">
        <f>极品属性输出!AE28</f>
        <v>625,8,115,1150</v>
      </c>
      <c r="L5" s="30" t="str">
        <f>极品属性输出!AI28</f>
        <v>625,20,35,1380</v>
      </c>
      <c r="M5" s="30" t="str">
        <f>极品属性输出!AM28</f>
        <v>625,18,17,1380</v>
      </c>
      <c r="N5" s="30" t="str">
        <f>极品属性输出!AQ28</f>
        <v>625,19,17,1380</v>
      </c>
      <c r="O5" s="30" t="str">
        <f>极品属性输出!AU28</f>
        <v>625,21,35,1380</v>
      </c>
      <c r="P5" s="30" t="str">
        <f>极品属性输出!AY28</f>
        <v>625,22,69,1380</v>
      </c>
      <c r="Q5" s="30" t="str">
        <f>极品属性输出!BC28</f>
        <v>625,23,69,1380</v>
      </c>
      <c r="R5" s="30" t="str">
        <f>极品属性输出!BG28</f>
        <v>625,24,69,1380</v>
      </c>
      <c r="S5" s="30" t="str">
        <f>极品属性输出!BK28</f>
        <v>625,25,69,1380</v>
      </c>
    </row>
    <row r="6" spans="1:19" x14ac:dyDescent="0.2">
      <c r="A6">
        <v>5</v>
      </c>
      <c r="B6" s="23" t="s">
        <v>138</v>
      </c>
      <c r="C6" s="23" t="s">
        <v>156</v>
      </c>
      <c r="D6" s="30" t="str">
        <f>极品属性输出!C29</f>
        <v>625,3,125,1250</v>
      </c>
      <c r="E6" s="30" t="str">
        <f>极品属性输出!G29</f>
        <v>625,1,2500,1250</v>
      </c>
      <c r="F6" s="30" t="str">
        <f>极品属性输出!K29</f>
        <v>625,2,125,1250</v>
      </c>
      <c r="G6" s="30" t="str">
        <f>极品属性输出!O29</f>
        <v>625,4,125,1250</v>
      </c>
      <c r="H6" s="30" t="str">
        <f>极品属性输出!S29</f>
        <v>625,5,125,1250</v>
      </c>
      <c r="I6" s="30" t="str">
        <f>极品属性输出!W29</f>
        <v>625,6,125,1250</v>
      </c>
      <c r="J6" s="30" t="str">
        <f>极品属性输出!AA29</f>
        <v>625,7,125,1250</v>
      </c>
      <c r="K6" s="30" t="str">
        <f>极品属性输出!AE29</f>
        <v>625,8,125,1250</v>
      </c>
      <c r="L6" s="30" t="str">
        <f>极品属性输出!AI29</f>
        <v>625,20,38,1500</v>
      </c>
      <c r="M6" s="30" t="str">
        <f>极品属性输出!AM29</f>
        <v>625,18,18,1500</v>
      </c>
      <c r="N6" s="30" t="str">
        <f>极品属性输出!AQ29</f>
        <v>625,19,18,1500</v>
      </c>
      <c r="O6" s="30" t="str">
        <f>极品属性输出!AU29</f>
        <v>625,21,38,1500</v>
      </c>
      <c r="P6" s="30" t="str">
        <f>极品属性输出!AY29</f>
        <v>625,22,75,1500</v>
      </c>
      <c r="Q6" s="30" t="str">
        <f>极品属性输出!BC29</f>
        <v>625,23,75,1500</v>
      </c>
      <c r="R6" s="30" t="str">
        <f>极品属性输出!BG29</f>
        <v>625,24,75,1500</v>
      </c>
      <c r="S6" s="30" t="str">
        <f>极品属性输出!BK29</f>
        <v>625,25,75,1500</v>
      </c>
    </row>
    <row r="7" spans="1:19" x14ac:dyDescent="0.2">
      <c r="A7">
        <v>6</v>
      </c>
      <c r="B7" s="23" t="s">
        <v>139</v>
      </c>
      <c r="C7" s="23" t="s">
        <v>157</v>
      </c>
      <c r="D7" s="30" t="str">
        <f>极品属性输出!C30</f>
        <v>625,3,135,1350</v>
      </c>
      <c r="E7" s="30" t="str">
        <f>极品属性输出!G30</f>
        <v>625,1,2700,1350</v>
      </c>
      <c r="F7" s="30" t="str">
        <f>极品属性输出!K30</f>
        <v>625,2,135,1350</v>
      </c>
      <c r="G7" s="30" t="str">
        <f>极品属性输出!O30</f>
        <v>625,4,135,1350</v>
      </c>
      <c r="H7" s="30" t="str">
        <f>极品属性输出!S30</f>
        <v>625,5,135,1350</v>
      </c>
      <c r="I7" s="30" t="str">
        <f>极品属性输出!W30</f>
        <v>625,6,135,1350</v>
      </c>
      <c r="J7" s="30" t="str">
        <f>极品属性输出!AA30</f>
        <v>625,7,135,1350</v>
      </c>
      <c r="K7" s="30" t="str">
        <f>极品属性输出!AE30</f>
        <v>625,8,135,1350</v>
      </c>
      <c r="L7" s="30" t="str">
        <f>极品属性输出!AI30</f>
        <v>625,20,41,1620</v>
      </c>
      <c r="M7" s="30" t="str">
        <f>极品属性输出!AM30</f>
        <v>625,18,20,1620</v>
      </c>
      <c r="N7" s="30" t="str">
        <f>极品属性输出!AQ30</f>
        <v>625,19,20,1620</v>
      </c>
      <c r="O7" s="30" t="str">
        <f>极品属性输出!AU30</f>
        <v>625,21,41,1620</v>
      </c>
      <c r="P7" s="30" t="str">
        <f>极品属性输出!AY30</f>
        <v>625,22,81,1620</v>
      </c>
      <c r="Q7" s="30" t="str">
        <f>极品属性输出!BC30</f>
        <v>625,23,81,1620</v>
      </c>
      <c r="R7" s="30" t="str">
        <f>极品属性输出!BG30</f>
        <v>625,24,81,1620</v>
      </c>
      <c r="S7" s="30" t="str">
        <f>极品属性输出!BK30</f>
        <v>625,25,81,1620</v>
      </c>
    </row>
    <row r="8" spans="1:19" x14ac:dyDescent="0.2">
      <c r="A8">
        <v>7</v>
      </c>
      <c r="B8" s="23" t="s">
        <v>178</v>
      </c>
      <c r="C8" s="23" t="s">
        <v>183</v>
      </c>
      <c r="D8" s="30" t="str">
        <f>极品属性输出!C31</f>
        <v>625,3,145,1450</v>
      </c>
      <c r="E8" s="30" t="str">
        <f>极品属性输出!G31</f>
        <v>625,1,2900,1450</v>
      </c>
      <c r="F8" s="30" t="str">
        <f>极品属性输出!K31</f>
        <v>625,2,145,1450</v>
      </c>
      <c r="G8" s="30" t="str">
        <f>极品属性输出!O31</f>
        <v>625,4,145,1450</v>
      </c>
      <c r="H8" s="30" t="str">
        <f>极品属性输出!S31</f>
        <v>625,5,145,1450</v>
      </c>
      <c r="I8" s="30" t="str">
        <f>极品属性输出!W31</f>
        <v>625,6,145,1450</v>
      </c>
      <c r="J8" s="30" t="str">
        <f>极品属性输出!AA31</f>
        <v>625,7,145,1450</v>
      </c>
      <c r="K8" s="30" t="str">
        <f>极品属性输出!AE31</f>
        <v>625,8,145,1450</v>
      </c>
      <c r="L8" s="30" t="str">
        <f>极品属性输出!AI31</f>
        <v>625,20,44,1740</v>
      </c>
      <c r="M8" s="30" t="str">
        <f>极品属性输出!AM31</f>
        <v>625,18,21,1740</v>
      </c>
      <c r="N8" s="30" t="str">
        <f>极品属性输出!AQ31</f>
        <v>625,19,21,1740</v>
      </c>
      <c r="O8" s="30" t="str">
        <f>极品属性输出!AU31</f>
        <v>625,21,44,1740</v>
      </c>
      <c r="P8" s="30" t="str">
        <f>极品属性输出!AY31</f>
        <v>625,22,87,1740</v>
      </c>
      <c r="Q8" s="30" t="str">
        <f>极品属性输出!BC31</f>
        <v>625,23,87,1740</v>
      </c>
      <c r="R8" s="30" t="str">
        <f>极品属性输出!BG31</f>
        <v>625,24,87,1740</v>
      </c>
      <c r="S8" s="30" t="str">
        <f>极品属性输出!BK31</f>
        <v>625,25,87,1740</v>
      </c>
    </row>
    <row r="9" spans="1:19" x14ac:dyDescent="0.2">
      <c r="A9">
        <v>1</v>
      </c>
      <c r="B9" s="23" t="s">
        <v>140</v>
      </c>
      <c r="C9" s="23" t="s">
        <v>158</v>
      </c>
      <c r="D9" s="30" t="str">
        <f>极品属性输出!C32</f>
        <v>625,3,145,1450</v>
      </c>
      <c r="E9" s="30" t="str">
        <f>极品属性输出!G32</f>
        <v>625,1,2900,1450</v>
      </c>
      <c r="F9" s="30" t="str">
        <f>极品属性输出!K32</f>
        <v>625,2,145,1450</v>
      </c>
      <c r="G9" s="30" t="str">
        <f>极品属性输出!O32</f>
        <v>625,4,145,1450</v>
      </c>
      <c r="H9" s="30" t="str">
        <f>极品属性输出!S32</f>
        <v>625,5,145,1450</v>
      </c>
      <c r="I9" s="30" t="str">
        <f>极品属性输出!W32</f>
        <v>625,6,145,1450</v>
      </c>
      <c r="J9" s="30" t="str">
        <f>极品属性输出!AA32</f>
        <v>625,7,145,1450</v>
      </c>
      <c r="K9" s="30" t="str">
        <f>极品属性输出!AE32</f>
        <v>625,8,145,1450</v>
      </c>
      <c r="L9" s="30" t="str">
        <f>极品属性输出!AI32</f>
        <v>625,20,44,1740</v>
      </c>
      <c r="M9" s="30" t="str">
        <f>极品属性输出!AM32</f>
        <v>625,18,21,1740</v>
      </c>
      <c r="N9" s="30" t="str">
        <f>极品属性输出!AQ32</f>
        <v>625,19,21,1740</v>
      </c>
      <c r="O9" s="30" t="str">
        <f>极品属性输出!AU32</f>
        <v>625,21,44,1740</v>
      </c>
      <c r="P9" s="30" t="str">
        <f>极品属性输出!AY32</f>
        <v>625,22,87,1740</v>
      </c>
      <c r="Q9" s="30" t="str">
        <f>极品属性输出!BC32</f>
        <v>625,23,87,1740</v>
      </c>
      <c r="R9" s="30" t="str">
        <f>极品属性输出!BG32</f>
        <v>625,24,87,1740</v>
      </c>
      <c r="S9" s="30" t="str">
        <f>极品属性输出!BK32</f>
        <v>625,25,87,1740</v>
      </c>
    </row>
    <row r="10" spans="1:19" x14ac:dyDescent="0.2">
      <c r="A10">
        <v>2</v>
      </c>
      <c r="B10" s="23" t="s">
        <v>141</v>
      </c>
      <c r="C10" s="23" t="s">
        <v>159</v>
      </c>
      <c r="D10" s="30" t="str">
        <f>极品属性输出!C33</f>
        <v>625,3,265,2650</v>
      </c>
      <c r="E10" s="30" t="str">
        <f>极品属性输出!G33</f>
        <v>625,1,5300,2650</v>
      </c>
      <c r="F10" s="30" t="str">
        <f>极品属性输出!K33</f>
        <v>625,2,265,2650</v>
      </c>
      <c r="G10" s="30" t="str">
        <f>极品属性输出!O33</f>
        <v>625,4,265,2650</v>
      </c>
      <c r="H10" s="30" t="str">
        <f>极品属性输出!S33</f>
        <v>625,5,265,2650</v>
      </c>
      <c r="I10" s="30" t="str">
        <f>极品属性输出!W33</f>
        <v>625,6,265,2650</v>
      </c>
      <c r="J10" s="30" t="str">
        <f>极品属性输出!AA33</f>
        <v>625,7,265,2650</v>
      </c>
      <c r="K10" s="30" t="str">
        <f>极品属性输出!AE33</f>
        <v>625,8,265,2650</v>
      </c>
      <c r="L10" s="30" t="str">
        <f>极品属性输出!AI33</f>
        <v>625,20,80,3180</v>
      </c>
      <c r="M10" s="30" t="str">
        <f>极品属性输出!AM33</f>
        <v>625,18,39,3180</v>
      </c>
      <c r="N10" s="30" t="str">
        <f>极品属性输出!AQ33</f>
        <v>625,19,39,3180</v>
      </c>
      <c r="O10" s="30" t="str">
        <f>极品属性输出!AU33</f>
        <v>625,21,80,3180</v>
      </c>
      <c r="P10" s="30" t="str">
        <f>极品属性输出!AY33</f>
        <v>625,22,159,3180</v>
      </c>
      <c r="Q10" s="30" t="str">
        <f>极品属性输出!BC33</f>
        <v>625,23,159,3180</v>
      </c>
      <c r="R10" s="30" t="str">
        <f>极品属性输出!BG33</f>
        <v>625,24,159,3180</v>
      </c>
      <c r="S10" s="30" t="str">
        <f>极品属性输出!BK33</f>
        <v>625,25,159,3180</v>
      </c>
    </row>
    <row r="11" spans="1:19" x14ac:dyDescent="0.2">
      <c r="A11">
        <v>3</v>
      </c>
      <c r="B11" s="23" t="s">
        <v>142</v>
      </c>
      <c r="C11" s="23" t="s">
        <v>160</v>
      </c>
      <c r="D11" s="30" t="str">
        <f>极品属性输出!C34</f>
        <v>625,3,385,3850</v>
      </c>
      <c r="E11" s="30" t="str">
        <f>极品属性输出!G34</f>
        <v>625,1,7700,3850</v>
      </c>
      <c r="F11" s="30" t="str">
        <f>极品属性输出!K34</f>
        <v>625,2,385,3850</v>
      </c>
      <c r="G11" s="30" t="str">
        <f>极品属性输出!O34</f>
        <v>625,4,385,3850</v>
      </c>
      <c r="H11" s="30" t="str">
        <f>极品属性输出!S34</f>
        <v>625,5,385,3850</v>
      </c>
      <c r="I11" s="30" t="str">
        <f>极品属性输出!W34</f>
        <v>625,6,385,3850</v>
      </c>
      <c r="J11" s="30" t="str">
        <f>极品属性输出!AA34</f>
        <v>625,7,385,3850</v>
      </c>
      <c r="K11" s="30" t="str">
        <f>极品属性输出!AE34</f>
        <v>625,8,385,3850</v>
      </c>
      <c r="L11" s="30" t="str">
        <f>极品属性输出!AI34</f>
        <v>625,20,116,4620</v>
      </c>
      <c r="M11" s="30" t="str">
        <f>极品属性输出!AM34</f>
        <v>625,18,57,4620</v>
      </c>
      <c r="N11" s="30" t="str">
        <f>极品属性输出!AQ34</f>
        <v>625,19,57,4620</v>
      </c>
      <c r="O11" s="30" t="str">
        <f>极品属性输出!AU34</f>
        <v>625,21,116,4620</v>
      </c>
      <c r="P11" s="30" t="str">
        <f>极品属性输出!AY34</f>
        <v>625,22,231,4620</v>
      </c>
      <c r="Q11" s="30" t="str">
        <f>极品属性输出!BC34</f>
        <v>625,23,231,4620</v>
      </c>
      <c r="R11" s="30" t="str">
        <f>极品属性输出!BG34</f>
        <v>625,24,231,4620</v>
      </c>
      <c r="S11" s="30" t="str">
        <f>极品属性输出!BK34</f>
        <v>625,25,231,4620</v>
      </c>
    </row>
    <row r="12" spans="1:19" x14ac:dyDescent="0.2">
      <c r="A12">
        <v>4</v>
      </c>
      <c r="B12" s="23" t="s">
        <v>143</v>
      </c>
      <c r="C12" s="23" t="s">
        <v>161</v>
      </c>
      <c r="D12" s="30" t="str">
        <f>极品属性输出!C35</f>
        <v>625,3,505,5050</v>
      </c>
      <c r="E12" s="30" t="str">
        <f>极品属性输出!G35</f>
        <v>625,1,10100,5050</v>
      </c>
      <c r="F12" s="30" t="str">
        <f>极品属性输出!K35</f>
        <v>625,2,505,5050</v>
      </c>
      <c r="G12" s="30" t="str">
        <f>极品属性输出!O35</f>
        <v>625,4,505,5050</v>
      </c>
      <c r="H12" s="30" t="str">
        <f>极品属性输出!S35</f>
        <v>625,5,505,5050</v>
      </c>
      <c r="I12" s="30" t="str">
        <f>极品属性输出!W35</f>
        <v>625,6,505,5050</v>
      </c>
      <c r="J12" s="30" t="str">
        <f>极品属性输出!AA35</f>
        <v>625,7,505,5050</v>
      </c>
      <c r="K12" s="30" t="str">
        <f>极品属性输出!AE35</f>
        <v>625,8,505,5050</v>
      </c>
      <c r="L12" s="30" t="str">
        <f>极品属性输出!AI35</f>
        <v>625,20,152,6060</v>
      </c>
      <c r="M12" s="30" t="str">
        <f>极品属性输出!AM35</f>
        <v>625,18,75,6060</v>
      </c>
      <c r="N12" s="30" t="str">
        <f>极品属性输出!AQ35</f>
        <v>625,19,75,6060</v>
      </c>
      <c r="O12" s="30" t="str">
        <f>极品属性输出!AU35</f>
        <v>625,21,152,6060</v>
      </c>
      <c r="P12" s="30" t="str">
        <f>极品属性输出!AY35</f>
        <v>625,22,303,6060</v>
      </c>
      <c r="Q12" s="30" t="str">
        <f>极品属性输出!BC35</f>
        <v>625,23,303,6060</v>
      </c>
      <c r="R12" s="30" t="str">
        <f>极品属性输出!BG35</f>
        <v>625,24,303,6060</v>
      </c>
      <c r="S12" s="30" t="str">
        <f>极品属性输出!BK35</f>
        <v>625,25,303,6060</v>
      </c>
    </row>
    <row r="13" spans="1:19" x14ac:dyDescent="0.2">
      <c r="A13">
        <v>5</v>
      </c>
      <c r="B13" s="23" t="s">
        <v>144</v>
      </c>
      <c r="C13" s="23" t="s">
        <v>162</v>
      </c>
      <c r="D13" s="30" t="str">
        <f>极品属性输出!C36</f>
        <v>625,3,625,6250</v>
      </c>
      <c r="E13" s="30" t="str">
        <f>极品属性输出!G36</f>
        <v>625,1,12500,6250</v>
      </c>
      <c r="F13" s="30" t="str">
        <f>极品属性输出!K36</f>
        <v>625,2,625,6250</v>
      </c>
      <c r="G13" s="30" t="str">
        <f>极品属性输出!O36</f>
        <v>625,4,625,6250</v>
      </c>
      <c r="H13" s="30" t="str">
        <f>极品属性输出!S36</f>
        <v>625,5,625,6250</v>
      </c>
      <c r="I13" s="30" t="str">
        <f>极品属性输出!W36</f>
        <v>625,6,625,6250</v>
      </c>
      <c r="J13" s="30" t="str">
        <f>极品属性输出!AA36</f>
        <v>625,7,625,6250</v>
      </c>
      <c r="K13" s="30" t="str">
        <f>极品属性输出!AE36</f>
        <v>625,8,625,6250</v>
      </c>
      <c r="L13" s="30" t="str">
        <f>极品属性输出!AI36</f>
        <v>625,20,188,7500</v>
      </c>
      <c r="M13" s="30" t="str">
        <f>极品属性输出!AM36</f>
        <v>625,18,93,7500</v>
      </c>
      <c r="N13" s="30" t="str">
        <f>极品属性输出!AQ36</f>
        <v>625,19,93,7500</v>
      </c>
      <c r="O13" s="30" t="str">
        <f>极品属性输出!AU36</f>
        <v>625,21,188,7500</v>
      </c>
      <c r="P13" s="30" t="str">
        <f>极品属性输出!AY36</f>
        <v>625,22,375,7500</v>
      </c>
      <c r="Q13" s="30" t="str">
        <f>极品属性输出!BC36</f>
        <v>625,23,375,7500</v>
      </c>
      <c r="R13" s="30" t="str">
        <f>极品属性输出!BG36</f>
        <v>625,24,375,7500</v>
      </c>
      <c r="S13" s="30" t="str">
        <f>极品属性输出!BK36</f>
        <v>625,25,375,7500</v>
      </c>
    </row>
    <row r="14" spans="1:19" x14ac:dyDescent="0.2">
      <c r="A14">
        <v>6</v>
      </c>
      <c r="B14" s="23" t="s">
        <v>145</v>
      </c>
      <c r="C14" s="23" t="s">
        <v>163</v>
      </c>
      <c r="D14" s="30" t="str">
        <f>极品属性输出!C37</f>
        <v>625,3,745,7450</v>
      </c>
      <c r="E14" s="30" t="str">
        <f>极品属性输出!G37</f>
        <v>625,1,14900,7450</v>
      </c>
      <c r="F14" s="30" t="str">
        <f>极品属性输出!K37</f>
        <v>625,2,745,7450</v>
      </c>
      <c r="G14" s="30" t="str">
        <f>极品属性输出!O37</f>
        <v>625,4,745,7450</v>
      </c>
      <c r="H14" s="30" t="str">
        <f>极品属性输出!S37</f>
        <v>625,5,745,7450</v>
      </c>
      <c r="I14" s="30" t="str">
        <f>极品属性输出!W37</f>
        <v>625,6,745,7450</v>
      </c>
      <c r="J14" s="30" t="str">
        <f>极品属性输出!AA37</f>
        <v>625,7,745,7450</v>
      </c>
      <c r="K14" s="30" t="str">
        <f>极品属性输出!AE37</f>
        <v>625,8,745,7450</v>
      </c>
      <c r="L14" s="30" t="str">
        <f>极品属性输出!AI37</f>
        <v>625,20,224,8940</v>
      </c>
      <c r="M14" s="30" t="str">
        <f>极品属性输出!AM37</f>
        <v>625,18,111,8940</v>
      </c>
      <c r="N14" s="30" t="str">
        <f>极品属性输出!AQ37</f>
        <v>625,19,111,8940</v>
      </c>
      <c r="O14" s="30" t="str">
        <f>极品属性输出!AU37</f>
        <v>625,21,224,8940</v>
      </c>
      <c r="P14" s="30" t="str">
        <f>极品属性输出!AY37</f>
        <v>625,22,447,8940</v>
      </c>
      <c r="Q14" s="30" t="str">
        <f>极品属性输出!BC37</f>
        <v>625,23,447,8940</v>
      </c>
      <c r="R14" s="30" t="str">
        <f>极品属性输出!BG37</f>
        <v>625,24,447,8940</v>
      </c>
      <c r="S14" s="30" t="str">
        <f>极品属性输出!BK37</f>
        <v>625,25,447,8940</v>
      </c>
    </row>
    <row r="15" spans="1:19" x14ac:dyDescent="0.2">
      <c r="A15">
        <v>7</v>
      </c>
      <c r="B15" s="23" t="s">
        <v>179</v>
      </c>
      <c r="C15" s="23" t="s">
        <v>182</v>
      </c>
      <c r="D15" s="30" t="str">
        <f>极品属性输出!C38</f>
        <v>625,3,865,8650</v>
      </c>
      <c r="E15" s="30" t="str">
        <f>极品属性输出!G38</f>
        <v>625,1,17300,8650</v>
      </c>
      <c r="F15" s="30" t="str">
        <f>极品属性输出!K38</f>
        <v>625,2,865,8650</v>
      </c>
      <c r="G15" s="30" t="str">
        <f>极品属性输出!O38</f>
        <v>625,4,865,8650</v>
      </c>
      <c r="H15" s="30" t="str">
        <f>极品属性输出!S38</f>
        <v>625,5,865,8650</v>
      </c>
      <c r="I15" s="30" t="str">
        <f>极品属性输出!W38</f>
        <v>625,6,865,8650</v>
      </c>
      <c r="J15" s="30" t="str">
        <f>极品属性输出!AA38</f>
        <v>625,7,865,8650</v>
      </c>
      <c r="K15" s="30" t="str">
        <f>极品属性输出!AE38</f>
        <v>625,8,865,8650</v>
      </c>
      <c r="L15" s="30" t="str">
        <f>极品属性输出!AI38</f>
        <v>625,20,260,10380</v>
      </c>
      <c r="M15" s="30" t="str">
        <f>极品属性输出!AM38</f>
        <v>625,18,129,10380</v>
      </c>
      <c r="N15" s="30" t="str">
        <f>极品属性输出!AQ38</f>
        <v>625,19,129,10380</v>
      </c>
      <c r="O15" s="30" t="str">
        <f>极品属性输出!AU38</f>
        <v>625,21,260,10380</v>
      </c>
      <c r="P15" s="30" t="str">
        <f>极品属性输出!AY38</f>
        <v>625,22,519,10380</v>
      </c>
      <c r="Q15" s="30" t="str">
        <f>极品属性输出!BC38</f>
        <v>625,23,519,10380</v>
      </c>
      <c r="R15" s="30" t="str">
        <f>极品属性输出!BG38</f>
        <v>625,24,519,10380</v>
      </c>
      <c r="S15" s="30" t="str">
        <f>极品属性输出!BK38</f>
        <v>625,25,519,10380</v>
      </c>
    </row>
    <row r="16" spans="1:19" x14ac:dyDescent="0.2">
      <c r="A16">
        <v>1</v>
      </c>
      <c r="B16" s="23" t="s">
        <v>146</v>
      </c>
      <c r="C16" s="23" t="s">
        <v>164</v>
      </c>
      <c r="D16" s="30" t="str">
        <f>极品属性输出!C39</f>
        <v>625,3,280,2800</v>
      </c>
      <c r="E16" s="30" t="str">
        <f>极品属性输出!G39</f>
        <v>625,1,5600,2800</v>
      </c>
      <c r="F16" s="30" t="str">
        <f>极品属性输出!K39</f>
        <v>625,2,280,2800</v>
      </c>
      <c r="G16" s="30" t="str">
        <f>极品属性输出!O39</f>
        <v>625,4,280,2800</v>
      </c>
      <c r="H16" s="30" t="str">
        <f>极品属性输出!S39</f>
        <v>625,5,280,2800</v>
      </c>
      <c r="I16" s="30" t="str">
        <f>极品属性输出!W39</f>
        <v>625,6,280,2800</v>
      </c>
      <c r="J16" s="30" t="str">
        <f>极品属性输出!AA39</f>
        <v>625,7,280,2800</v>
      </c>
      <c r="K16" s="30" t="str">
        <f>极品属性输出!AE39</f>
        <v>625,8,280,2800</v>
      </c>
      <c r="L16" s="30" t="str">
        <f>极品属性输出!AI39</f>
        <v>625,20,84,3360</v>
      </c>
      <c r="M16" s="30" t="str">
        <f>极品属性输出!AM39</f>
        <v>625,18,42,3360</v>
      </c>
      <c r="N16" s="30" t="str">
        <f>极品属性输出!AQ39</f>
        <v>625,19,42,3360</v>
      </c>
      <c r="O16" s="30" t="str">
        <f>极品属性输出!AU39</f>
        <v>625,21,84,3360</v>
      </c>
      <c r="P16" s="30" t="str">
        <f>极品属性输出!AY39</f>
        <v>625,22,168,3360</v>
      </c>
      <c r="Q16" s="30" t="str">
        <f>极品属性输出!BC39</f>
        <v>625,23,168,3360</v>
      </c>
      <c r="R16" s="30" t="str">
        <f>极品属性输出!BG39</f>
        <v>625,24,168,3360</v>
      </c>
      <c r="S16" s="30" t="str">
        <f>极品属性输出!BK39</f>
        <v>625,25,168,3360</v>
      </c>
    </row>
    <row r="17" spans="1:19" x14ac:dyDescent="0.2">
      <c r="A17">
        <v>2</v>
      </c>
      <c r="B17" s="23" t="s">
        <v>147</v>
      </c>
      <c r="C17" s="23" t="s">
        <v>165</v>
      </c>
      <c r="D17" s="30" t="str">
        <f>极品属性输出!C40</f>
        <v>625,3,460,4600</v>
      </c>
      <c r="E17" s="30" t="str">
        <f>极品属性输出!G40</f>
        <v>625,1,9200,4600</v>
      </c>
      <c r="F17" s="30" t="str">
        <f>极品属性输出!K40</f>
        <v>625,2,460,4600</v>
      </c>
      <c r="G17" s="30" t="str">
        <f>极品属性输出!O40</f>
        <v>625,4,460,4600</v>
      </c>
      <c r="H17" s="30" t="str">
        <f>极品属性输出!S40</f>
        <v>625,5,460,4600</v>
      </c>
      <c r="I17" s="30" t="str">
        <f>极品属性输出!W40</f>
        <v>625,6,460,4600</v>
      </c>
      <c r="J17" s="30" t="str">
        <f>极品属性输出!AA40</f>
        <v>625,7,460,4600</v>
      </c>
      <c r="K17" s="30" t="str">
        <f>极品属性输出!AE40</f>
        <v>625,8,460,4600</v>
      </c>
      <c r="L17" s="30" t="str">
        <f>极品属性输出!AI40</f>
        <v>625,20,138,5520</v>
      </c>
      <c r="M17" s="30" t="str">
        <f>极品属性输出!AM40</f>
        <v>625,18,69,5520</v>
      </c>
      <c r="N17" s="30" t="str">
        <f>极品属性输出!AQ40</f>
        <v>625,19,69,5520</v>
      </c>
      <c r="O17" s="30" t="str">
        <f>极品属性输出!AU40</f>
        <v>625,21,138,5520</v>
      </c>
      <c r="P17" s="30" t="str">
        <f>极品属性输出!AY40</f>
        <v>625,22,276,5520</v>
      </c>
      <c r="Q17" s="30" t="str">
        <f>极品属性输出!BC40</f>
        <v>625,23,276,5520</v>
      </c>
      <c r="R17" s="30" t="str">
        <f>极品属性输出!BG40</f>
        <v>625,24,276,5520</v>
      </c>
      <c r="S17" s="30" t="str">
        <f>极品属性输出!BK40</f>
        <v>625,25,276,5520</v>
      </c>
    </row>
    <row r="18" spans="1:19" x14ac:dyDescent="0.2">
      <c r="A18">
        <v>3</v>
      </c>
      <c r="B18" s="23" t="s">
        <v>148</v>
      </c>
      <c r="C18" s="23" t="s">
        <v>166</v>
      </c>
      <c r="D18" s="30" t="str">
        <f>极品属性输出!C41</f>
        <v>625,3,640,6400</v>
      </c>
      <c r="E18" s="30" t="str">
        <f>极品属性输出!G41</f>
        <v>625,1,12800,6400</v>
      </c>
      <c r="F18" s="30" t="str">
        <f>极品属性输出!K41</f>
        <v>625,2,640,6400</v>
      </c>
      <c r="G18" s="30" t="str">
        <f>极品属性输出!O41</f>
        <v>625,4,640,6400</v>
      </c>
      <c r="H18" s="30" t="str">
        <f>极品属性输出!S41</f>
        <v>625,5,640,6400</v>
      </c>
      <c r="I18" s="30" t="str">
        <f>极品属性输出!W41</f>
        <v>625,6,640,6400</v>
      </c>
      <c r="J18" s="30" t="str">
        <f>极品属性输出!AA41</f>
        <v>625,7,640,6400</v>
      </c>
      <c r="K18" s="30" t="str">
        <f>极品属性输出!AE41</f>
        <v>625,8,640,6400</v>
      </c>
      <c r="L18" s="30" t="str">
        <f>极品属性输出!AI41</f>
        <v>625,20,192,7680</v>
      </c>
      <c r="M18" s="30" t="str">
        <f>极品属性输出!AM41</f>
        <v>625,18,96,7680</v>
      </c>
      <c r="N18" s="30" t="str">
        <f>极品属性输出!AQ41</f>
        <v>625,19,96,7680</v>
      </c>
      <c r="O18" s="30" t="str">
        <f>极品属性输出!AU41</f>
        <v>625,21,192,7680</v>
      </c>
      <c r="P18" s="30" t="str">
        <f>极品属性输出!AY41</f>
        <v>625,22,384,7680</v>
      </c>
      <c r="Q18" s="30" t="str">
        <f>极品属性输出!BC41</f>
        <v>625,23,384,7680</v>
      </c>
      <c r="R18" s="30" t="str">
        <f>极品属性输出!BG41</f>
        <v>625,24,384,7680</v>
      </c>
      <c r="S18" s="30" t="str">
        <f>极品属性输出!BK41</f>
        <v>625,25,384,7680</v>
      </c>
    </row>
    <row r="19" spans="1:19" x14ac:dyDescent="0.2">
      <c r="A19">
        <v>4</v>
      </c>
      <c r="B19" s="23" t="s">
        <v>149</v>
      </c>
      <c r="C19" s="23" t="s">
        <v>167</v>
      </c>
      <c r="D19" s="30" t="str">
        <f>极品属性输出!C42</f>
        <v>625,3,820,8200</v>
      </c>
      <c r="E19" s="30" t="str">
        <f>极品属性输出!G42</f>
        <v>625,1,16400,8200</v>
      </c>
      <c r="F19" s="30" t="str">
        <f>极品属性输出!K42</f>
        <v>625,2,820,8200</v>
      </c>
      <c r="G19" s="30" t="str">
        <f>极品属性输出!O42</f>
        <v>625,4,820,8200</v>
      </c>
      <c r="H19" s="30" t="str">
        <f>极品属性输出!S42</f>
        <v>625,5,820,8200</v>
      </c>
      <c r="I19" s="30" t="str">
        <f>极品属性输出!W42</f>
        <v>625,6,820,8200</v>
      </c>
      <c r="J19" s="30" t="str">
        <f>极品属性输出!AA42</f>
        <v>625,7,820,8200</v>
      </c>
      <c r="K19" s="30" t="str">
        <f>极品属性输出!AE42</f>
        <v>625,8,820,8200</v>
      </c>
      <c r="L19" s="30" t="str">
        <f>极品属性输出!AI42</f>
        <v>625,20,246,9840</v>
      </c>
      <c r="M19" s="30" t="str">
        <f>极品属性输出!AM42</f>
        <v>625,18,123,9840</v>
      </c>
      <c r="N19" s="30" t="str">
        <f>极品属性输出!AQ42</f>
        <v>625,19,123,9840</v>
      </c>
      <c r="O19" s="30" t="str">
        <f>极品属性输出!AU42</f>
        <v>625,21,246,9840</v>
      </c>
      <c r="P19" s="30" t="str">
        <f>极品属性输出!AY42</f>
        <v>625,22,492,9840</v>
      </c>
      <c r="Q19" s="30" t="str">
        <f>极品属性输出!BC42</f>
        <v>625,23,492,9840</v>
      </c>
      <c r="R19" s="30" t="str">
        <f>极品属性输出!BG42</f>
        <v>625,24,492,9840</v>
      </c>
      <c r="S19" s="30" t="str">
        <f>极品属性输出!BK42</f>
        <v>625,25,492,9840</v>
      </c>
    </row>
    <row r="20" spans="1:19" x14ac:dyDescent="0.2">
      <c r="A20">
        <v>5</v>
      </c>
      <c r="B20" s="23" t="s">
        <v>150</v>
      </c>
      <c r="C20" s="23" t="s">
        <v>168</v>
      </c>
      <c r="D20" s="30" t="str">
        <f>极品属性输出!C43</f>
        <v>625,3,1000,10000</v>
      </c>
      <c r="E20" s="30" t="str">
        <f>极品属性输出!G43</f>
        <v>625,1,20000,10000</v>
      </c>
      <c r="F20" s="30" t="str">
        <f>极品属性输出!K43</f>
        <v>625,2,1000,10000</v>
      </c>
      <c r="G20" s="30" t="str">
        <f>极品属性输出!O43</f>
        <v>625,4,1000,10000</v>
      </c>
      <c r="H20" s="30" t="str">
        <f>极品属性输出!S43</f>
        <v>625,5,1000,10000</v>
      </c>
      <c r="I20" s="30" t="str">
        <f>极品属性输出!W43</f>
        <v>625,6,1000,10000</v>
      </c>
      <c r="J20" s="30" t="str">
        <f>极品属性输出!AA43</f>
        <v>625,7,1000,10000</v>
      </c>
      <c r="K20" s="30" t="str">
        <f>极品属性输出!AE43</f>
        <v>625,8,1000,10000</v>
      </c>
      <c r="L20" s="30" t="str">
        <f>极品属性输出!AI43</f>
        <v>625,20,300,12000</v>
      </c>
      <c r="M20" s="30" t="str">
        <f>极品属性输出!AM43</f>
        <v>625,18,150,12000</v>
      </c>
      <c r="N20" s="30" t="str">
        <f>极品属性输出!AQ43</f>
        <v>625,19,150,12000</v>
      </c>
      <c r="O20" s="30" t="str">
        <f>极品属性输出!AU43</f>
        <v>625,21,300,12000</v>
      </c>
      <c r="P20" s="30" t="str">
        <f>极品属性输出!AY43</f>
        <v>625,22,600,12000</v>
      </c>
      <c r="Q20" s="30" t="str">
        <f>极品属性输出!BC43</f>
        <v>625,23,600,12000</v>
      </c>
      <c r="R20" s="30" t="str">
        <f>极品属性输出!BG43</f>
        <v>625,24,600,12000</v>
      </c>
      <c r="S20" s="30" t="str">
        <f>极品属性输出!BK43</f>
        <v>625,25,600,12000</v>
      </c>
    </row>
    <row r="21" spans="1:19" x14ac:dyDescent="0.2">
      <c r="A21">
        <v>6</v>
      </c>
      <c r="B21" s="23" t="s">
        <v>151</v>
      </c>
      <c r="C21" s="23" t="s">
        <v>169</v>
      </c>
      <c r="D21" s="30" t="str">
        <f>极品属性输出!C44</f>
        <v>625,3,1180,11800</v>
      </c>
      <c r="E21" s="30" t="str">
        <f>极品属性输出!G44</f>
        <v>625,1,23600,11800</v>
      </c>
      <c r="F21" s="30" t="str">
        <f>极品属性输出!K44</f>
        <v>625,2,1180,11800</v>
      </c>
      <c r="G21" s="30" t="str">
        <f>极品属性输出!O44</f>
        <v>625,4,1180,11800</v>
      </c>
      <c r="H21" s="30" t="str">
        <f>极品属性输出!S44</f>
        <v>625,5,1180,11800</v>
      </c>
      <c r="I21" s="30" t="str">
        <f>极品属性输出!W44</f>
        <v>625,6,1180,11800</v>
      </c>
      <c r="J21" s="30" t="str">
        <f>极品属性输出!AA44</f>
        <v>625,7,1180,11800</v>
      </c>
      <c r="K21" s="30" t="str">
        <f>极品属性输出!AE44</f>
        <v>625,8,1180,11800</v>
      </c>
      <c r="L21" s="30" t="str">
        <f>极品属性输出!AI44</f>
        <v>625,20,354,14160</v>
      </c>
      <c r="M21" s="30" t="str">
        <f>极品属性输出!AM44</f>
        <v>625,18,177,14160</v>
      </c>
      <c r="N21" s="30" t="str">
        <f>极品属性输出!AQ44</f>
        <v>625,19,177,14160</v>
      </c>
      <c r="O21" s="30" t="str">
        <f>极品属性输出!AU44</f>
        <v>625,21,354,14160</v>
      </c>
      <c r="P21" s="30" t="str">
        <f>极品属性输出!AY44</f>
        <v>625,22,708,14160</v>
      </c>
      <c r="Q21" s="30" t="str">
        <f>极品属性输出!BC44</f>
        <v>625,23,708,14160</v>
      </c>
      <c r="R21" s="30" t="str">
        <f>极品属性输出!BG44</f>
        <v>625,24,708,14160</v>
      </c>
      <c r="S21" s="30" t="str">
        <f>极品属性输出!BK44</f>
        <v>625,25,708,14160</v>
      </c>
    </row>
    <row r="22" spans="1:19" x14ac:dyDescent="0.2">
      <c r="A22">
        <v>7</v>
      </c>
      <c r="B22" s="23" t="s">
        <v>180</v>
      </c>
      <c r="C22" s="23" t="s">
        <v>181</v>
      </c>
      <c r="D22" s="30" t="str">
        <f>极品属性输出!C45</f>
        <v>625,3,1360,13600</v>
      </c>
      <c r="E22" s="30" t="str">
        <f>极品属性输出!G45</f>
        <v>625,1,27200,13600</v>
      </c>
      <c r="F22" s="30" t="str">
        <f>极品属性输出!K45</f>
        <v>625,2,1360,13600</v>
      </c>
      <c r="G22" s="30" t="str">
        <f>极品属性输出!O45</f>
        <v>625,4,1360,13600</v>
      </c>
      <c r="H22" s="30" t="str">
        <f>极品属性输出!S45</f>
        <v>625,5,1360,13600</v>
      </c>
      <c r="I22" s="30" t="str">
        <f>极品属性输出!W45</f>
        <v>625,6,1360,13600</v>
      </c>
      <c r="J22" s="30" t="str">
        <f>极品属性输出!AA45</f>
        <v>625,7,1360,13600</v>
      </c>
      <c r="K22" s="30" t="str">
        <f>极品属性输出!AE45</f>
        <v>625,8,1360,13600</v>
      </c>
      <c r="L22" s="30" t="str">
        <f>极品属性输出!AI45</f>
        <v>625,20,408,16320</v>
      </c>
      <c r="M22" s="30" t="str">
        <f>极品属性输出!AM45</f>
        <v>625,18,204,16320</v>
      </c>
      <c r="N22" s="30" t="str">
        <f>极品属性输出!AQ45</f>
        <v>625,19,204,16320</v>
      </c>
      <c r="O22" s="30" t="str">
        <f>极品属性输出!AU45</f>
        <v>625,21,408,16320</v>
      </c>
      <c r="P22" s="30" t="str">
        <f>极品属性输出!AY45</f>
        <v>625,22,816,16320</v>
      </c>
      <c r="Q22" s="30" t="str">
        <f>极品属性输出!BC45</f>
        <v>625,23,816,16320</v>
      </c>
      <c r="R22" s="30" t="str">
        <f>极品属性输出!BG45</f>
        <v>625,24,816,16320</v>
      </c>
      <c r="S22" s="30" t="str">
        <f>极品属性输出!BK45</f>
        <v>625,25,816,16320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强化调整表</vt:lpstr>
      <vt:lpstr>青云参考（强化）</vt:lpstr>
      <vt:lpstr>相关定价</vt:lpstr>
      <vt:lpstr>进阶调整表1</vt:lpstr>
      <vt:lpstr>进阶值</vt:lpstr>
      <vt:lpstr>青云参考（进阶）</vt:lpstr>
      <vt:lpstr>性价比</vt:lpstr>
      <vt:lpstr>极品属性表调整</vt:lpstr>
      <vt:lpstr>总消耗和总产出</vt:lpstr>
      <vt:lpstr>极品属性输出</vt:lpstr>
      <vt:lpstr>套装调整</vt:lpstr>
      <vt:lpstr>青云参考（套装）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2019-05-15T03:19:25Z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