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307266\Documents\Ravi-Docs\"/>
    </mc:Choice>
  </mc:AlternateContent>
  <xr:revisionPtr revIDLastSave="0" documentId="13_ncr:1_{842C7D72-B9FA-4202-A6C5-41C5A9C117A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owssvr" sheetId="1" r:id="rId1"/>
    <sheet name="Pers" sheetId="2" r:id="rId2"/>
    <sheet name="Sheet2" sheetId="3" r:id="rId3"/>
    <sheet name="Questionare" sheetId="4" r:id="rId4"/>
    <sheet name="Ravi_Acc" sheetId="5" r:id="rId5"/>
  </sheets>
  <definedNames>
    <definedName name="owssvr" localSheetId="0" hidden="1">owssvr!$A$1:$G$13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2" i="2" l="1"/>
  <c r="S32" i="2"/>
  <c r="S31" i="2"/>
  <c r="S30" i="2"/>
  <c r="R31" i="2"/>
  <c r="R30" i="2"/>
  <c r="Q31" i="2"/>
  <c r="Q30" i="2"/>
  <c r="L30" i="2"/>
  <c r="P56" i="5" l="1"/>
  <c r="P52" i="5"/>
  <c r="U34" i="2"/>
  <c r="U52" i="5"/>
  <c r="U53" i="5"/>
  <c r="T54" i="5"/>
  <c r="V55" i="5" s="1"/>
  <c r="V53" i="5" l="1"/>
  <c r="V54" i="5" s="1"/>
  <c r="P48" i="5" l="1"/>
  <c r="V42" i="5"/>
  <c r="P40" i="5"/>
  <c r="P38" i="5"/>
  <c r="P67" i="5" l="1"/>
  <c r="M50" i="5"/>
  <c r="N50" i="5" s="1"/>
  <c r="M47" i="2" l="1"/>
  <c r="X34" i="5"/>
  <c r="Z20" i="5"/>
  <c r="Y20" i="5"/>
  <c r="W20" i="5"/>
  <c r="X20" i="5"/>
  <c r="T20" i="5"/>
  <c r="U20" i="5"/>
  <c r="S20" i="5"/>
  <c r="I18" i="5" l="1"/>
  <c r="O18" i="5" s="1"/>
  <c r="V20" i="5" l="1"/>
  <c r="I16" i="5" l="1"/>
  <c r="O16" i="5" s="1"/>
  <c r="I17" i="5"/>
  <c r="O17" i="5" s="1"/>
  <c r="I15" i="5"/>
  <c r="O15" i="5" s="1"/>
  <c r="R20" i="5"/>
  <c r="R25" i="5" s="1"/>
  <c r="Q20" i="5"/>
  <c r="R24" i="5" s="1"/>
  <c r="S25" i="5" l="1"/>
  <c r="I14" i="5"/>
  <c r="O14" i="5" s="1"/>
  <c r="L31" i="2" l="1"/>
  <c r="M31" i="2" s="1"/>
  <c r="N31" i="2" s="1"/>
  <c r="M30" i="2"/>
  <c r="N30" i="2" s="1"/>
  <c r="L25" i="2"/>
  <c r="K22" i="5" l="1"/>
  <c r="I13" i="5"/>
  <c r="O13" i="5" s="1"/>
  <c r="I12" i="5"/>
  <c r="O12" i="5" s="1"/>
  <c r="I11" i="5"/>
  <c r="O11" i="5" s="1"/>
  <c r="I10" i="5"/>
  <c r="I9" i="5"/>
  <c r="O10" i="5" l="1"/>
  <c r="L10" i="5"/>
  <c r="M10" i="5" s="1"/>
  <c r="I23" i="5"/>
  <c r="J23" i="5" s="1"/>
  <c r="V88" i="4"/>
  <c r="U88" i="4"/>
  <c r="V84" i="4"/>
  <c r="U84" i="4"/>
  <c r="Q71" i="4"/>
  <c r="Q72" i="4"/>
  <c r="Q74" i="4"/>
  <c r="Q75" i="4"/>
  <c r="Q76" i="4"/>
  <c r="Q79" i="4"/>
  <c r="Q80" i="4"/>
  <c r="Q82" i="4"/>
  <c r="Q83" i="4"/>
  <c r="Q73" i="4"/>
  <c r="Q84" i="4" l="1"/>
  <c r="K23" i="5"/>
  <c r="L23" i="5" s="1"/>
  <c r="M23" i="5" s="1"/>
  <c r="B22" i="3"/>
  <c r="C22" i="3" s="1"/>
  <c r="B9" i="3" l="1"/>
  <c r="B18" i="3" l="1"/>
  <c r="C18" i="3" s="1"/>
  <c r="T28" i="2" l="1"/>
  <c r="B15" i="3"/>
  <c r="C15" i="3" s="1"/>
  <c r="B12" i="3"/>
  <c r="C12" i="3" s="1"/>
  <c r="F5" i="3" l="1"/>
  <c r="J5" i="3" s="1"/>
  <c r="K5" i="3" s="1"/>
  <c r="L5" i="3" s="1"/>
  <c r="M5" i="3" s="1"/>
  <c r="O5" i="3" s="1"/>
  <c r="P5" i="3" s="1"/>
  <c r="Q5" i="3" s="1"/>
  <c r="R5" i="3" s="1"/>
  <c r="S5" i="3" s="1"/>
  <c r="V5" i="3" s="1"/>
  <c r="W5" i="3" s="1"/>
  <c r="X5" i="3" s="1"/>
  <c r="Y5" i="3" s="1"/>
  <c r="Z5" i="3" s="1"/>
  <c r="AA5" i="3" s="1"/>
  <c r="AB5" i="3" s="1"/>
  <c r="AC5" i="3" s="1"/>
  <c r="O20" i="2" l="1"/>
  <c r="P20" i="2" s="1"/>
  <c r="R20" i="2" s="1"/>
  <c r="O19" i="2"/>
  <c r="O17" i="1" l="1"/>
  <c r="V15" i="2"/>
  <c r="U16" i="2"/>
  <c r="P19" i="2" l="1"/>
  <c r="R19" i="2" s="1"/>
  <c r="P15" i="2"/>
  <c r="R15" i="2" s="1"/>
  <c r="P17" i="2"/>
  <c r="R17" i="2" s="1"/>
  <c r="P16" i="2"/>
  <c r="R16" i="2" s="1"/>
  <c r="O18" i="2"/>
  <c r="P18" i="2" s="1"/>
  <c r="R18" i="2" s="1"/>
  <c r="R25" i="2" l="1"/>
  <c r="J7" i="2"/>
  <c r="E6" i="2"/>
  <c r="E9" i="2"/>
  <c r="E10" i="2"/>
  <c r="E8" i="2"/>
  <c r="X11" i="2"/>
  <c r="X13" i="2" s="1"/>
  <c r="M5" i="2"/>
  <c r="N5" i="2" s="1"/>
  <c r="O5" i="2" s="1"/>
  <c r="P5" i="2" s="1"/>
  <c r="Q5" i="2" s="1"/>
  <c r="R5" i="2" s="1"/>
  <c r="S5" i="2" s="1"/>
  <c r="T5" i="2" s="1"/>
  <c r="B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k307266\AppData\Local\Microsoft\Windows\INetCache\IE\MXVFXY2C\owssvr.iqy" keepAlive="1" name="owssvr" type="5" refreshedVersion="6" minRefreshableVersion="3" saveData="1">
    <dbPr connection="Provider=Microsoft.Office.List.OLEDB.2.0;Data Source=&quot;&quot;;ApplicationName=Excel;Version=12.0.0.0" command="&lt;LIST&gt;&lt;VIEWGUID&gt;{EA930623-05C6-4E35-A37C-1FF47DD72E18}&lt;/VIEWGUID&gt;&lt;LISTNAME&gt;{D7D2EDE0-3967-40AB-89C7-4C8453BE6B0B}&lt;/LISTNAME&gt;&lt;LISTWEB&gt;http://mysites.deluxe.com:8080/personal/k307266/_vti_bin&lt;/LISTWEB&gt;&lt;LISTSUBWEB&gt;&lt;/LISTSUBWEB&gt;&lt;ROOTFOLDER&gt;/personal/k307266/AnalyticsReports&lt;/ROOTFOLDER&gt;&lt;/LIST&gt;" commandType="5"/>
  </connection>
  <connection id="2" xr16:uid="{00000000-0015-0000-FFFF-FFFF01000000}" keepAlive="1" name="Query - Table 0" description="Connection to the 'Table 0' query in the workbook." type="5" refreshedVersion="0" background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<sst xmlns="http://schemas.openxmlformats.org/spreadsheetml/2006/main" count="366" uniqueCount="269">
  <si>
    <t>Environment</t>
  </si>
  <si>
    <t>Linux Server</t>
  </si>
  <si>
    <t>Groups</t>
  </si>
  <si>
    <t>Cloud</t>
  </si>
  <si>
    <t>Path</t>
  </si>
  <si>
    <t>Item Type</t>
  </si>
  <si>
    <t>Name</t>
  </si>
  <si>
    <t>IIB Dev</t>
  </si>
  <si>
    <t xml:space="preserve">IIB QA </t>
  </si>
  <si>
    <t>IIB UAT</t>
  </si>
  <si>
    <t>IIB XUAT</t>
  </si>
  <si>
    <t>IIB Preprod-1</t>
  </si>
  <si>
    <t>IIB Preprod-2</t>
  </si>
  <si>
    <t>IIB Production FS</t>
  </si>
  <si>
    <t>IIB Production non-FS (FNTS Data center)</t>
  </si>
  <si>
    <t xml:space="preserve">IIB Production non-FS (FNTS Data center) </t>
  </si>
  <si>
    <t xml:space="preserve">IIB Prod Server, Tier 1 Cloud </t>
  </si>
  <si>
    <t>IIB Prod Server, Tier 1 Cloud</t>
  </si>
  <si>
    <t xml:space="preserve">Linux Server unix-l-ALA00045 </t>
  </si>
  <si>
    <t xml:space="preserve">Linux Server unix-l-ALA00046  </t>
  </si>
  <si>
    <t xml:space="preserve">Linux Server unix-l-ALA00310  </t>
  </si>
  <si>
    <t xml:space="preserve">Linux Server unix-l-ALA00311  </t>
  </si>
  <si>
    <t xml:space="preserve">Linux Server unix-l-ALA00312  </t>
  </si>
  <si>
    <t>Linux Server unix-l-ALA00313</t>
  </si>
  <si>
    <t>Linux Server unix-l-ALA00373</t>
  </si>
  <si>
    <t>Linux Server unix-l-ALA00374</t>
  </si>
  <si>
    <t>Linux Server unix-l-ALA00375</t>
  </si>
  <si>
    <t>Linux Server unix-l-ALA00376</t>
  </si>
  <si>
    <t>Linux Server unix-l-ALA00585</t>
  </si>
  <si>
    <t>Linux Server unix-l-ALA00586</t>
  </si>
  <si>
    <t>EISSOA, mqm, mqbrkrs</t>
  </si>
  <si>
    <t>Cone</t>
  </si>
  <si>
    <t>Liya</t>
  </si>
  <si>
    <t>EMI</t>
  </si>
  <si>
    <t>Groceries</t>
  </si>
  <si>
    <t>Gas</t>
  </si>
  <si>
    <t>Months</t>
  </si>
  <si>
    <t>Total</t>
  </si>
  <si>
    <t>Principal</t>
  </si>
  <si>
    <t>interest</t>
  </si>
  <si>
    <t xml:space="preserve"> </t>
  </si>
  <si>
    <t>Food</t>
  </si>
  <si>
    <t>January'18</t>
  </si>
  <si>
    <t>Feb</t>
  </si>
  <si>
    <t>domsaa82</t>
  </si>
  <si>
    <t>CIS1QM1  CIS1QM2  CIS1QM3  CIS1QM4</t>
  </si>
  <si>
    <t>CIP1QM5  CIP1QM6  CIP1QM7  CIP1QM8</t>
  </si>
  <si>
    <t>dompaa54</t>
  </si>
  <si>
    <t>CIP1QM1  CIP1QM3</t>
  </si>
  <si>
    <t>dompaa52</t>
  </si>
  <si>
    <t>dompaa50</t>
  </si>
  <si>
    <t>CIM1QM1  CIT1QM1  CIX1QM1  CIX1QM2</t>
  </si>
  <si>
    <t>domdaa80</t>
  </si>
  <si>
    <t>ddguaa75</t>
  </si>
  <si>
    <t>ddguaa73</t>
  </si>
  <si>
    <t>ddgsaa59</t>
  </si>
  <si>
    <t>degpsa05</t>
  </si>
  <si>
    <t>ALA00045</t>
  </si>
  <si>
    <t>ala00586</t>
  </si>
  <si>
    <t>CID1QM1  CIQ1QM1  CIU1QM1</t>
  </si>
  <si>
    <t>DDGUAA75_Q1  DDGUAA75_U1</t>
  </si>
  <si>
    <t>DDGUAA73</t>
  </si>
  <si>
    <t>DDGSAA59_S1  DDGSAA59_X1</t>
  </si>
  <si>
    <t>IIB DEV box</t>
  </si>
  <si>
    <t>January</t>
  </si>
  <si>
    <t>Feburary</t>
  </si>
  <si>
    <t>March</t>
  </si>
  <si>
    <t>Dec</t>
  </si>
  <si>
    <t>April</t>
  </si>
  <si>
    <t>Totl</t>
  </si>
  <si>
    <t>Loan</t>
  </si>
  <si>
    <t>LoanPlan</t>
  </si>
  <si>
    <t>gas</t>
  </si>
  <si>
    <t>DCU</t>
  </si>
  <si>
    <t>Rent</t>
  </si>
  <si>
    <t>DCU Visa</t>
  </si>
  <si>
    <t>Closed today</t>
  </si>
  <si>
    <t>hdfc</t>
  </si>
  <si>
    <t>icici</t>
  </si>
  <si>
    <t>4k</t>
  </si>
  <si>
    <t>6k</t>
  </si>
  <si>
    <t>citi</t>
  </si>
  <si>
    <t>5k</t>
  </si>
  <si>
    <t>Disc</t>
  </si>
  <si>
    <t>May</t>
  </si>
  <si>
    <t xml:space="preserve">EPS Support </t>
  </si>
  <si>
    <t>February</t>
  </si>
  <si>
    <t>Deluxe Platform Modernization</t>
  </si>
  <si>
    <t xml:space="preserve">Break Fix Work Orders50257 Break Fix Baseline &amp; Process Auto/Improvement </t>
  </si>
  <si>
    <t>Channel Shift(Vinyl Cover )</t>
  </si>
  <si>
    <t>Actuals</t>
  </si>
  <si>
    <t>Estimates</t>
  </si>
  <si>
    <t xml:space="preserve">fix WR 41 OPT price </t>
  </si>
  <si>
    <t xml:space="preserve">Questionnaire </t>
  </si>
  <si>
    <t>Application has been tested and signed off in QA ?</t>
  </si>
  <si>
    <t xml:space="preserve">Who is the consumers or Lines of Business that consumes this service/Application for this change </t>
  </si>
  <si>
    <t xml:space="preserve">Who is the provider of data / external applications </t>
  </si>
  <si>
    <t xml:space="preserve">Third party/External systems configuration </t>
  </si>
  <si>
    <t>Any SSL configured from/To the third party/External systems ?</t>
  </si>
  <si>
    <t xml:space="preserve">Are you using https secure connection for webservives </t>
  </si>
  <si>
    <t xml:space="preserve">Are you using certificates and if so did you get the latest certificate /Share the certficate to Admin to load in Prod ? </t>
  </si>
  <si>
    <t xml:space="preserve">Identify any Firewall in between application to the external systems ? </t>
  </si>
  <si>
    <t xml:space="preserve">Did you open the firewall requests (Add in IQOQ ) Source , destination, Ip and ports and implementor from Firewall team and the time. </t>
  </si>
  <si>
    <t xml:space="preserve">Non prod validation after firewall request is completed. - Who verified it ? </t>
  </si>
  <si>
    <t>Schedule Prod validation of Firewall request - Who will validate the request from application team?</t>
  </si>
  <si>
    <t xml:space="preserve">Auditing/Logging </t>
  </si>
  <si>
    <t xml:space="preserve">DB </t>
  </si>
  <si>
    <t xml:space="preserve">DEPLOYMENT PLAN </t>
  </si>
  <si>
    <t>PTK DOC</t>
  </si>
  <si>
    <t>Is there a new change to any object (Tables, Views, Procs, etc,.)</t>
  </si>
  <si>
    <t xml:space="preserve">Request no for DB team in Non Prod </t>
  </si>
  <si>
    <t xml:space="preserve">Request no for DB team in  Production </t>
  </si>
  <si>
    <t>Testing</t>
  </si>
  <si>
    <t>QA</t>
  </si>
  <si>
    <t>UAT</t>
  </si>
  <si>
    <t xml:space="preserve">Did you do the impact analysis of modifying or changing the existing DB objects? </t>
  </si>
  <si>
    <t xml:space="preserve">Did you indentify the services/operations that also use the DB objects and need through testing ? </t>
  </si>
  <si>
    <t>Did you idenity the change in channels that required to validate in addition to what has been idenfiied before ?</t>
  </si>
  <si>
    <t xml:space="preserve">Back out plan established and communicated ? </t>
  </si>
  <si>
    <t xml:space="preserve">Is the outage communicated back to PMs </t>
  </si>
  <si>
    <t xml:space="preserve">Any outage identified for changing /dropping DB objects ? </t>
  </si>
  <si>
    <t xml:space="preserve">Are you expecting to process thousands/millions or records during the production deployment ? </t>
  </si>
  <si>
    <t xml:space="preserve">did you communicate to App teams, SOA and all other parties invoved to analyse the capacity or load planning ? </t>
  </si>
  <si>
    <t>Request for backup of DB objects before modifying /changing ?</t>
  </si>
  <si>
    <t>QA:</t>
  </si>
  <si>
    <t>Did QA team identify the consumers, LOBs , channels to test for this change ?</t>
  </si>
  <si>
    <t xml:space="preserve">Is the BA, Developer and QA in aggrement with the above identification ? </t>
  </si>
  <si>
    <t xml:space="preserve">Has QA receieved the testing sceanrios from BA and developers  for the change in question </t>
  </si>
  <si>
    <t xml:space="preserve">HA QA identified regression testing required in addition to project specific QA testing ? </t>
  </si>
  <si>
    <t xml:space="preserve">Unit Testing </t>
  </si>
  <si>
    <t>Did you identify test cases for the project changes from requirement doc?</t>
  </si>
  <si>
    <t xml:space="preserve">Did you receive the data /test scenarios from BA for the project change ? </t>
  </si>
  <si>
    <t xml:space="preserve">Did you as a developer require QA or UAT to test any specific scenarios/Channels for this project change ? </t>
  </si>
  <si>
    <t xml:space="preserve">Did you communicate to QA if there is any change in build or deployment plan in QA env that require entire QA testing re-do ? </t>
  </si>
  <si>
    <t xml:space="preserve">Did you complete the Unit Testing before deploying to QA ? </t>
  </si>
  <si>
    <t>Code repo</t>
  </si>
  <si>
    <t xml:space="preserve">Did you identify the code changes required for project change ? </t>
  </si>
  <si>
    <t xml:space="preserve">Did you take the latest code from CVS code repository </t>
  </si>
  <si>
    <t xml:space="preserve">What is the baseline name of CVS code </t>
  </si>
  <si>
    <t>Did you create a branch for this changes and name of the branch ?</t>
  </si>
  <si>
    <t>Did you check into CVS to the branch and did you merge to head?</t>
  </si>
  <si>
    <t xml:space="preserve">Build number for QA, UAT, PreProd </t>
  </si>
  <si>
    <t xml:space="preserve">Did you follow the code guidelines and incorporated comments to identify who, what and when change is made ? </t>
  </si>
  <si>
    <t xml:space="preserve">Are you connecting to SOA /Middleware and is there is a change in the way to connect to it ? </t>
  </si>
  <si>
    <t xml:space="preserve">Production </t>
  </si>
  <si>
    <t xml:space="preserve">Have you created the Production deployment plan ? </t>
  </si>
  <si>
    <t xml:space="preserve">Do you need additional instances of your application for this change ? </t>
  </si>
  <si>
    <t xml:space="preserve">Do you anticipate any additional load for this change ? </t>
  </si>
  <si>
    <t xml:space="preserve">Have you created the back out plan ? </t>
  </si>
  <si>
    <t>DEC Migration</t>
  </si>
  <si>
    <t>Car</t>
  </si>
  <si>
    <t>Insu</t>
  </si>
  <si>
    <t xml:space="preserve">Existing ATG </t>
  </si>
  <si>
    <t>Stocks</t>
  </si>
  <si>
    <t>WMT</t>
  </si>
  <si>
    <t>Taxi</t>
  </si>
  <si>
    <t>:</t>
  </si>
  <si>
    <t>WCS</t>
  </si>
  <si>
    <t>ADM</t>
  </si>
  <si>
    <t>Central</t>
  </si>
  <si>
    <t>Park</t>
  </si>
  <si>
    <t>(*Adult</t>
  </si>
  <si>
    <t>Child</t>
  </si>
  <si>
    <t>)</t>
  </si>
  <si>
    <t>Zaika</t>
  </si>
  <si>
    <t>Indian</t>
  </si>
  <si>
    <t>:05-30</t>
  </si>
  <si>
    <t>Trump</t>
  </si>
  <si>
    <t>Bar</t>
  </si>
  <si>
    <t>Empire</t>
  </si>
  <si>
    <t>State</t>
  </si>
  <si>
    <t>(58</t>
  </si>
  <si>
    <t>Adult</t>
  </si>
  <si>
    <t>Free</t>
  </si>
  <si>
    <t>Kids)</t>
  </si>
  <si>
    <t>each</t>
  </si>
  <si>
    <t>Owed Swathi</t>
  </si>
  <si>
    <t>water</t>
  </si>
  <si>
    <t>R</t>
  </si>
  <si>
    <t>June</t>
  </si>
  <si>
    <t>July</t>
  </si>
  <si>
    <t>August</t>
  </si>
  <si>
    <t>September</t>
  </si>
  <si>
    <t>Week1</t>
  </si>
  <si>
    <t>Week2</t>
  </si>
  <si>
    <t>Week3</t>
  </si>
  <si>
    <t>Week4</t>
  </si>
  <si>
    <t>Week5</t>
  </si>
  <si>
    <t>P</t>
  </si>
  <si>
    <t>T</t>
  </si>
  <si>
    <t>Monthly</t>
  </si>
  <si>
    <t>MT</t>
  </si>
  <si>
    <t>DLTR</t>
  </si>
  <si>
    <t>ROKU</t>
  </si>
  <si>
    <t>NOW</t>
  </si>
  <si>
    <t>TotalNOW</t>
  </si>
  <si>
    <t>October</t>
  </si>
  <si>
    <t>SNAP</t>
  </si>
  <si>
    <t>Sell</t>
  </si>
  <si>
    <t>Buy</t>
  </si>
  <si>
    <t>DFEN</t>
  </si>
  <si>
    <t xml:space="preserve">CGC </t>
  </si>
  <si>
    <t>Long</t>
  </si>
  <si>
    <t>LLL</t>
  </si>
  <si>
    <t>KTOS</t>
  </si>
  <si>
    <t>defense</t>
  </si>
  <si>
    <t>USO</t>
  </si>
  <si>
    <t>TWTR</t>
  </si>
  <si>
    <t>AIRI</t>
  </si>
  <si>
    <t>GD</t>
  </si>
  <si>
    <t>General Dynamics</t>
  </si>
  <si>
    <t>LMT</t>
  </si>
  <si>
    <t>Lockhead Martin Corp</t>
  </si>
  <si>
    <t>NOC</t>
  </si>
  <si>
    <t>Northrop Grumman Corp</t>
  </si>
  <si>
    <t>L3 Techs</t>
  </si>
  <si>
    <t xml:space="preserve">DIREXION SHS ET/DAILY AEROSPACE </t>
  </si>
  <si>
    <t>Kratos Defense &amp; Security Solutions</t>
  </si>
  <si>
    <t>ETF</t>
  </si>
  <si>
    <t xml:space="preserve">SPXL </t>
  </si>
  <si>
    <t>DIREXION SHS ET/DAILY S&amp;P 500</t>
  </si>
  <si>
    <t>SOXL</t>
  </si>
  <si>
    <t>DIREXION SHS ET/DAILY SEMICONDUCTOR</t>
  </si>
  <si>
    <t>TNA</t>
  </si>
  <si>
    <t xml:space="preserve"> DIREXION SHS ET/SMALL CAP BULL</t>
  </si>
  <si>
    <t>DIREXION SHS ET/DIREXION DAIL</t>
  </si>
  <si>
    <t>LABU</t>
  </si>
  <si>
    <t>FAS</t>
  </si>
  <si>
    <t xml:space="preserve">Direxion Daily Financial Bull </t>
  </si>
  <si>
    <t>PROSHARES TR/ULTRAPRO DOW3</t>
  </si>
  <si>
    <t>UDOW</t>
  </si>
  <si>
    <t>RTN</t>
  </si>
  <si>
    <t>Raytheon Company</t>
  </si>
  <si>
    <t>lONG</t>
  </si>
  <si>
    <t>Harris Corporation</t>
  </si>
  <si>
    <t>HRS</t>
  </si>
  <si>
    <t>SPR</t>
  </si>
  <si>
    <t>Spirit AeroSystems</t>
  </si>
  <si>
    <t>ITA</t>
  </si>
  <si>
    <t>ISHARES DOW JONES AEROSPACE</t>
  </si>
  <si>
    <t>BA</t>
  </si>
  <si>
    <t>BOEING</t>
  </si>
  <si>
    <t>LONG</t>
  </si>
  <si>
    <t>Internet</t>
  </si>
  <si>
    <t>BKNG</t>
  </si>
  <si>
    <t>Booking Holdings</t>
  </si>
  <si>
    <t>PUTS</t>
  </si>
  <si>
    <t xml:space="preserve">TWILIO </t>
  </si>
  <si>
    <t>Put Credit Spread</t>
  </si>
  <si>
    <t xml:space="preserve">GLD </t>
  </si>
  <si>
    <t>IRON</t>
  </si>
  <si>
    <t>IRON COND</t>
  </si>
  <si>
    <t>Long Put</t>
  </si>
  <si>
    <t>USO 10.5/10</t>
  </si>
  <si>
    <t>HOME</t>
  </si>
  <si>
    <t>Technology</t>
  </si>
  <si>
    <t>AMD</t>
  </si>
  <si>
    <t>18-25</t>
  </si>
  <si>
    <t>EA</t>
  </si>
  <si>
    <t xml:space="preserve">74-90 </t>
  </si>
  <si>
    <t>TESLA</t>
  </si>
  <si>
    <t>335-370</t>
  </si>
  <si>
    <t>NUAN</t>
  </si>
  <si>
    <t>14-17</t>
  </si>
  <si>
    <t>?</t>
  </si>
  <si>
    <t>b</t>
  </si>
  <si>
    <t>s</t>
  </si>
  <si>
    <t>\</t>
  </si>
  <si>
    <t>Expired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</si>
</sst>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4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entury Gothic"/>
      <family val="2"/>
    </font>
    <font>
      <b/>
      <sz val="13"/>
      <color theme="3"/>
      <name val="Century Gothic"/>
      <family val="2"/>
    </font>
    <font>
      <b/>
      <sz val="11"/>
      <color theme="3"/>
      <name val="Century Gothic"/>
      <family val="2"/>
    </font>
    <font>
      <sz val="10"/>
      <color rgb="FF006100"/>
      <name val="Century Gothic"/>
      <family val="2"/>
    </font>
    <font>
      <sz val="10"/>
      <color rgb="FF9C0006"/>
      <name val="Century Gothic"/>
      <family val="2"/>
    </font>
    <font>
      <sz val="10"/>
      <color rgb="FF9C5700"/>
      <name val="Century Gothic"/>
      <family val="2"/>
    </font>
    <font>
      <sz val="10"/>
      <color rgb="FF3F3F76"/>
      <name val="Century Gothic"/>
      <family val="2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rgb="FF7F7F7F"/>
      <name val="Century Gothic"/>
      <family val="2"/>
    </font>
    <font>
      <b/>
      <sz val="10"/>
      <color theme="1"/>
      <name val="Century Gothic"/>
      <family val="2"/>
    </font>
    <font>
      <sz val="10"/>
      <color theme="0"/>
      <name val="Century Gothic"/>
      <family val="2"/>
    </font>
    <font>
      <b/>
      <sz val="12"/>
      <color rgb="FFFFFFFF"/>
      <name val="Times New Roman"/>
      <family val="1"/>
    </font>
    <font>
      <b/>
      <sz val="12"/>
      <color theme="1"/>
      <name val="Times New Roman"/>
      <family val="1"/>
    </font>
    <font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Century Gothic"/>
      <family val="2"/>
    </font>
    <font>
      <u/>
      <sz val="10"/>
      <color theme="10"/>
      <name val="Century Gothic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AD47"/>
        <bgColor indexed="64"/>
      </patternFill>
    </fill>
    <fill>
      <patternFill patternType="solid">
        <fgColor rgb="FFE2EF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70AD47"/>
      </left>
      <right style="medium">
        <color rgb="FF70AD47"/>
      </right>
      <top style="medium">
        <color rgb="FF70AD47"/>
      </top>
      <bottom style="medium">
        <color rgb="FF70AD47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0" fontId="18" fillId="33" borderId="10" xfId="0" applyFont="1" applyFill="1" applyBorder="1" applyAlignment="1">
      <alignment vertical="center" wrapText="1"/>
    </xf>
    <xf numFmtId="0" fontId="19" fillId="34" borderId="11" xfId="0" applyFont="1" applyFill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1" fillId="34" borderId="11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0" xfId="0" applyFont="1"/>
    <xf numFmtId="16" fontId="0" fillId="0" borderId="0" xfId="0" applyNumberFormat="1"/>
    <xf numFmtId="164" fontId="0" fillId="0" borderId="0" xfId="0" applyNumberFormat="1"/>
    <xf numFmtId="0" fontId="16" fillId="0" borderId="0" xfId="0" applyFont="1"/>
    <xf numFmtId="0" fontId="22" fillId="0" borderId="12" xfId="0" applyFont="1" applyBorder="1" applyAlignment="1">
      <alignment horizontal="right" vertical="center"/>
    </xf>
    <xf numFmtId="0" fontId="22" fillId="0" borderId="13" xfId="0" applyFont="1" applyBorder="1" applyAlignment="1">
      <alignment horizontal="right" vertical="center"/>
    </xf>
    <xf numFmtId="0" fontId="22" fillId="0" borderId="13" xfId="0" applyFont="1" applyBorder="1" applyAlignment="1">
      <alignment vertical="center"/>
    </xf>
    <xf numFmtId="0" fontId="22" fillId="0" borderId="12" xfId="0" applyFont="1" applyBorder="1" applyAlignment="1">
      <alignment horizontal="right" vertical="center" wrapText="1"/>
    </xf>
    <xf numFmtId="0" fontId="22" fillId="0" borderId="13" xfId="0" applyFont="1" applyBorder="1" applyAlignment="1">
      <alignment horizontal="right" vertical="center" wrapText="1"/>
    </xf>
    <xf numFmtId="0" fontId="22" fillId="0" borderId="13" xfId="0" applyFont="1" applyBorder="1" applyAlignment="1">
      <alignment vertical="center" wrapText="1"/>
    </xf>
    <xf numFmtId="0" fontId="23" fillId="0" borderId="0" xfId="42"/>
    <xf numFmtId="0" fontId="0" fillId="0" borderId="0" xfId="0" applyAlignment="1">
      <alignment horizontal="center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wssvr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7" name="Name" tableColumnId="1"/>
      <queryTableField id="1" name="Environment" tableColumnId="2"/>
      <queryTableField id="2" name="Linux Server" tableColumnId="3"/>
      <queryTableField id="3" name="Groups" tableColumnId="4"/>
      <queryTableField id="4" name="Cloud" tableColumnId="5"/>
      <queryTableField id="6" name="Item Type" tableColumnId="6"/>
      <queryTableField id="5" name="Path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owssvr" displayName="Table_owssvr" ref="A1:G13" tableType="queryTable" totalsRowShown="0">
  <autoFilter ref="A1:G13" xr:uid="{00000000-0009-0000-0100-000001000000}"/>
  <tableColumns count="7">
    <tableColumn id="1" xr3:uid="{00000000-0010-0000-0000-000001000000}" uniqueName="FileLeafRef" name="Name" queryTableFieldId="7"/>
    <tableColumn id="2" xr3:uid="{00000000-0010-0000-0000-000002000000}" uniqueName="Environment" name="Environment" queryTableFieldId="1"/>
    <tableColumn id="3" xr3:uid="{00000000-0010-0000-0000-000003000000}" uniqueName="Linux_x005f_x0020_Server" name="Linux Server" queryTableFieldId="2"/>
    <tableColumn id="4" xr3:uid="{00000000-0010-0000-0000-000004000000}" uniqueName="Groups" name="Groups" queryTableFieldId="3" dataDxfId="3"/>
    <tableColumn id="5" xr3:uid="{00000000-0010-0000-0000-000005000000}" uniqueName="Cloud" name="Cloud" queryTableFieldId="4" dataDxfId="2"/>
    <tableColumn id="6" xr3:uid="{00000000-0010-0000-0000-000006000000}" uniqueName="FSObjType" name="Item Type" queryTableFieldId="6" dataDxfId="1"/>
    <tableColumn id="7" xr3:uid="{00000000-0010-0000-0000-000007000000}" uniqueName="FileDirRef" name="Path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59"/>
  <sheetViews>
    <sheetView topLeftCell="B1" workbookViewId="0">
      <selection activeCell="B13" sqref="B13"/>
    </sheetView>
  </sheetViews>
  <sheetFormatPr defaultRowHeight="13.5" x14ac:dyDescent="0.25"/>
  <cols>
    <col min="1" max="1" width="8.85546875" bestFit="1" customWidth="1"/>
    <col min="2" max="2" width="34.42578125" customWidth="1"/>
    <col min="3" max="3" width="40.5703125" customWidth="1"/>
    <col min="4" max="4" width="39.7109375" customWidth="1"/>
    <col min="5" max="5" width="8.85546875" bestFit="1" customWidth="1"/>
    <col min="6" max="6" width="12.28515625" bestFit="1" customWidth="1"/>
    <col min="7" max="7" width="7.28515625" bestFit="1" customWidth="1"/>
  </cols>
  <sheetData>
    <row r="1" spans="1:15" ht="14.25" thickBot="1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15" ht="16.5" thickBot="1" x14ac:dyDescent="0.3">
      <c r="B2" s="3" t="s">
        <v>7</v>
      </c>
      <c r="C2" s="6" t="s">
        <v>18</v>
      </c>
      <c r="D2" s="9" t="s">
        <v>30</v>
      </c>
      <c r="E2" s="1"/>
      <c r="F2" s="2"/>
      <c r="G2" s="2"/>
    </row>
    <row r="3" spans="1:15" ht="16.5" thickBot="1" x14ac:dyDescent="0.3">
      <c r="B3" s="4" t="s">
        <v>8</v>
      </c>
      <c r="C3" s="7" t="s">
        <v>19</v>
      </c>
      <c r="D3" s="9" t="s">
        <v>30</v>
      </c>
      <c r="E3" s="1"/>
      <c r="F3" s="2"/>
      <c r="G3" s="2"/>
    </row>
    <row r="4" spans="1:15" ht="16.5" thickBot="1" x14ac:dyDescent="0.3">
      <c r="B4" s="5" t="s">
        <v>9</v>
      </c>
      <c r="C4" s="8" t="s">
        <v>20</v>
      </c>
      <c r="D4" s="9" t="s">
        <v>30</v>
      </c>
      <c r="E4" s="1"/>
      <c r="F4" s="2"/>
      <c r="G4" s="2"/>
    </row>
    <row r="5" spans="1:15" ht="16.5" thickBot="1" x14ac:dyDescent="0.3">
      <c r="B5" s="4" t="s">
        <v>10</v>
      </c>
      <c r="C5" s="7" t="s">
        <v>21</v>
      </c>
      <c r="D5" s="9" t="s">
        <v>30</v>
      </c>
      <c r="E5" s="1"/>
      <c r="F5" s="2"/>
      <c r="G5" s="2"/>
    </row>
    <row r="6" spans="1:15" ht="16.5" thickBot="1" x14ac:dyDescent="0.3">
      <c r="B6" s="5" t="s">
        <v>11</v>
      </c>
      <c r="C6" s="8" t="s">
        <v>22</v>
      </c>
      <c r="D6" s="9" t="s">
        <v>30</v>
      </c>
      <c r="E6" s="1"/>
      <c r="F6" s="2"/>
      <c r="G6" s="2"/>
    </row>
    <row r="7" spans="1:15" ht="16.5" thickBot="1" x14ac:dyDescent="0.3">
      <c r="B7" s="4" t="s">
        <v>12</v>
      </c>
      <c r="C7" s="7" t="s">
        <v>23</v>
      </c>
      <c r="D7" s="9" t="s">
        <v>30</v>
      </c>
      <c r="E7" s="1"/>
      <c r="F7" s="2"/>
      <c r="G7" s="2"/>
    </row>
    <row r="8" spans="1:15" ht="16.5" thickBot="1" x14ac:dyDescent="0.3">
      <c r="B8" s="5" t="s">
        <v>13</v>
      </c>
      <c r="C8" s="8" t="s">
        <v>24</v>
      </c>
      <c r="D8" s="9" t="s">
        <v>30</v>
      </c>
      <c r="E8" s="1"/>
      <c r="F8" s="2"/>
      <c r="G8" s="2"/>
    </row>
    <row r="9" spans="1:15" ht="16.5" thickBot="1" x14ac:dyDescent="0.3">
      <c r="B9" s="4" t="s">
        <v>13</v>
      </c>
      <c r="C9" s="7" t="s">
        <v>25</v>
      </c>
      <c r="D9" s="9" t="s">
        <v>30</v>
      </c>
      <c r="E9" s="1"/>
      <c r="F9" s="2"/>
      <c r="G9" s="2"/>
    </row>
    <row r="10" spans="1:15" ht="32.25" thickBot="1" x14ac:dyDescent="0.3">
      <c r="B10" s="5" t="s">
        <v>14</v>
      </c>
      <c r="C10" s="8" t="s">
        <v>26</v>
      </c>
      <c r="D10" s="9" t="s">
        <v>30</v>
      </c>
      <c r="E10" s="1"/>
      <c r="F10" s="2"/>
      <c r="G10" s="2"/>
    </row>
    <row r="11" spans="1:15" ht="32.25" thickBot="1" x14ac:dyDescent="0.3">
      <c r="B11" s="4" t="s">
        <v>15</v>
      </c>
      <c r="C11" s="7" t="s">
        <v>27</v>
      </c>
      <c r="D11" s="9" t="s">
        <v>30</v>
      </c>
      <c r="E11" s="1"/>
      <c r="F11" s="2"/>
      <c r="G11" s="2"/>
    </row>
    <row r="12" spans="1:15" ht="16.5" thickBot="1" x14ac:dyDescent="0.3">
      <c r="B12" s="5" t="s">
        <v>16</v>
      </c>
      <c r="C12" s="8" t="s">
        <v>28</v>
      </c>
      <c r="D12" s="9" t="s">
        <v>30</v>
      </c>
      <c r="E12" s="1"/>
      <c r="F12" s="2"/>
      <c r="G12" s="2"/>
    </row>
    <row r="13" spans="1:15" ht="16.5" thickBot="1" x14ac:dyDescent="0.3">
      <c r="B13" s="4" t="s">
        <v>17</v>
      </c>
      <c r="C13" s="7" t="s">
        <v>29</v>
      </c>
      <c r="D13" s="9" t="s">
        <v>30</v>
      </c>
      <c r="E13" s="1"/>
      <c r="F13" s="2"/>
      <c r="G13" s="2"/>
    </row>
    <row r="14" spans="1:15" x14ac:dyDescent="0.25">
      <c r="O14">
        <v>2555</v>
      </c>
    </row>
    <row r="15" spans="1:15" x14ac:dyDescent="0.25">
      <c r="O15">
        <v>450</v>
      </c>
    </row>
    <row r="16" spans="1:15" x14ac:dyDescent="0.25">
      <c r="O16">
        <v>1200</v>
      </c>
    </row>
    <row r="17" spans="3:15" x14ac:dyDescent="0.25">
      <c r="O17">
        <f>O14-(O15+O16)</f>
        <v>905</v>
      </c>
    </row>
    <row r="18" spans="3:15" x14ac:dyDescent="0.25">
      <c r="C18" t="s">
        <v>44</v>
      </c>
      <c r="D18" t="s">
        <v>45</v>
      </c>
    </row>
    <row r="19" spans="3:15" x14ac:dyDescent="0.25">
      <c r="C19" t="s">
        <v>47</v>
      </c>
      <c r="D19" t="s">
        <v>46</v>
      </c>
    </row>
    <row r="20" spans="3:15" x14ac:dyDescent="0.25">
      <c r="C20" t="s">
        <v>49</v>
      </c>
      <c r="D20" t="s">
        <v>48</v>
      </c>
    </row>
    <row r="21" spans="3:15" x14ac:dyDescent="0.25">
      <c r="C21" t="s">
        <v>50</v>
      </c>
      <c r="D21" t="s">
        <v>51</v>
      </c>
    </row>
    <row r="22" spans="3:15" x14ac:dyDescent="0.25">
      <c r="C22" t="s">
        <v>52</v>
      </c>
      <c r="D22" t="s">
        <v>59</v>
      </c>
    </row>
    <row r="23" spans="3:15" x14ac:dyDescent="0.25">
      <c r="C23" t="s">
        <v>53</v>
      </c>
      <c r="D23" t="s">
        <v>60</v>
      </c>
    </row>
    <row r="24" spans="3:15" x14ac:dyDescent="0.25">
      <c r="C24" t="s">
        <v>54</v>
      </c>
      <c r="D24" t="s">
        <v>61</v>
      </c>
    </row>
    <row r="25" spans="3:15" x14ac:dyDescent="0.25">
      <c r="C25" t="s">
        <v>55</v>
      </c>
      <c r="D25" t="s">
        <v>62</v>
      </c>
    </row>
    <row r="26" spans="3:15" x14ac:dyDescent="0.25">
      <c r="C26" t="s">
        <v>56</v>
      </c>
    </row>
    <row r="27" spans="3:15" x14ac:dyDescent="0.25">
      <c r="C27" t="s">
        <v>57</v>
      </c>
      <c r="D27" t="s">
        <v>63</v>
      </c>
    </row>
    <row r="28" spans="3:15" x14ac:dyDescent="0.25">
      <c r="C28" t="s">
        <v>58</v>
      </c>
    </row>
    <row r="57" spans="6:7" x14ac:dyDescent="0.25">
      <c r="F57">
        <v>5441</v>
      </c>
      <c r="G57" t="s">
        <v>76</v>
      </c>
    </row>
    <row r="58" spans="6:7" x14ac:dyDescent="0.25">
      <c r="F58">
        <v>5418</v>
      </c>
    </row>
    <row r="59" spans="6:7" x14ac:dyDescent="0.25">
      <c r="F59">
        <v>5440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X50"/>
  <sheetViews>
    <sheetView tabSelected="1" topLeftCell="F13" workbookViewId="0">
      <selection activeCell="R34" sqref="R34"/>
    </sheetView>
  </sheetViews>
  <sheetFormatPr defaultRowHeight="13.5" x14ac:dyDescent="0.25"/>
  <cols>
    <col min="8" max="8" width="18.5703125" customWidth="1"/>
    <col min="15" max="15" width="9.7109375" bestFit="1" customWidth="1"/>
    <col min="16" max="16" width="11.140625" customWidth="1"/>
  </cols>
  <sheetData>
    <row r="4" spans="1:24" x14ac:dyDescent="0.25">
      <c r="A4" s="10" t="s">
        <v>42</v>
      </c>
      <c r="B4">
        <f>SUM(E5:E14)</f>
        <v>2822.82</v>
      </c>
    </row>
    <row r="5" spans="1:24" x14ac:dyDescent="0.25">
      <c r="D5" t="s">
        <v>31</v>
      </c>
      <c r="E5">
        <v>582</v>
      </c>
      <c r="J5" s="10">
        <v>43123</v>
      </c>
      <c r="K5" s="10">
        <v>43126</v>
      </c>
      <c r="L5" s="10">
        <v>43132</v>
      </c>
      <c r="M5" s="10">
        <f t="shared" ref="M5:T5" si="0">L5+7</f>
        <v>43139</v>
      </c>
      <c r="N5" s="10">
        <f t="shared" si="0"/>
        <v>43146</v>
      </c>
      <c r="O5" s="10">
        <f t="shared" si="0"/>
        <v>43153</v>
      </c>
      <c r="P5" s="10">
        <f t="shared" si="0"/>
        <v>43160</v>
      </c>
      <c r="Q5" s="10">
        <f t="shared" si="0"/>
        <v>43167</v>
      </c>
      <c r="R5" s="10">
        <f t="shared" si="0"/>
        <v>43174</v>
      </c>
      <c r="S5" s="10">
        <f t="shared" si="0"/>
        <v>43181</v>
      </c>
      <c r="T5" s="10">
        <f t="shared" si="0"/>
        <v>43188</v>
      </c>
    </row>
    <row r="6" spans="1:24" x14ac:dyDescent="0.25">
      <c r="D6" t="s">
        <v>32</v>
      </c>
      <c r="E6">
        <f>SUM(J6:L6)</f>
        <v>1259</v>
      </c>
      <c r="J6">
        <v>611</v>
      </c>
      <c r="K6">
        <v>324</v>
      </c>
      <c r="L6">
        <v>324</v>
      </c>
      <c r="M6">
        <v>324</v>
      </c>
      <c r="N6">
        <v>324</v>
      </c>
      <c r="O6">
        <v>324</v>
      </c>
      <c r="P6">
        <v>324</v>
      </c>
      <c r="Q6">
        <v>324</v>
      </c>
      <c r="R6">
        <v>324</v>
      </c>
      <c r="S6">
        <v>324</v>
      </c>
      <c r="T6">
        <v>324</v>
      </c>
    </row>
    <row r="7" spans="1:24" x14ac:dyDescent="0.25">
      <c r="D7" t="s">
        <v>33</v>
      </c>
      <c r="E7">
        <v>428</v>
      </c>
      <c r="J7">
        <f>J6-K6-130</f>
        <v>157</v>
      </c>
    </row>
    <row r="8" spans="1:24" x14ac:dyDescent="0.25">
      <c r="D8" t="s">
        <v>34</v>
      </c>
      <c r="E8">
        <f>SUM(F8:J8)</f>
        <v>330.34000000000003</v>
      </c>
      <c r="F8">
        <v>163</v>
      </c>
      <c r="G8">
        <v>56</v>
      </c>
      <c r="H8">
        <v>67.62</v>
      </c>
      <c r="I8">
        <v>43.72</v>
      </c>
    </row>
    <row r="9" spans="1:24" x14ac:dyDescent="0.25">
      <c r="D9" t="s">
        <v>35</v>
      </c>
      <c r="E9">
        <f>SUM(F9:J9)</f>
        <v>143.19999999999999</v>
      </c>
      <c r="F9">
        <v>44.57</v>
      </c>
      <c r="G9">
        <v>42.81</v>
      </c>
      <c r="H9">
        <v>3.48</v>
      </c>
      <c r="I9">
        <v>52.34</v>
      </c>
      <c r="J9" t="s">
        <v>40</v>
      </c>
      <c r="K9" t="s">
        <v>40</v>
      </c>
      <c r="W9" t="s">
        <v>33</v>
      </c>
      <c r="X9">
        <v>428.68</v>
      </c>
    </row>
    <row r="10" spans="1:24" x14ac:dyDescent="0.25">
      <c r="D10" t="s">
        <v>41</v>
      </c>
      <c r="E10">
        <f>SUM(F10:J10)</f>
        <v>80.28</v>
      </c>
      <c r="F10">
        <v>30.56</v>
      </c>
      <c r="G10">
        <v>9.67</v>
      </c>
      <c r="H10">
        <v>40.049999999999997</v>
      </c>
      <c r="W10" t="s">
        <v>36</v>
      </c>
      <c r="X10">
        <v>48</v>
      </c>
    </row>
    <row r="11" spans="1:24" ht="14.25" customHeight="1" x14ac:dyDescent="0.25">
      <c r="W11" t="s">
        <v>37</v>
      </c>
      <c r="X11">
        <f>X10*X9</f>
        <v>20576.64</v>
      </c>
    </row>
    <row r="12" spans="1:24" x14ac:dyDescent="0.25">
      <c r="W12" t="s">
        <v>38</v>
      </c>
      <c r="X12">
        <v>18992.18</v>
      </c>
    </row>
    <row r="13" spans="1:24" x14ac:dyDescent="0.25">
      <c r="W13" t="s">
        <v>39</v>
      </c>
      <c r="X13">
        <f>X11-X12</f>
        <v>1584.4599999999991</v>
      </c>
    </row>
    <row r="14" spans="1:24" x14ac:dyDescent="0.25">
      <c r="N14" t="s">
        <v>70</v>
      </c>
      <c r="R14">
        <v>-5500</v>
      </c>
    </row>
    <row r="15" spans="1:24" x14ac:dyDescent="0.25">
      <c r="A15" t="s">
        <v>43</v>
      </c>
      <c r="D15" t="s">
        <v>72</v>
      </c>
      <c r="E15">
        <v>52.34</v>
      </c>
      <c r="F15">
        <v>51.12</v>
      </c>
      <c r="G15">
        <v>35.79</v>
      </c>
      <c r="H15">
        <v>51.32</v>
      </c>
      <c r="I15">
        <v>48.07</v>
      </c>
      <c r="N15" t="s">
        <v>67</v>
      </c>
      <c r="O15">
        <v>48</v>
      </c>
      <c r="P15">
        <f>O15*70*0.7</f>
        <v>2352</v>
      </c>
      <c r="Q15">
        <v>5532</v>
      </c>
      <c r="R15">
        <f t="shared" ref="R15:R20" si="1">P15-Q15</f>
        <v>-3180</v>
      </c>
      <c r="T15" t="s">
        <v>71</v>
      </c>
      <c r="U15">
        <v>15000</v>
      </c>
      <c r="V15">
        <f>U15/36</f>
        <v>416.66666666666669</v>
      </c>
    </row>
    <row r="16" spans="1:24" x14ac:dyDescent="0.25">
      <c r="D16" t="s">
        <v>32</v>
      </c>
      <c r="E16">
        <v>1620</v>
      </c>
      <c r="N16" t="s">
        <v>64</v>
      </c>
      <c r="O16">
        <v>46</v>
      </c>
      <c r="P16">
        <f>O16*75*0.7</f>
        <v>2415</v>
      </c>
      <c r="Q16">
        <v>5500</v>
      </c>
      <c r="R16">
        <f t="shared" si="1"/>
        <v>-3085</v>
      </c>
      <c r="U16">
        <f>U15*64</f>
        <v>960000</v>
      </c>
    </row>
    <row r="17" spans="4:24" x14ac:dyDescent="0.25">
      <c r="D17" t="s">
        <v>73</v>
      </c>
      <c r="E17">
        <v>428</v>
      </c>
      <c r="I17" t="s">
        <v>40</v>
      </c>
      <c r="J17" t="s">
        <v>40</v>
      </c>
      <c r="N17" t="s">
        <v>65</v>
      </c>
      <c r="O17">
        <v>160</v>
      </c>
      <c r="P17">
        <f>O17*75*0.7</f>
        <v>8400</v>
      </c>
      <c r="Q17">
        <v>5500</v>
      </c>
      <c r="R17">
        <f t="shared" si="1"/>
        <v>2900</v>
      </c>
      <c r="X17" t="s">
        <v>40</v>
      </c>
    </row>
    <row r="18" spans="4:24" x14ac:dyDescent="0.25">
      <c r="D18" t="s">
        <v>74</v>
      </c>
      <c r="E18">
        <v>1150</v>
      </c>
      <c r="N18" t="s">
        <v>66</v>
      </c>
      <c r="O18">
        <f>22*8</f>
        <v>176</v>
      </c>
      <c r="P18">
        <f>O18*75*0.7</f>
        <v>9240</v>
      </c>
      <c r="Q18">
        <v>5500</v>
      </c>
      <c r="R18">
        <f t="shared" si="1"/>
        <v>3740</v>
      </c>
      <c r="V18">
        <v>1300</v>
      </c>
    </row>
    <row r="19" spans="4:24" x14ac:dyDescent="0.25">
      <c r="D19" t="s">
        <v>31</v>
      </c>
      <c r="E19">
        <v>500</v>
      </c>
      <c r="N19" t="s">
        <v>68</v>
      </c>
      <c r="O19">
        <f>21*8</f>
        <v>168</v>
      </c>
      <c r="P19">
        <f>O19*75*0.7</f>
        <v>8820</v>
      </c>
      <c r="Q19">
        <v>5500</v>
      </c>
      <c r="R19">
        <f t="shared" si="1"/>
        <v>3320</v>
      </c>
      <c r="V19">
        <v>430</v>
      </c>
    </row>
    <row r="20" spans="4:24" x14ac:dyDescent="0.25">
      <c r="D20" t="s">
        <v>75</v>
      </c>
      <c r="E20">
        <v>220</v>
      </c>
      <c r="N20" t="s">
        <v>84</v>
      </c>
      <c r="O20">
        <f>24*8</f>
        <v>192</v>
      </c>
      <c r="P20">
        <f>O20*75*0.7</f>
        <v>10080</v>
      </c>
      <c r="Q20">
        <v>5500</v>
      </c>
      <c r="R20">
        <f t="shared" si="1"/>
        <v>4580</v>
      </c>
      <c r="V20">
        <v>500</v>
      </c>
    </row>
    <row r="21" spans="4:24" x14ac:dyDescent="0.25">
      <c r="D21" t="s">
        <v>83</v>
      </c>
      <c r="E21">
        <v>905</v>
      </c>
    </row>
    <row r="22" spans="4:24" x14ac:dyDescent="0.25">
      <c r="D22" t="s">
        <v>77</v>
      </c>
      <c r="E22" t="s">
        <v>79</v>
      </c>
      <c r="O22" t="s">
        <v>40</v>
      </c>
    </row>
    <row r="23" spans="4:24" x14ac:dyDescent="0.25">
      <c r="D23" t="s">
        <v>78</v>
      </c>
      <c r="E23" t="s">
        <v>80</v>
      </c>
    </row>
    <row r="24" spans="4:24" x14ac:dyDescent="0.25">
      <c r="D24" t="s">
        <v>81</v>
      </c>
      <c r="E24" t="s">
        <v>82</v>
      </c>
    </row>
    <row r="25" spans="4:24" x14ac:dyDescent="0.25">
      <c r="K25">
        <v>240</v>
      </c>
      <c r="L25">
        <f>K25*12</f>
        <v>2880</v>
      </c>
      <c r="Q25" t="s">
        <v>69</v>
      </c>
      <c r="R25">
        <f>SUM(R14:R24)</f>
        <v>2775</v>
      </c>
    </row>
    <row r="27" spans="4:24" x14ac:dyDescent="0.25">
      <c r="L27" t="s">
        <v>40</v>
      </c>
    </row>
    <row r="28" spans="4:24" x14ac:dyDescent="0.25">
      <c r="L28" t="s">
        <v>40</v>
      </c>
      <c r="T28">
        <f>1400*11</f>
        <v>15400</v>
      </c>
    </row>
    <row r="29" spans="4:24" x14ac:dyDescent="0.25">
      <c r="D29" t="s">
        <v>32</v>
      </c>
      <c r="E29">
        <v>1300</v>
      </c>
      <c r="I29" t="s">
        <v>188</v>
      </c>
      <c r="J29" t="s">
        <v>178</v>
      </c>
      <c r="K29" t="s">
        <v>189</v>
      </c>
      <c r="L29" t="s">
        <v>40</v>
      </c>
      <c r="M29" t="s">
        <v>190</v>
      </c>
    </row>
    <row r="30" spans="4:24" x14ac:dyDescent="0.25">
      <c r="D30" t="s">
        <v>150</v>
      </c>
      <c r="E30">
        <v>450</v>
      </c>
      <c r="H30" s="10">
        <v>43339</v>
      </c>
      <c r="I30">
        <v>200000</v>
      </c>
      <c r="J30">
        <v>30</v>
      </c>
      <c r="K30">
        <v>1</v>
      </c>
      <c r="L30">
        <f>K30*J30*I30/100</f>
        <v>60000</v>
      </c>
      <c r="M30">
        <f>L30/12</f>
        <v>5000</v>
      </c>
      <c r="N30">
        <f>M30*18</f>
        <v>90000</v>
      </c>
      <c r="O30" s="21">
        <v>43339</v>
      </c>
      <c r="P30" s="21">
        <v>43595</v>
      </c>
      <c r="Q30">
        <f>P30-O30</f>
        <v>256</v>
      </c>
      <c r="R30">
        <f>Q30/30</f>
        <v>8.5333333333333332</v>
      </c>
      <c r="S30">
        <f>R30*M30</f>
        <v>42666.666666666664</v>
      </c>
    </row>
    <row r="31" spans="4:24" x14ac:dyDescent="0.25">
      <c r="D31" t="s">
        <v>35</v>
      </c>
      <c r="E31">
        <v>200</v>
      </c>
      <c r="H31" s="10">
        <v>42869</v>
      </c>
      <c r="I31">
        <v>200000</v>
      </c>
      <c r="J31">
        <v>18</v>
      </c>
      <c r="K31">
        <v>1</v>
      </c>
      <c r="L31">
        <f>K31*J31*I31/100</f>
        <v>36000</v>
      </c>
      <c r="M31">
        <f>L31/12</f>
        <v>3000</v>
      </c>
      <c r="N31">
        <f>M31*12</f>
        <v>36000</v>
      </c>
      <c r="O31" s="21">
        <v>42869</v>
      </c>
      <c r="P31" s="21">
        <v>43595</v>
      </c>
      <c r="Q31">
        <f>P31-O31</f>
        <v>726</v>
      </c>
      <c r="R31">
        <f>Q31/30</f>
        <v>24.2</v>
      </c>
      <c r="S31">
        <f>R31*M31</f>
        <v>72600</v>
      </c>
    </row>
    <row r="32" spans="4:24" x14ac:dyDescent="0.25">
      <c r="D32" t="s">
        <v>151</v>
      </c>
      <c r="E32">
        <v>200</v>
      </c>
      <c r="R32">
        <v>400000</v>
      </c>
      <c r="S32">
        <f>SUM(S30:S31)</f>
        <v>115266.66666666666</v>
      </c>
      <c r="T32">
        <f>R32+S32</f>
        <v>515266.66666666663</v>
      </c>
      <c r="U32">
        <v>825</v>
      </c>
    </row>
    <row r="33" spans="4:21" x14ac:dyDescent="0.25">
      <c r="U33">
        <v>425</v>
      </c>
    </row>
    <row r="34" spans="4:21" x14ac:dyDescent="0.25">
      <c r="U34">
        <f>U32-U33</f>
        <v>400</v>
      </c>
    </row>
    <row r="35" spans="4:21" x14ac:dyDescent="0.25">
      <c r="U35" t="s">
        <v>267</v>
      </c>
    </row>
    <row r="41" spans="4:21" x14ac:dyDescent="0.25">
      <c r="D41" t="s">
        <v>153</v>
      </c>
      <c r="F41" s="10">
        <v>43238</v>
      </c>
      <c r="G41" s="10">
        <v>43242</v>
      </c>
      <c r="H41" s="10">
        <v>43251</v>
      </c>
    </row>
    <row r="42" spans="4:21" x14ac:dyDescent="0.25">
      <c r="D42" t="s">
        <v>154</v>
      </c>
      <c r="F42">
        <v>84.15</v>
      </c>
      <c r="G42">
        <v>83.3</v>
      </c>
    </row>
    <row r="43" spans="4:21" x14ac:dyDescent="0.25">
      <c r="M43">
        <v>0.95</v>
      </c>
    </row>
    <row r="44" spans="4:21" x14ac:dyDescent="0.25">
      <c r="M44">
        <v>1.5</v>
      </c>
    </row>
    <row r="45" spans="4:21" x14ac:dyDescent="0.25">
      <c r="M45">
        <v>0.75</v>
      </c>
    </row>
    <row r="46" spans="4:21" x14ac:dyDescent="0.25">
      <c r="M46">
        <v>0.3</v>
      </c>
    </row>
    <row r="47" spans="4:21" x14ac:dyDescent="0.25">
      <c r="M47">
        <f>9*0.75</f>
        <v>6.75</v>
      </c>
    </row>
    <row r="48" spans="4:21" x14ac:dyDescent="0.25">
      <c r="M48">
        <v>1.5</v>
      </c>
    </row>
    <row r="49" spans="13:13" x14ac:dyDescent="0.25">
      <c r="M49">
        <v>0.95</v>
      </c>
    </row>
    <row r="50" spans="13:13" x14ac:dyDescent="0.25">
      <c r="M5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AC28"/>
  <sheetViews>
    <sheetView zoomScaleNormal="100" workbookViewId="0">
      <pane xSplit="8" ySplit="21" topLeftCell="Q22" activePane="bottomRight" state="frozen"/>
      <selection pane="topRight" activeCell="I1" sqref="I1"/>
      <selection pane="bottomLeft" activeCell="A22" sqref="A22"/>
      <selection pane="bottomRight" activeCell="V21" sqref="V21"/>
    </sheetView>
  </sheetViews>
  <sheetFormatPr defaultRowHeight="13.5" x14ac:dyDescent="0.25"/>
  <cols>
    <col min="4" max="4" width="33" customWidth="1"/>
    <col min="5" max="5" width="11" customWidth="1"/>
  </cols>
  <sheetData>
    <row r="3" spans="1:29" x14ac:dyDescent="0.25">
      <c r="A3" t="s">
        <v>91</v>
      </c>
      <c r="B3" t="s">
        <v>90</v>
      </c>
    </row>
    <row r="4" spans="1:29" x14ac:dyDescent="0.25">
      <c r="F4" s="20" t="s">
        <v>64</v>
      </c>
      <c r="G4" s="20"/>
      <c r="H4" s="20"/>
      <c r="J4" s="20" t="s">
        <v>86</v>
      </c>
      <c r="K4" s="20"/>
      <c r="L4" s="20"/>
      <c r="P4" s="20" t="s">
        <v>66</v>
      </c>
      <c r="Q4" s="20"/>
      <c r="V4" s="20" t="s">
        <v>68</v>
      </c>
      <c r="W4" s="20"/>
    </row>
    <row r="5" spans="1:29" x14ac:dyDescent="0.25">
      <c r="E5" s="11">
        <v>43120</v>
      </c>
      <c r="F5" s="11">
        <f>E5+7</f>
        <v>43127</v>
      </c>
      <c r="G5" s="11" t="s">
        <v>40</v>
      </c>
      <c r="J5" s="11">
        <f>F5+7</f>
        <v>43134</v>
      </c>
      <c r="K5" s="11">
        <f>J5+7</f>
        <v>43141</v>
      </c>
      <c r="L5" s="11">
        <f>K5+7</f>
        <v>43148</v>
      </c>
      <c r="M5" s="11">
        <f>L5+7</f>
        <v>43155</v>
      </c>
      <c r="N5" s="11" t="s">
        <v>40</v>
      </c>
      <c r="O5" s="11">
        <f>M5+7</f>
        <v>43162</v>
      </c>
      <c r="P5" s="11">
        <f>O5+7</f>
        <v>43169</v>
      </c>
      <c r="Q5" s="11">
        <f>P5+7</f>
        <v>43176</v>
      </c>
      <c r="R5" s="11">
        <f>Q5+7</f>
        <v>43183</v>
      </c>
      <c r="S5" s="11">
        <f>R5+7</f>
        <v>43190</v>
      </c>
      <c r="V5" s="11">
        <f>S5+7</f>
        <v>43197</v>
      </c>
      <c r="W5" s="11">
        <f t="shared" ref="W5:AC5" si="0">V5+7</f>
        <v>43204</v>
      </c>
      <c r="X5" s="11">
        <f t="shared" si="0"/>
        <v>43211</v>
      </c>
      <c r="Y5" s="11">
        <f t="shared" si="0"/>
        <v>43218</v>
      </c>
      <c r="Z5" s="11">
        <f t="shared" si="0"/>
        <v>43225</v>
      </c>
      <c r="AA5" s="11">
        <f t="shared" si="0"/>
        <v>43232</v>
      </c>
      <c r="AB5" s="11">
        <f t="shared" si="0"/>
        <v>43239</v>
      </c>
      <c r="AC5" s="11">
        <f t="shared" si="0"/>
        <v>43246</v>
      </c>
    </row>
    <row r="6" spans="1:29" x14ac:dyDescent="0.25">
      <c r="D6" t="s">
        <v>85</v>
      </c>
      <c r="E6">
        <v>0</v>
      </c>
      <c r="F6">
        <v>40</v>
      </c>
      <c r="J6">
        <v>40</v>
      </c>
      <c r="K6">
        <v>20</v>
      </c>
      <c r="L6">
        <v>10</v>
      </c>
      <c r="M6">
        <v>12</v>
      </c>
    </row>
    <row r="9" spans="1:29" x14ac:dyDescent="0.25">
      <c r="B9" s="12">
        <f>SUM(J9:DR9)</f>
        <v>151</v>
      </c>
      <c r="D9" t="s">
        <v>87</v>
      </c>
      <c r="K9">
        <v>20</v>
      </c>
      <c r="L9">
        <v>30</v>
      </c>
      <c r="M9">
        <v>20</v>
      </c>
      <c r="O9">
        <v>24</v>
      </c>
      <c r="P9">
        <v>16</v>
      </c>
      <c r="V9">
        <v>25</v>
      </c>
      <c r="Y9" t="s">
        <v>40</v>
      </c>
      <c r="AA9">
        <v>16</v>
      </c>
    </row>
    <row r="12" spans="1:29" x14ac:dyDescent="0.25">
      <c r="A12" s="12">
        <v>128</v>
      </c>
      <c r="B12" s="12">
        <f>SUM(J12:DR12)</f>
        <v>198</v>
      </c>
      <c r="C12" s="12">
        <f>A12-B12</f>
        <v>-70</v>
      </c>
      <c r="D12" t="s">
        <v>89</v>
      </c>
      <c r="O12">
        <v>16</v>
      </c>
      <c r="P12">
        <v>24</v>
      </c>
      <c r="Q12">
        <v>16</v>
      </c>
      <c r="R12">
        <v>16</v>
      </c>
      <c r="S12">
        <v>16</v>
      </c>
      <c r="V12">
        <v>10</v>
      </c>
      <c r="W12">
        <v>16</v>
      </c>
      <c r="X12">
        <v>16</v>
      </c>
      <c r="Y12">
        <v>16</v>
      </c>
      <c r="Z12">
        <v>20</v>
      </c>
      <c r="AB12">
        <v>16</v>
      </c>
      <c r="AC12">
        <v>16</v>
      </c>
    </row>
    <row r="13" spans="1:29" x14ac:dyDescent="0.25">
      <c r="A13" s="12"/>
      <c r="B13" s="12"/>
      <c r="C13" s="12"/>
    </row>
    <row r="14" spans="1:29" x14ac:dyDescent="0.25">
      <c r="A14" s="12"/>
      <c r="B14" s="12"/>
      <c r="C14" s="12"/>
    </row>
    <row r="15" spans="1:29" x14ac:dyDescent="0.25">
      <c r="A15" s="12">
        <v>130</v>
      </c>
      <c r="B15" s="12">
        <f>SUM(J15:DR15)</f>
        <v>117</v>
      </c>
      <c r="C15" s="12">
        <f>A15-B15</f>
        <v>13</v>
      </c>
      <c r="D15" t="s">
        <v>88</v>
      </c>
      <c r="Q15">
        <v>24</v>
      </c>
      <c r="R15">
        <v>24</v>
      </c>
      <c r="S15">
        <v>24</v>
      </c>
      <c r="V15">
        <v>5</v>
      </c>
      <c r="Y15" t="s">
        <v>40</v>
      </c>
      <c r="AA15">
        <v>24</v>
      </c>
      <c r="AC15">
        <v>16</v>
      </c>
    </row>
    <row r="16" spans="1:29" x14ac:dyDescent="0.25">
      <c r="AA16" t="s">
        <v>40</v>
      </c>
    </row>
    <row r="18" spans="1:29" x14ac:dyDescent="0.25">
      <c r="A18">
        <v>80</v>
      </c>
      <c r="B18" s="12">
        <f>SUM(J18:DR18)</f>
        <v>68</v>
      </c>
      <c r="C18" s="12">
        <f>A18-B18</f>
        <v>12</v>
      </c>
      <c r="D18" t="s">
        <v>92</v>
      </c>
      <c r="W18">
        <v>16</v>
      </c>
      <c r="X18">
        <v>24</v>
      </c>
      <c r="Y18">
        <v>8</v>
      </c>
      <c r="Z18">
        <v>20</v>
      </c>
    </row>
    <row r="19" spans="1:29" x14ac:dyDescent="0.25">
      <c r="V19" t="s">
        <v>40</v>
      </c>
    </row>
    <row r="20" spans="1:29" x14ac:dyDescent="0.25">
      <c r="D20" t="s">
        <v>149</v>
      </c>
      <c r="W20">
        <v>8</v>
      </c>
      <c r="Y20">
        <v>16</v>
      </c>
    </row>
    <row r="21" spans="1:29" x14ac:dyDescent="0.25">
      <c r="Y21" t="s">
        <v>40</v>
      </c>
    </row>
    <row r="22" spans="1:29" x14ac:dyDescent="0.25">
      <c r="A22">
        <v>54</v>
      </c>
      <c r="B22" s="12">
        <f>SUM(J22:DR22)</f>
        <v>32</v>
      </c>
      <c r="C22" s="12">
        <f>A22-B22</f>
        <v>22</v>
      </c>
      <c r="D22" t="s">
        <v>152</v>
      </c>
      <c r="AB22">
        <v>24</v>
      </c>
      <c r="AC22">
        <v>8</v>
      </c>
    </row>
    <row r="24" spans="1:29" x14ac:dyDescent="0.25">
      <c r="C24" t="s">
        <v>40</v>
      </c>
      <c r="N24" t="s">
        <v>40</v>
      </c>
    </row>
    <row r="28" spans="1:29" x14ac:dyDescent="0.25">
      <c r="V28" t="s">
        <v>40</v>
      </c>
    </row>
  </sheetData>
  <mergeCells count="4">
    <mergeCell ref="F4:H4"/>
    <mergeCell ref="J4:L4"/>
    <mergeCell ref="P4:Q4"/>
    <mergeCell ref="V4:W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AA6E-D771-46B8-9A98-B648DBAB0FC2}">
  <sheetPr codeName="Sheet4"/>
  <dimension ref="B4:W88"/>
  <sheetViews>
    <sheetView topLeftCell="A34" workbookViewId="0">
      <selection activeCell="B4" sqref="B4:B40"/>
    </sheetView>
  </sheetViews>
  <sheetFormatPr defaultRowHeight="13.5" x14ac:dyDescent="0.25"/>
  <cols>
    <col min="2" max="2" width="75.42578125" customWidth="1"/>
  </cols>
  <sheetData>
    <row r="4" spans="2:2" x14ac:dyDescent="0.25">
      <c r="B4" t="s">
        <v>93</v>
      </c>
    </row>
    <row r="6" spans="2:2" x14ac:dyDescent="0.25">
      <c r="B6" t="s">
        <v>95</v>
      </c>
    </row>
    <row r="7" spans="2:2" x14ac:dyDescent="0.25">
      <c r="B7" t="s">
        <v>96</v>
      </c>
    </row>
    <row r="8" spans="2:2" x14ac:dyDescent="0.25">
      <c r="B8" t="s">
        <v>143</v>
      </c>
    </row>
    <row r="11" spans="2:2" x14ac:dyDescent="0.25">
      <c r="B11" t="s">
        <v>97</v>
      </c>
    </row>
    <row r="12" spans="2:2" x14ac:dyDescent="0.25">
      <c r="B12" t="s">
        <v>98</v>
      </c>
    </row>
    <row r="13" spans="2:2" x14ac:dyDescent="0.25">
      <c r="B13" t="s">
        <v>99</v>
      </c>
    </row>
    <row r="14" spans="2:2" x14ac:dyDescent="0.25">
      <c r="B14" t="s">
        <v>100</v>
      </c>
    </row>
    <row r="15" spans="2:2" x14ac:dyDescent="0.25">
      <c r="B15" t="s">
        <v>101</v>
      </c>
    </row>
    <row r="16" spans="2:2" x14ac:dyDescent="0.25">
      <c r="B16" t="s">
        <v>102</v>
      </c>
    </row>
    <row r="17" spans="2:2" x14ac:dyDescent="0.25">
      <c r="B17" t="s">
        <v>103</v>
      </c>
    </row>
    <row r="18" spans="2:2" x14ac:dyDescent="0.25">
      <c r="B18" t="s">
        <v>104</v>
      </c>
    </row>
    <row r="21" spans="2:2" x14ac:dyDescent="0.25">
      <c r="B21" t="s">
        <v>135</v>
      </c>
    </row>
    <row r="22" spans="2:2" x14ac:dyDescent="0.25">
      <c r="B22" t="s">
        <v>136</v>
      </c>
    </row>
    <row r="23" spans="2:2" x14ac:dyDescent="0.25">
      <c r="B23" t="s">
        <v>137</v>
      </c>
    </row>
    <row r="24" spans="2:2" x14ac:dyDescent="0.25">
      <c r="B24" t="s">
        <v>138</v>
      </c>
    </row>
    <row r="25" spans="2:2" x14ac:dyDescent="0.25">
      <c r="B25" t="s">
        <v>142</v>
      </c>
    </row>
    <row r="26" spans="2:2" x14ac:dyDescent="0.25">
      <c r="B26" t="s">
        <v>139</v>
      </c>
    </row>
    <row r="27" spans="2:2" x14ac:dyDescent="0.25">
      <c r="B27" t="s">
        <v>140</v>
      </c>
    </row>
    <row r="28" spans="2:2" x14ac:dyDescent="0.25">
      <c r="B28" t="s">
        <v>141</v>
      </c>
    </row>
    <row r="30" spans="2:2" x14ac:dyDescent="0.25">
      <c r="B30" t="s">
        <v>129</v>
      </c>
    </row>
    <row r="31" spans="2:2" x14ac:dyDescent="0.25">
      <c r="B31" t="s">
        <v>130</v>
      </c>
    </row>
    <row r="32" spans="2:2" x14ac:dyDescent="0.25">
      <c r="B32" t="s">
        <v>131</v>
      </c>
    </row>
    <row r="33" spans="2:2" x14ac:dyDescent="0.25">
      <c r="B33" t="s">
        <v>132</v>
      </c>
    </row>
    <row r="34" spans="2:2" x14ac:dyDescent="0.25">
      <c r="B34" t="s">
        <v>134</v>
      </c>
    </row>
    <row r="35" spans="2:2" x14ac:dyDescent="0.25">
      <c r="B35" t="s">
        <v>133</v>
      </c>
    </row>
    <row r="38" spans="2:2" x14ac:dyDescent="0.25">
      <c r="B38" t="s">
        <v>94</v>
      </c>
    </row>
    <row r="40" spans="2:2" x14ac:dyDescent="0.25">
      <c r="B40" t="s">
        <v>106</v>
      </c>
    </row>
    <row r="41" spans="2:2" x14ac:dyDescent="0.25">
      <c r="B41" t="s">
        <v>109</v>
      </c>
    </row>
    <row r="42" spans="2:2" x14ac:dyDescent="0.25">
      <c r="B42" t="s">
        <v>110</v>
      </c>
    </row>
    <row r="43" spans="2:2" x14ac:dyDescent="0.25">
      <c r="B43" t="s">
        <v>111</v>
      </c>
    </row>
    <row r="44" spans="2:2" x14ac:dyDescent="0.25">
      <c r="B44" t="s">
        <v>115</v>
      </c>
    </row>
    <row r="45" spans="2:2" x14ac:dyDescent="0.25">
      <c r="B45" t="s">
        <v>116</v>
      </c>
    </row>
    <row r="46" spans="2:2" x14ac:dyDescent="0.25">
      <c r="B46" t="s">
        <v>117</v>
      </c>
    </row>
    <row r="47" spans="2:2" x14ac:dyDescent="0.25">
      <c r="B47" t="s">
        <v>120</v>
      </c>
    </row>
    <row r="48" spans="2:2" x14ac:dyDescent="0.25">
      <c r="B48" t="s">
        <v>119</v>
      </c>
    </row>
    <row r="49" spans="2:2" x14ac:dyDescent="0.25">
      <c r="B49" t="s">
        <v>121</v>
      </c>
    </row>
    <row r="50" spans="2:2" x14ac:dyDescent="0.25">
      <c r="B50" t="s">
        <v>122</v>
      </c>
    </row>
    <row r="51" spans="2:2" x14ac:dyDescent="0.25">
      <c r="B51" t="s">
        <v>123</v>
      </c>
    </row>
    <row r="52" spans="2:2" x14ac:dyDescent="0.25">
      <c r="B52" t="s">
        <v>118</v>
      </c>
    </row>
    <row r="54" spans="2:2" x14ac:dyDescent="0.25">
      <c r="B54" t="s">
        <v>112</v>
      </c>
    </row>
    <row r="55" spans="2:2" x14ac:dyDescent="0.25">
      <c r="B55" t="s">
        <v>113</v>
      </c>
    </row>
    <row r="56" spans="2:2" x14ac:dyDescent="0.25">
      <c r="B56" t="s">
        <v>114</v>
      </c>
    </row>
    <row r="57" spans="2:2" x14ac:dyDescent="0.25">
      <c r="B57" t="s">
        <v>144</v>
      </c>
    </row>
    <row r="58" spans="2:2" x14ac:dyDescent="0.25">
      <c r="B58" t="s">
        <v>145</v>
      </c>
    </row>
    <row r="59" spans="2:2" x14ac:dyDescent="0.25">
      <c r="B59" t="s">
        <v>146</v>
      </c>
    </row>
    <row r="60" spans="2:2" x14ac:dyDescent="0.25">
      <c r="B60" t="s">
        <v>147</v>
      </c>
    </row>
    <row r="61" spans="2:2" x14ac:dyDescent="0.25">
      <c r="B61" t="s">
        <v>148</v>
      </c>
    </row>
    <row r="64" spans="2:2" x14ac:dyDescent="0.25">
      <c r="B64" t="s">
        <v>105</v>
      </c>
    </row>
    <row r="66" spans="2:22" x14ac:dyDescent="0.25">
      <c r="B66" t="s">
        <v>107</v>
      </c>
    </row>
    <row r="67" spans="2:22" x14ac:dyDescent="0.25">
      <c r="B67" t="s">
        <v>108</v>
      </c>
    </row>
    <row r="69" spans="2:22" x14ac:dyDescent="0.25">
      <c r="B69" t="s">
        <v>124</v>
      </c>
    </row>
    <row r="70" spans="2:22" ht="14.25" thickBot="1" x14ac:dyDescent="0.3"/>
    <row r="71" spans="2:22" ht="14.25" thickBot="1" x14ac:dyDescent="0.3">
      <c r="B71" t="s">
        <v>125</v>
      </c>
      <c r="F71" t="s">
        <v>177</v>
      </c>
      <c r="J71">
        <v>5.82</v>
      </c>
      <c r="K71">
        <v>4</v>
      </c>
      <c r="Q71">
        <f>J71/K71</f>
        <v>1.4550000000000001</v>
      </c>
      <c r="U71" s="13">
        <v>3.91</v>
      </c>
      <c r="V71" s="16">
        <v>3.91</v>
      </c>
    </row>
    <row r="72" spans="2:22" ht="14.25" thickBot="1" x14ac:dyDescent="0.3">
      <c r="B72" t="s">
        <v>126</v>
      </c>
      <c r="F72" t="s">
        <v>177</v>
      </c>
      <c r="J72">
        <v>15.64</v>
      </c>
      <c r="K72">
        <v>4</v>
      </c>
      <c r="Q72">
        <f>J72/K72</f>
        <v>3.91</v>
      </c>
      <c r="U72" s="14">
        <v>2.0750000000000002</v>
      </c>
      <c r="V72" s="17">
        <v>2.0750000000000002</v>
      </c>
    </row>
    <row r="73" spans="2:22" ht="14.25" thickBot="1" x14ac:dyDescent="0.3">
      <c r="B73" t="s">
        <v>127</v>
      </c>
      <c r="F73" t="s">
        <v>155</v>
      </c>
      <c r="G73" s="10">
        <v>43249</v>
      </c>
      <c r="H73" t="s">
        <v>155</v>
      </c>
      <c r="I73" t="s">
        <v>156</v>
      </c>
      <c r="J73">
        <v>8.3000000000000007</v>
      </c>
      <c r="K73">
        <v>4</v>
      </c>
      <c r="Q73">
        <f>J73/K73</f>
        <v>2.0750000000000002</v>
      </c>
      <c r="U73" s="14">
        <v>5.0750000000000002</v>
      </c>
      <c r="V73" s="17">
        <v>5.0750000000000002</v>
      </c>
    </row>
    <row r="74" spans="2:22" ht="14.25" thickBot="1" x14ac:dyDescent="0.3">
      <c r="B74" t="s">
        <v>128</v>
      </c>
      <c r="F74" t="s">
        <v>155</v>
      </c>
      <c r="G74" s="10">
        <v>43249</v>
      </c>
      <c r="H74" t="s">
        <v>155</v>
      </c>
      <c r="I74" t="s">
        <v>156</v>
      </c>
      <c r="J74">
        <v>20.3</v>
      </c>
      <c r="K74">
        <v>4</v>
      </c>
      <c r="Q74">
        <f t="shared" ref="Q74:Q83" si="0">J74/K74</f>
        <v>5.0750000000000002</v>
      </c>
      <c r="U74" s="14">
        <v>5.3250000000000002</v>
      </c>
      <c r="V74" s="17">
        <v>5.3250000000000002</v>
      </c>
    </row>
    <row r="75" spans="2:22" ht="14.25" thickBot="1" x14ac:dyDescent="0.3">
      <c r="F75" t="s">
        <v>155</v>
      </c>
      <c r="G75" s="10">
        <v>43249</v>
      </c>
      <c r="H75" t="s">
        <v>155</v>
      </c>
      <c r="I75" t="s">
        <v>156</v>
      </c>
      <c r="J75">
        <v>21.3</v>
      </c>
      <c r="K75">
        <v>4</v>
      </c>
      <c r="Q75">
        <f t="shared" si="0"/>
        <v>5.3250000000000002</v>
      </c>
      <c r="U75" s="14">
        <v>4.0750000000000002</v>
      </c>
      <c r="V75" s="17">
        <v>4.0750000000000002</v>
      </c>
    </row>
    <row r="76" spans="2:22" ht="14.25" thickBot="1" x14ac:dyDescent="0.3">
      <c r="F76" t="s">
        <v>155</v>
      </c>
      <c r="G76" s="10">
        <v>43250</v>
      </c>
      <c r="H76" t="s">
        <v>156</v>
      </c>
      <c r="I76" t="s">
        <v>155</v>
      </c>
      <c r="J76">
        <v>16.3</v>
      </c>
      <c r="K76">
        <v>4</v>
      </c>
      <c r="Q76">
        <f t="shared" si="0"/>
        <v>4.0750000000000002</v>
      </c>
      <c r="U76" s="14">
        <v>12</v>
      </c>
      <c r="V76" s="17">
        <v>12</v>
      </c>
    </row>
    <row r="77" spans="2:22" ht="14.25" thickBot="1" x14ac:dyDescent="0.3">
      <c r="F77" t="s">
        <v>157</v>
      </c>
      <c r="G77" t="s">
        <v>158</v>
      </c>
      <c r="H77" t="s">
        <v>159</v>
      </c>
      <c r="I77" t="s">
        <v>160</v>
      </c>
      <c r="J77">
        <v>55</v>
      </c>
      <c r="K77" t="s">
        <v>40</v>
      </c>
      <c r="L77" t="s">
        <v>161</v>
      </c>
      <c r="M77">
        <v>12</v>
      </c>
      <c r="N77" t="s">
        <v>162</v>
      </c>
      <c r="O77">
        <v>7</v>
      </c>
      <c r="P77" t="s">
        <v>163</v>
      </c>
      <c r="Q77">
        <v>12</v>
      </c>
      <c r="U77" s="14">
        <v>16.149999999999999</v>
      </c>
      <c r="V77" s="17">
        <v>16.149999999999999</v>
      </c>
    </row>
    <row r="78" spans="2:22" ht="14.25" thickBot="1" x14ac:dyDescent="0.3">
      <c r="F78" t="s">
        <v>164</v>
      </c>
      <c r="G78" t="s">
        <v>165</v>
      </c>
      <c r="H78" t="s">
        <v>156</v>
      </c>
      <c r="I78" t="s">
        <v>40</v>
      </c>
      <c r="J78">
        <v>16.149999999999999</v>
      </c>
      <c r="K78" t="s">
        <v>175</v>
      </c>
      <c r="Q78">
        <v>16.149999999999999</v>
      </c>
      <c r="U78" s="14">
        <v>1.7</v>
      </c>
      <c r="V78" s="17">
        <v>1.7</v>
      </c>
    </row>
    <row r="79" spans="2:22" ht="14.25" thickBot="1" x14ac:dyDescent="0.3">
      <c r="F79" t="s">
        <v>155</v>
      </c>
      <c r="G79" t="s">
        <v>156</v>
      </c>
      <c r="H79" s="10">
        <v>43249</v>
      </c>
      <c r="I79" t="s">
        <v>156</v>
      </c>
      <c r="J79">
        <v>6.8</v>
      </c>
      <c r="K79">
        <v>4</v>
      </c>
      <c r="Q79">
        <f t="shared" si="0"/>
        <v>1.7</v>
      </c>
      <c r="U79" s="14">
        <v>6.5750000000000002</v>
      </c>
      <c r="V79" s="17">
        <v>6.5750000000000002</v>
      </c>
    </row>
    <row r="80" spans="2:22" ht="14.25" thickBot="1" x14ac:dyDescent="0.3">
      <c r="F80" t="s">
        <v>155</v>
      </c>
      <c r="G80" t="s">
        <v>166</v>
      </c>
      <c r="H80" t="s">
        <v>155</v>
      </c>
      <c r="I80" t="s">
        <v>156</v>
      </c>
      <c r="J80">
        <v>26.3</v>
      </c>
      <c r="K80">
        <v>4</v>
      </c>
      <c r="Q80">
        <f t="shared" si="0"/>
        <v>6.5750000000000002</v>
      </c>
      <c r="U80" s="15">
        <v>1.4550000000000001</v>
      </c>
      <c r="V80" s="18">
        <v>1.4550000000000001</v>
      </c>
    </row>
    <row r="81" spans="6:23" ht="14.25" thickBot="1" x14ac:dyDescent="0.3">
      <c r="F81" t="s">
        <v>167</v>
      </c>
      <c r="G81" t="s">
        <v>168</v>
      </c>
      <c r="H81" t="s">
        <v>156</v>
      </c>
      <c r="I81" t="s">
        <v>176</v>
      </c>
      <c r="J81">
        <v>4</v>
      </c>
      <c r="Q81">
        <v>0</v>
      </c>
      <c r="U81" s="15">
        <v>-4</v>
      </c>
      <c r="V81" s="18" t="s">
        <v>40</v>
      </c>
    </row>
    <row r="82" spans="6:23" ht="14.25" thickBot="1" x14ac:dyDescent="0.3">
      <c r="F82" t="s">
        <v>155</v>
      </c>
      <c r="G82" t="s">
        <v>156</v>
      </c>
      <c r="H82" s="10">
        <v>43249</v>
      </c>
      <c r="I82" t="s">
        <v>156</v>
      </c>
      <c r="J82">
        <v>10.8</v>
      </c>
      <c r="K82">
        <v>4</v>
      </c>
      <c r="Q82">
        <f t="shared" si="0"/>
        <v>2.7</v>
      </c>
      <c r="U82" s="14">
        <v>2.7</v>
      </c>
      <c r="V82" s="17">
        <v>2.7</v>
      </c>
    </row>
    <row r="83" spans="6:23" ht="14.25" thickBot="1" x14ac:dyDescent="0.3">
      <c r="F83" t="s">
        <v>169</v>
      </c>
      <c r="G83" t="s">
        <v>170</v>
      </c>
      <c r="H83" t="s">
        <v>156</v>
      </c>
      <c r="I83" t="s">
        <v>40</v>
      </c>
      <c r="J83">
        <v>232</v>
      </c>
      <c r="K83">
        <v>4</v>
      </c>
      <c r="L83" t="s">
        <v>171</v>
      </c>
      <c r="M83" t="s">
        <v>172</v>
      </c>
      <c r="N83" t="s">
        <v>173</v>
      </c>
      <c r="O83" t="s">
        <v>174</v>
      </c>
      <c r="Q83">
        <f t="shared" si="0"/>
        <v>58</v>
      </c>
      <c r="U83" s="14">
        <v>58</v>
      </c>
      <c r="V83" s="17">
        <v>58</v>
      </c>
    </row>
    <row r="84" spans="6:23" x14ac:dyDescent="0.25">
      <c r="Q84">
        <f>SUM(Q73:Q83)</f>
        <v>113.67500000000001</v>
      </c>
      <c r="U84">
        <f>SUM(U71:U83)</f>
        <v>115.04</v>
      </c>
      <c r="V84">
        <f>SUM(V71:V83)</f>
        <v>119.04</v>
      </c>
    </row>
    <row r="87" spans="6:23" x14ac:dyDescent="0.25">
      <c r="T87">
        <v>1</v>
      </c>
      <c r="U87">
        <v>7400</v>
      </c>
      <c r="V87">
        <v>9600</v>
      </c>
    </row>
    <row r="88" spans="6:23" x14ac:dyDescent="0.25">
      <c r="T88">
        <v>100</v>
      </c>
      <c r="U88">
        <f>U87*T88</f>
        <v>740000</v>
      </c>
      <c r="V88">
        <f>V87*T88</f>
        <v>960000</v>
      </c>
      <c r="W88" t="s">
        <v>40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67AC-A60B-4A9E-A2EB-47F251456728}">
  <sheetPr codeName="Sheet5"/>
  <dimension ref="A1:AF67"/>
  <sheetViews>
    <sheetView topLeftCell="A46" workbookViewId="0">
      <selection activeCell="P40" sqref="P40"/>
    </sheetView>
  </sheetViews>
  <sheetFormatPr defaultRowHeight="13.5" x14ac:dyDescent="0.25"/>
  <cols>
    <col min="3" max="3" width="15.28515625" customWidth="1"/>
    <col min="4" max="4" width="16.7109375" customWidth="1"/>
    <col min="5" max="5" width="12.7109375" customWidth="1"/>
    <col min="17" max="17" width="12.28515625" customWidth="1"/>
  </cols>
  <sheetData>
    <row r="1" spans="1:26" x14ac:dyDescent="0.25">
      <c r="A1" t="s">
        <v>178</v>
      </c>
    </row>
    <row r="8" spans="1:26" x14ac:dyDescent="0.25">
      <c r="D8" s="11" t="s">
        <v>183</v>
      </c>
      <c r="E8" s="11" t="s">
        <v>184</v>
      </c>
      <c r="F8" t="s">
        <v>185</v>
      </c>
      <c r="G8" t="s">
        <v>186</v>
      </c>
      <c r="H8" t="s">
        <v>187</v>
      </c>
      <c r="Q8" t="s">
        <v>154</v>
      </c>
      <c r="R8" t="s">
        <v>194</v>
      </c>
      <c r="S8" t="s">
        <v>191</v>
      </c>
      <c r="T8" t="s">
        <v>194</v>
      </c>
      <c r="U8" t="s">
        <v>192</v>
      </c>
      <c r="V8" t="s">
        <v>194</v>
      </c>
      <c r="W8" t="s">
        <v>193</v>
      </c>
      <c r="X8" t="s">
        <v>194</v>
      </c>
      <c r="Y8" t="s">
        <v>197</v>
      </c>
      <c r="Z8" t="s">
        <v>194</v>
      </c>
    </row>
    <row r="9" spans="1:26" x14ac:dyDescent="0.25">
      <c r="C9" t="s">
        <v>64</v>
      </c>
      <c r="G9">
        <v>40</v>
      </c>
      <c r="H9">
        <v>24</v>
      </c>
      <c r="I9">
        <f>SUM(D9:H9)</f>
        <v>64</v>
      </c>
      <c r="K9">
        <v>11000</v>
      </c>
      <c r="Q9">
        <v>84.2</v>
      </c>
      <c r="R9">
        <v>93.5</v>
      </c>
      <c r="S9">
        <v>28</v>
      </c>
      <c r="T9">
        <v>21.5</v>
      </c>
      <c r="U9">
        <v>88.54</v>
      </c>
      <c r="V9">
        <v>84.08</v>
      </c>
      <c r="W9">
        <v>600</v>
      </c>
      <c r="X9">
        <v>34.700000000000003</v>
      </c>
      <c r="Y9">
        <v>29</v>
      </c>
      <c r="Z9">
        <v>5.79</v>
      </c>
    </row>
    <row r="10" spans="1:26" x14ac:dyDescent="0.25">
      <c r="C10" t="s">
        <v>86</v>
      </c>
      <c r="D10">
        <v>16</v>
      </c>
      <c r="E10">
        <v>40</v>
      </c>
      <c r="F10">
        <v>40</v>
      </c>
      <c r="G10">
        <v>40</v>
      </c>
      <c r="H10">
        <v>24</v>
      </c>
      <c r="I10">
        <f t="shared" ref="I10:I18" si="0">SUM(D10:H10)</f>
        <v>160</v>
      </c>
      <c r="K10">
        <v>5500</v>
      </c>
      <c r="L10">
        <f>I10*75-(I10*0.25)</f>
        <v>11960</v>
      </c>
      <c r="M10">
        <f>L10-(L10*0.34)</f>
        <v>7893.6</v>
      </c>
      <c r="O10">
        <f t="shared" ref="O10:O15" si="1">I10*75*0.75</f>
        <v>9000</v>
      </c>
      <c r="Q10">
        <v>84.9</v>
      </c>
      <c r="W10">
        <v>294</v>
      </c>
      <c r="Y10">
        <v>70.400000000000006</v>
      </c>
    </row>
    <row r="11" spans="1:26" x14ac:dyDescent="0.25">
      <c r="C11" t="s">
        <v>66</v>
      </c>
      <c r="D11">
        <v>16</v>
      </c>
      <c r="E11">
        <v>40</v>
      </c>
      <c r="F11">
        <v>40</v>
      </c>
      <c r="G11">
        <v>40</v>
      </c>
      <c r="H11">
        <v>40</v>
      </c>
      <c r="I11">
        <f t="shared" si="0"/>
        <v>176</v>
      </c>
      <c r="K11">
        <v>5500</v>
      </c>
      <c r="O11">
        <f t="shared" si="1"/>
        <v>9900</v>
      </c>
      <c r="Q11">
        <v>83.3</v>
      </c>
      <c r="W11">
        <v>137.69999999999999</v>
      </c>
      <c r="Y11">
        <v>32.25</v>
      </c>
    </row>
    <row r="12" spans="1:26" x14ac:dyDescent="0.25">
      <c r="C12" t="s">
        <v>68</v>
      </c>
      <c r="D12">
        <v>40</v>
      </c>
      <c r="E12">
        <v>40</v>
      </c>
      <c r="F12">
        <v>40</v>
      </c>
      <c r="G12">
        <v>40</v>
      </c>
      <c r="H12">
        <v>8</v>
      </c>
      <c r="I12">
        <f t="shared" si="0"/>
        <v>168</v>
      </c>
      <c r="K12">
        <v>5500</v>
      </c>
      <c r="O12">
        <f t="shared" si="1"/>
        <v>9450</v>
      </c>
      <c r="Q12">
        <v>84.15</v>
      </c>
      <c r="W12">
        <v>46</v>
      </c>
      <c r="Y12">
        <v>14.4</v>
      </c>
    </row>
    <row r="13" spans="1:26" x14ac:dyDescent="0.25">
      <c r="C13" t="s">
        <v>84</v>
      </c>
      <c r="D13">
        <v>32</v>
      </c>
      <c r="E13">
        <v>40</v>
      </c>
      <c r="F13">
        <v>40</v>
      </c>
      <c r="G13">
        <v>40</v>
      </c>
      <c r="H13">
        <v>32</v>
      </c>
      <c r="I13">
        <f t="shared" si="0"/>
        <v>184</v>
      </c>
      <c r="K13">
        <v>5500</v>
      </c>
      <c r="O13">
        <f t="shared" si="1"/>
        <v>10350</v>
      </c>
      <c r="W13">
        <v>45.25</v>
      </c>
    </row>
    <row r="14" spans="1:26" x14ac:dyDescent="0.25">
      <c r="C14" t="s">
        <v>179</v>
      </c>
      <c r="D14">
        <v>8</v>
      </c>
      <c r="E14">
        <v>40</v>
      </c>
      <c r="F14">
        <v>40</v>
      </c>
      <c r="G14">
        <v>40</v>
      </c>
      <c r="H14">
        <v>40</v>
      </c>
      <c r="I14">
        <f t="shared" si="0"/>
        <v>168</v>
      </c>
      <c r="K14">
        <v>5500</v>
      </c>
      <c r="O14">
        <f t="shared" si="1"/>
        <v>9450</v>
      </c>
    </row>
    <row r="15" spans="1:26" x14ac:dyDescent="0.25">
      <c r="C15" t="s">
        <v>180</v>
      </c>
      <c r="D15">
        <v>32</v>
      </c>
      <c r="E15">
        <v>40</v>
      </c>
      <c r="F15">
        <v>40</v>
      </c>
      <c r="G15">
        <v>40</v>
      </c>
      <c r="H15">
        <v>16</v>
      </c>
      <c r="I15">
        <f t="shared" si="0"/>
        <v>168</v>
      </c>
      <c r="K15">
        <v>5500</v>
      </c>
      <c r="O15">
        <f t="shared" si="1"/>
        <v>9450</v>
      </c>
    </row>
    <row r="16" spans="1:26" x14ac:dyDescent="0.25">
      <c r="C16" t="s">
        <v>181</v>
      </c>
      <c r="D16">
        <v>24</v>
      </c>
      <c r="E16">
        <v>44</v>
      </c>
      <c r="F16">
        <v>44</v>
      </c>
      <c r="G16">
        <v>40</v>
      </c>
      <c r="H16">
        <v>40</v>
      </c>
      <c r="I16">
        <f t="shared" si="0"/>
        <v>192</v>
      </c>
      <c r="K16">
        <v>5500</v>
      </c>
      <c r="O16">
        <f>I16*75*0.75</f>
        <v>10800</v>
      </c>
    </row>
    <row r="17" spans="2:32" x14ac:dyDescent="0.25">
      <c r="C17" t="s">
        <v>182</v>
      </c>
      <c r="D17">
        <v>0</v>
      </c>
      <c r="E17">
        <v>36</v>
      </c>
      <c r="F17">
        <v>45</v>
      </c>
      <c r="G17">
        <v>40</v>
      </c>
      <c r="H17">
        <v>40</v>
      </c>
      <c r="I17">
        <f t="shared" si="0"/>
        <v>161</v>
      </c>
      <c r="K17">
        <v>8500</v>
      </c>
      <c r="O17">
        <f>I17*75*0.75</f>
        <v>9056.25</v>
      </c>
      <c r="AF17">
        <v>50</v>
      </c>
    </row>
    <row r="18" spans="2:32" x14ac:dyDescent="0.25">
      <c r="C18" t="s">
        <v>196</v>
      </c>
      <c r="D18">
        <v>40</v>
      </c>
      <c r="E18">
        <v>40</v>
      </c>
      <c r="F18">
        <v>40</v>
      </c>
      <c r="G18">
        <v>44</v>
      </c>
      <c r="H18">
        <v>24</v>
      </c>
      <c r="I18">
        <f t="shared" si="0"/>
        <v>188</v>
      </c>
      <c r="O18">
        <f>I18*75*0.75</f>
        <v>10575</v>
      </c>
      <c r="AF18">
        <v>26</v>
      </c>
    </row>
    <row r="19" spans="2:32" x14ac:dyDescent="0.25">
      <c r="AF19">
        <v>24</v>
      </c>
    </row>
    <row r="20" spans="2:32" x14ac:dyDescent="0.25">
      <c r="Q20">
        <f>SUM(Q9:Q19)</f>
        <v>336.55000000000007</v>
      </c>
      <c r="R20">
        <f>R9*4</f>
        <v>374</v>
      </c>
      <c r="S20">
        <f>10*S9+222</f>
        <v>502</v>
      </c>
      <c r="T20">
        <f>T9*20</f>
        <v>430</v>
      </c>
      <c r="U20">
        <f>164+88.54</f>
        <v>252.54000000000002</v>
      </c>
      <c r="V20">
        <f>V9*3</f>
        <v>252.24</v>
      </c>
      <c r="W20">
        <f>SUM(W9:W19)</f>
        <v>1122.95</v>
      </c>
      <c r="X20">
        <f>X9*27</f>
        <v>936.90000000000009</v>
      </c>
      <c r="Y20">
        <f>SUM(Y9:Y19)</f>
        <v>146.05000000000001</v>
      </c>
      <c r="Z20">
        <f>Z9*18</f>
        <v>104.22</v>
      </c>
    </row>
    <row r="22" spans="2:32" x14ac:dyDescent="0.25">
      <c r="K22">
        <f>SUM(K9:K21)</f>
        <v>58000</v>
      </c>
    </row>
    <row r="23" spans="2:32" x14ac:dyDescent="0.25">
      <c r="I23">
        <f>SUM(I9:I22)</f>
        <v>1629</v>
      </c>
      <c r="J23">
        <f>I23*75</f>
        <v>122175</v>
      </c>
      <c r="K23">
        <f>J23*0.25</f>
        <v>30543.75</v>
      </c>
      <c r="L23">
        <f>J23-K23</f>
        <v>91631.25</v>
      </c>
      <c r="M23">
        <f>L23-K22</f>
        <v>33631.25</v>
      </c>
    </row>
    <row r="24" spans="2:32" x14ac:dyDescent="0.25">
      <c r="Q24" t="s">
        <v>37</v>
      </c>
      <c r="R24">
        <f>SUM(Q20,S20,U20,W20,Y20)</f>
        <v>2360.09</v>
      </c>
    </row>
    <row r="25" spans="2:32" x14ac:dyDescent="0.25">
      <c r="Q25" t="s">
        <v>195</v>
      </c>
      <c r="R25">
        <f>SUM(R20,T20,V20,X20,Z20)</f>
        <v>2097.36</v>
      </c>
      <c r="S25">
        <f>R25-R24</f>
        <v>-262.73</v>
      </c>
    </row>
    <row r="26" spans="2:32" x14ac:dyDescent="0.25">
      <c r="J26" t="s">
        <v>40</v>
      </c>
    </row>
    <row r="27" spans="2:32" x14ac:dyDescent="0.25">
      <c r="B27" t="s">
        <v>205</v>
      </c>
    </row>
    <row r="28" spans="2:32" x14ac:dyDescent="0.25">
      <c r="B28" s="12" t="s">
        <v>200</v>
      </c>
      <c r="C28" s="12" t="s">
        <v>216</v>
      </c>
      <c r="D28" t="s">
        <v>202</v>
      </c>
      <c r="E28">
        <v>29.13</v>
      </c>
    </row>
    <row r="29" spans="2:32" x14ac:dyDescent="0.25">
      <c r="B29" t="s">
        <v>203</v>
      </c>
      <c r="C29" t="s">
        <v>215</v>
      </c>
      <c r="D29" t="s">
        <v>202</v>
      </c>
      <c r="V29" t="s">
        <v>198</v>
      </c>
      <c r="W29" t="s">
        <v>199</v>
      </c>
    </row>
    <row r="30" spans="2:32" x14ac:dyDescent="0.25">
      <c r="B30" t="s">
        <v>204</v>
      </c>
      <c r="C30" t="s">
        <v>217</v>
      </c>
      <c r="D30" t="s">
        <v>202</v>
      </c>
      <c r="E30">
        <v>13</v>
      </c>
      <c r="Q30">
        <v>5.04</v>
      </c>
      <c r="S30">
        <v>4.5999999999999996</v>
      </c>
    </row>
    <row r="31" spans="2:32" x14ac:dyDescent="0.25">
      <c r="B31" t="s">
        <v>209</v>
      </c>
      <c r="C31" t="s">
        <v>210</v>
      </c>
      <c r="D31" t="s">
        <v>202</v>
      </c>
      <c r="I31" t="s">
        <v>40</v>
      </c>
      <c r="S31">
        <v>4.7</v>
      </c>
    </row>
    <row r="32" spans="2:32" x14ac:dyDescent="0.25">
      <c r="B32" t="s">
        <v>211</v>
      </c>
      <c r="C32" t="s">
        <v>212</v>
      </c>
      <c r="D32" t="s">
        <v>202</v>
      </c>
      <c r="Q32" s="19"/>
      <c r="S32">
        <v>4.8</v>
      </c>
    </row>
    <row r="33" spans="2:24" x14ac:dyDescent="0.25">
      <c r="B33" t="s">
        <v>213</v>
      </c>
      <c r="C33" t="s">
        <v>214</v>
      </c>
      <c r="D33" t="s">
        <v>202</v>
      </c>
      <c r="S33">
        <v>4.9000000000000004</v>
      </c>
    </row>
    <row r="34" spans="2:24" x14ac:dyDescent="0.25">
      <c r="B34" t="s">
        <v>231</v>
      </c>
      <c r="C34" t="s">
        <v>232</v>
      </c>
      <c r="D34" t="s">
        <v>233</v>
      </c>
      <c r="E34">
        <v>157</v>
      </c>
      <c r="S34">
        <v>5</v>
      </c>
      <c r="V34">
        <v>5.5</v>
      </c>
      <c r="W34">
        <v>4.8</v>
      </c>
      <c r="X34">
        <f>V34-W34</f>
        <v>0.70000000000000018</v>
      </c>
    </row>
    <row r="35" spans="2:24" x14ac:dyDescent="0.25">
      <c r="B35" t="s">
        <v>235</v>
      </c>
      <c r="C35" t="s">
        <v>234</v>
      </c>
      <c r="M35">
        <v>100</v>
      </c>
      <c r="S35">
        <v>5.0999999999999996</v>
      </c>
    </row>
    <row r="36" spans="2:24" x14ac:dyDescent="0.25">
      <c r="B36" t="s">
        <v>236</v>
      </c>
      <c r="C36" t="s">
        <v>237</v>
      </c>
      <c r="M36">
        <v>70</v>
      </c>
      <c r="S36">
        <v>5.2</v>
      </c>
    </row>
    <row r="37" spans="2:24" x14ac:dyDescent="0.25">
      <c r="B37" s="12" t="s">
        <v>240</v>
      </c>
      <c r="C37" s="12" t="s">
        <v>241</v>
      </c>
      <c r="D37" t="s">
        <v>242</v>
      </c>
      <c r="E37">
        <v>311</v>
      </c>
      <c r="M37">
        <v>82</v>
      </c>
      <c r="O37" t="s">
        <v>248</v>
      </c>
      <c r="Q37">
        <v>300</v>
      </c>
      <c r="S37">
        <v>5.3</v>
      </c>
    </row>
    <row r="38" spans="2:24" x14ac:dyDescent="0.25">
      <c r="M38">
        <v>85</v>
      </c>
      <c r="O38" s="12" t="s">
        <v>247</v>
      </c>
      <c r="P38" s="12">
        <f>Q37-Q38</f>
        <v>109</v>
      </c>
      <c r="Q38">
        <v>191</v>
      </c>
    </row>
    <row r="39" spans="2:24" x14ac:dyDescent="0.25">
      <c r="B39" t="s">
        <v>208</v>
      </c>
      <c r="C39" t="s">
        <v>202</v>
      </c>
      <c r="M39">
        <v>160</v>
      </c>
      <c r="V39" t="s">
        <v>40</v>
      </c>
    </row>
    <row r="40" spans="2:24" x14ac:dyDescent="0.25">
      <c r="B40" t="s">
        <v>206</v>
      </c>
      <c r="C40" t="s">
        <v>202</v>
      </c>
      <c r="M40">
        <v>160</v>
      </c>
      <c r="O40" s="12" t="s">
        <v>193</v>
      </c>
      <c r="P40" s="12">
        <f>Q40-Q41</f>
        <v>-216</v>
      </c>
      <c r="Q40">
        <v>297</v>
      </c>
      <c r="V40">
        <v>625</v>
      </c>
    </row>
    <row r="41" spans="2:24" x14ac:dyDescent="0.25">
      <c r="B41" t="s">
        <v>207</v>
      </c>
      <c r="C41" t="s">
        <v>202</v>
      </c>
      <c r="M41">
        <v>300</v>
      </c>
      <c r="Q41">
        <v>513</v>
      </c>
      <c r="V41">
        <v>190</v>
      </c>
    </row>
    <row r="42" spans="2:24" x14ac:dyDescent="0.25">
      <c r="B42" t="s">
        <v>201</v>
      </c>
      <c r="C42" t="s">
        <v>202</v>
      </c>
      <c r="M42">
        <v>160</v>
      </c>
      <c r="O42" t="s">
        <v>251</v>
      </c>
      <c r="V42">
        <f>V40-V41</f>
        <v>435</v>
      </c>
    </row>
    <row r="43" spans="2:24" x14ac:dyDescent="0.25">
      <c r="M43">
        <v>350</v>
      </c>
      <c r="O43" s="12" t="s">
        <v>249</v>
      </c>
      <c r="P43" s="12">
        <v>0</v>
      </c>
      <c r="Q43" t="s">
        <v>268</v>
      </c>
    </row>
    <row r="44" spans="2:24" x14ac:dyDescent="0.25">
      <c r="M44">
        <v>900</v>
      </c>
      <c r="Q44">
        <v>104</v>
      </c>
    </row>
    <row r="45" spans="2:24" x14ac:dyDescent="0.25">
      <c r="M45">
        <v>700</v>
      </c>
    </row>
    <row r="46" spans="2:24" x14ac:dyDescent="0.25">
      <c r="B46" t="s">
        <v>218</v>
      </c>
      <c r="M46">
        <v>1500</v>
      </c>
    </row>
    <row r="47" spans="2:24" x14ac:dyDescent="0.25">
      <c r="B47" t="s">
        <v>219</v>
      </c>
      <c r="C47" t="s">
        <v>220</v>
      </c>
      <c r="E47">
        <v>32</v>
      </c>
      <c r="O47" t="s">
        <v>252</v>
      </c>
      <c r="Q47">
        <v>1049.97</v>
      </c>
    </row>
    <row r="48" spans="2:24" x14ac:dyDescent="0.25">
      <c r="B48" t="s">
        <v>221</v>
      </c>
      <c r="C48" t="s">
        <v>222</v>
      </c>
      <c r="E48">
        <v>78</v>
      </c>
      <c r="O48" s="12" t="s">
        <v>253</v>
      </c>
      <c r="P48" s="12">
        <f>Q47-Q48</f>
        <v>49.970000000000027</v>
      </c>
      <c r="Q48">
        <v>1000</v>
      </c>
    </row>
    <row r="49" spans="2:22" x14ac:dyDescent="0.25">
      <c r="B49" t="s">
        <v>223</v>
      </c>
      <c r="C49" t="s">
        <v>224</v>
      </c>
      <c r="E49">
        <v>41.63</v>
      </c>
      <c r="N49">
        <v>4750</v>
      </c>
    </row>
    <row r="50" spans="2:22" x14ac:dyDescent="0.25">
      <c r="B50" t="s">
        <v>226</v>
      </c>
      <c r="C50" t="s">
        <v>225</v>
      </c>
      <c r="E50">
        <v>30.3</v>
      </c>
      <c r="M50">
        <f>SUM(M35:M49)</f>
        <v>4567</v>
      </c>
      <c r="N50">
        <f>M50-N49</f>
        <v>-183</v>
      </c>
    </row>
    <row r="51" spans="2:22" x14ac:dyDescent="0.25">
      <c r="B51" t="s">
        <v>227</v>
      </c>
      <c r="C51" t="s">
        <v>228</v>
      </c>
      <c r="E51">
        <v>43.7</v>
      </c>
      <c r="O51" t="s">
        <v>248</v>
      </c>
    </row>
    <row r="52" spans="2:22" x14ac:dyDescent="0.25">
      <c r="B52" t="s">
        <v>230</v>
      </c>
      <c r="C52" t="s">
        <v>229</v>
      </c>
      <c r="E52">
        <v>69</v>
      </c>
      <c r="O52" s="12" t="s">
        <v>254</v>
      </c>
      <c r="P52" s="12">
        <f>Q52-Q53</f>
        <v>25</v>
      </c>
      <c r="Q52">
        <v>625</v>
      </c>
      <c r="R52" t="s">
        <v>266</v>
      </c>
      <c r="S52">
        <v>500</v>
      </c>
      <c r="T52">
        <v>0.1</v>
      </c>
      <c r="U52">
        <f>S52*T52</f>
        <v>50</v>
      </c>
      <c r="V52">
        <v>625</v>
      </c>
    </row>
    <row r="53" spans="2:22" x14ac:dyDescent="0.25">
      <c r="B53" s="12" t="s">
        <v>238</v>
      </c>
      <c r="C53" s="12" t="s">
        <v>239</v>
      </c>
      <c r="E53">
        <v>170</v>
      </c>
      <c r="Q53">
        <v>600</v>
      </c>
      <c r="R53" t="s">
        <v>265</v>
      </c>
      <c r="S53">
        <v>500</v>
      </c>
      <c r="T53">
        <v>0.55000000000000004</v>
      </c>
      <c r="U53">
        <f>S53*T53</f>
        <v>275</v>
      </c>
      <c r="V53">
        <f>U52-U53</f>
        <v>-225</v>
      </c>
    </row>
    <row r="54" spans="2:22" x14ac:dyDescent="0.25">
      <c r="T54">
        <f>T53-T52</f>
        <v>0.45000000000000007</v>
      </c>
      <c r="V54">
        <f>V52+V53</f>
        <v>400</v>
      </c>
    </row>
    <row r="55" spans="2:22" x14ac:dyDescent="0.25">
      <c r="B55" t="s">
        <v>255</v>
      </c>
      <c r="P55" t="s">
        <v>40</v>
      </c>
      <c r="Q55">
        <v>100</v>
      </c>
      <c r="V55">
        <f>S53*T54</f>
        <v>225.00000000000003</v>
      </c>
    </row>
    <row r="56" spans="2:22" x14ac:dyDescent="0.25">
      <c r="B56" t="s">
        <v>256</v>
      </c>
      <c r="C56" t="s">
        <v>257</v>
      </c>
      <c r="D56" t="s">
        <v>242</v>
      </c>
      <c r="O56" t="s">
        <v>256</v>
      </c>
      <c r="P56">
        <f>Q55-Q56</f>
        <v>25</v>
      </c>
      <c r="Q56">
        <v>75</v>
      </c>
    </row>
    <row r="57" spans="2:22" x14ac:dyDescent="0.25">
      <c r="B57" t="s">
        <v>258</v>
      </c>
      <c r="C57" t="s">
        <v>259</v>
      </c>
      <c r="D57" t="s">
        <v>264</v>
      </c>
    </row>
    <row r="58" spans="2:22" x14ac:dyDescent="0.25">
      <c r="B58" t="s">
        <v>260</v>
      </c>
      <c r="C58" t="s">
        <v>261</v>
      </c>
      <c r="D58" t="s">
        <v>242</v>
      </c>
    </row>
    <row r="59" spans="2:22" x14ac:dyDescent="0.25">
      <c r="B59" t="s">
        <v>262</v>
      </c>
      <c r="C59" t="s">
        <v>263</v>
      </c>
      <c r="D59" t="s">
        <v>250</v>
      </c>
    </row>
    <row r="62" spans="2:22" x14ac:dyDescent="0.25">
      <c r="B62" t="s">
        <v>243</v>
      </c>
    </row>
    <row r="63" spans="2:22" x14ac:dyDescent="0.25">
      <c r="B63" t="s">
        <v>244</v>
      </c>
      <c r="C63" t="s">
        <v>245</v>
      </c>
      <c r="E63">
        <v>1705</v>
      </c>
      <c r="F63" t="s">
        <v>246</v>
      </c>
    </row>
    <row r="67" spans="16:16" x14ac:dyDescent="0.25">
      <c r="P67">
        <f>SUM(P38:P65)</f>
        <v>-7.0299999999999727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2 a 3 0 8 8 - 2 f 9 9 - 4 8 0 a - 9 a 1 b - 4 e e 3 9 b 5 d 8 e 4 a "   x m l n s = " h t t p : / / s c h e m a s . m i c r o s o f t . c o m / D a t a M a s h u p " > A A A A A M k D A A B Q S w M E F A A C A A g A 9 m o P T R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9 m o P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q D 0 2 z b S 0 n w A A A A B g B A A A T A B w A R m 9 y b X V s Y X M v U 2 V j d G l v b j E u b S C i G A A o o B Q A A A A A A A A A A A A A A A A A A A A A A A A A A A B t j s E K g l A Q R f e C / z C 8 N g q i 1 r K I F r Y N A o U W 0 W K y M Q W d V 7 4 J E v H f e 2 Y t g m Y z w 7 l w 5 h r K p d I M 6 b T n K 9 d x H V N i S x e Y q Q z P N U G s Y A 0 1 i e u A n V Q / 2 p w s O d A 5 3 O O V v P F I N A u x G E + V I r d l F B U V I + c U d l h q H e a 6 i e 4 b s z 7 s M u X 7 w W T a o m B s R Z O x j 4 f j S E 6 f d K a S E v l q e 2 T d j c Y K 7 z Z h 1 i K b Q r d N o u t H w 2 N o v L c q 6 H s 1 w b k K Q G w A Q k 8 Z A v j y x Q 8 f f N e p + O + 3 1 Q t Q S w E C L Q A U A A I A C A D 2 a g 9 N G p X s W a c A A A D 5 A A A A E g A A A A A A A A A A A A A A A A A A A A A A Q 2 9 u Z m l n L 1 B h Y 2 t h Z 2 U u e G 1 s U E s B A i 0 A F A A C A A g A 9 m o P T Q / K 6 a u k A A A A 6 Q A A A B M A A A A A A A A A A A A A A A A A 8 w A A A F t D b 2 5 0 Z W 5 0 X 1 R 5 c G V z X S 5 4 b W x Q S w E C L Q A U A A I A C A D 2 a g 9 N s 2 0 t J 8 A A A A A Y A Q A A E w A A A A A A A A A A A A A A A A D k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C Q A A A A A A A O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w L 0 N o Y W 5 n Z W Q g V H l w Z S 5 7 Q 2 9 s d W 1 u M S w w f S Z x d W 9 0 O y w m c X V v d D t T Z W N 0 a W 9 u M S 9 U Y W J s Z S A w L 0 N o Y W 5 n Z W Q g V H l w Z S 5 7 Q 2 9 s d W 1 u M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b H V t b l R 5 c G V z I i B W Y W x 1 Z T 0 i c 0 J n W T 0 i I C 8 + P E V u d H J 5 I F R 5 c G U 9 I k Z p b G x M Y X N 0 V X B k Y X R l Z C I g V m F s d W U 9 I m Q y M D E 4 L T A 4 L T E 1 V D E 4 O j E y O j M w L j U y M j g 2 N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F 1 Z X J 5 S U Q i I F Z h b H V l P S J z Z T F j O G M 5 Z G I t M G U 5 N y 0 0 Z j N m L T k 2 M m E t Y j Y 2 N G Y 1 O D c w N T Q x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Y u u 5 O r b l U m J q v E E G A 3 + f g A A A A A C A A A A A A A D Z g A A w A A A A B A A A A C t Z s X 4 a p X V Y q 9 P g 6 r / m m D C A A A A A A S A A A C g A A A A E A A A A J S t J U D Y D r I z 0 X Q 5 q t g J G L N Q A A A A E l y o X a G R r P T f z s D F 7 r A q G K L w T k 0 D c 0 P I 1 s i n G X U h e N R M 5 J Y z + R I 5 U 9 / C W G d r F Z 0 z 8 q / W C c Y w v Q b A v Z W B U y B g O 2 e V P A a z B n J i h 5 V N K f Z 1 7 u U U A A A A S r V 1 q T j v y a P v P D B G 0 P d e 3 z 9 Y j T o = < / D a t a M a s h u p > 
</file>

<file path=customXml/itemProps1.xml><?xml version="1.0" encoding="utf-8"?>
<ds:datastoreItem xmlns:ds="http://schemas.openxmlformats.org/officeDocument/2006/customXml" ds:itemID="{8361F58F-4890-49E9-8E3B-CDDA07625F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owssvr</vt:lpstr>
      <vt:lpstr>Pers</vt:lpstr>
      <vt:lpstr>Sheet2</vt:lpstr>
      <vt:lpstr>Questionare</vt:lpstr>
      <vt:lpstr>Ravi_Acc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Reddy, Ravindhar</dc:creator>
  <cp:lastModifiedBy>Reddy, Ravinder</cp:lastModifiedBy>
  <dcterms:created xsi:type="dcterms:W3CDTF">2018-02-02T16:15:15Z</dcterms:created>
  <dcterms:modified xsi:type="dcterms:W3CDTF">2019-04-11T17:06:32Z</dcterms:modified>
</cp:coreProperties>
</file>