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1DFC18AD-8FB1-4B0E-B949-9B3C52F1CB30}" xr6:coauthVersionLast="47" xr6:coauthVersionMax="47" xr10:uidLastSave="{00000000-0000-0000-0000-000000000000}"/>
  <bookViews>
    <workbookView xWindow="-108" yWindow="-108" windowWidth="23256" windowHeight="12576" tabRatio="859" activeTab="3" xr2:uid="{00000000-000D-0000-FFFF-FFFF00000000}"/>
  </bookViews>
  <sheets>
    <sheet name="General" sheetId="13" r:id="rId1"/>
    <sheet name="Rater" sheetId="11" r:id="rId2"/>
    <sheet name="Lookup" sheetId="12" r:id="rId3"/>
    <sheet name="Mappings" sheetId="14" r:id="rId4"/>
  </sheets>
  <definedNames>
    <definedName name="_DP1">Lookup!$B$54:$B$69</definedName>
    <definedName name="_DP3">Lookup!$C$54:$C$69</definedName>
    <definedName name="_HO1">Lookup!$A$37:$A$49</definedName>
    <definedName name="_HO3">Lookup!$B$37:$B$49</definedName>
    <definedName name="_HO4">Lookup!$C$37</definedName>
    <definedName name="_HO6">Lookup!$D$37:$D$45</definedName>
    <definedName name="_HO8">Lookup!$A$54:$A$66</definedName>
    <definedName name="Form_1">Lookup!$A$2:$A$6</definedName>
    <definedName name="Form_2">Lookup!$B$2:$B$3</definedName>
    <definedName name="Liab">Rater!$D$46:$D$50</definedName>
    <definedName name="LiabilityCheck">Lookup!$B$85:$B$88</definedName>
    <definedName name="LiabilityType">Lookup!$B$81:$B$88</definedName>
    <definedName name="Occupancy_1">Lookup!$C$2:$C$10</definedName>
    <definedName name="Occupancy_2">Lookup!$D$2:$D$8</definedName>
    <definedName name="Table1">Lookup!$AG$9:$AO$24</definedName>
    <definedName name="TheftCoverage">Lookup!$A$81:$A$86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1" l="1"/>
  <c r="F38" i="11" s="1"/>
  <c r="C5" i="11"/>
  <c r="C61" i="11"/>
  <c r="C60" i="11"/>
  <c r="C46" i="11"/>
  <c r="C44" i="11"/>
  <c r="C38" i="11"/>
  <c r="C37" i="11"/>
  <c r="C36" i="11"/>
  <c r="C35" i="11"/>
  <c r="C34" i="11"/>
  <c r="C29" i="11"/>
  <c r="C28" i="11"/>
  <c r="C25" i="11"/>
  <c r="C20" i="11"/>
  <c r="C18" i="11"/>
  <c r="C13" i="11"/>
  <c r="C12" i="11"/>
  <c r="C11" i="11"/>
  <c r="C10" i="11"/>
  <c r="C9" i="11"/>
  <c r="C7" i="11"/>
  <c r="D58" i="1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F34" i="11" l="1"/>
  <c r="D11" i="11"/>
  <c r="F36" i="11"/>
  <c r="F35" i="11"/>
  <c r="F61" i="11"/>
  <c r="D12" i="11"/>
  <c r="D13" i="11"/>
  <c r="D44" i="11"/>
  <c r="C52" i="11"/>
  <c r="B43" i="11"/>
  <c r="D52" i="11"/>
  <c r="D51" i="11"/>
  <c r="C32" i="11"/>
  <c r="C51" i="11"/>
  <c r="C31" i="11" l="1"/>
  <c r="C17" i="11" l="1"/>
  <c r="E17" i="11" s="1"/>
  <c r="D30" i="11"/>
  <c r="D29" i="11"/>
  <c r="AT44" i="12"/>
  <c r="AT45" i="12"/>
  <c r="AG44" i="12"/>
  <c r="AG45" i="12"/>
  <c r="C30" i="11"/>
  <c r="B55" i="11"/>
  <c r="C3" i="11"/>
  <c r="E18" i="11"/>
  <c r="E20" i="11"/>
  <c r="E25" i="11"/>
  <c r="F25" i="11" s="1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E10" i="11"/>
  <c r="F11" i="11" s="1"/>
  <c r="F10" i="11" l="1"/>
  <c r="F13" i="11"/>
  <c r="F12" i="11"/>
  <c r="C19" i="11"/>
  <c r="E19" i="11" s="1"/>
  <c r="E21" i="11" s="1"/>
  <c r="F15" i="11" l="1"/>
  <c r="C43" i="11" s="1"/>
  <c r="E30" i="11"/>
  <c r="F30" i="11" s="1"/>
  <c r="F17" i="11" l="1"/>
  <c r="F20" i="11"/>
  <c r="F18" i="11"/>
  <c r="F21" i="11"/>
  <c r="F19" i="11"/>
  <c r="F37" i="11"/>
  <c r="F51" i="11"/>
  <c r="F44" i="11"/>
  <c r="F52" i="11"/>
  <c r="F40" i="11" l="1"/>
  <c r="F55" i="11" s="1"/>
  <c r="F56" i="11" s="1"/>
  <c r="E59" i="11" s="1"/>
  <c r="F59" i="11" l="1"/>
  <c r="F63" i="11" l="1"/>
  <c r="F62" i="11"/>
  <c r="F65" i="11" l="1"/>
</calcChain>
</file>

<file path=xl/sharedStrings.xml><?xml version="1.0" encoding="utf-8"?>
<sst xmlns="http://schemas.openxmlformats.org/spreadsheetml/2006/main" count="521" uniqueCount="162">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</sst>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5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6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30" xfId="0" applyFont="1" applyFill="1" applyBorder="1" applyAlignment="1">
      <alignment vertical="top" wrapText="1"/>
    </xf>
    <xf numFmtId="0" fontId="3" fillId="0" borderId="28" xfId="0" applyFont="1" applyFill="1" applyBorder="1" applyAlignment="1">
      <alignment vertical="top"/>
    </xf>
    <xf numFmtId="0" fontId="3" fillId="0" borderId="29" xfId="0" applyFont="1" applyFill="1" applyBorder="1" applyAlignment="1">
      <alignment vertical="top"/>
    </xf>
    <xf numFmtId="0" fontId="3" fillId="0" borderId="30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9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8" xfId="0" applyFont="1" applyBorder="1" applyAlignment="1">
      <alignment vertical="top"/>
    </xf>
    <xf numFmtId="0" fontId="3" fillId="4" borderId="27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8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1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20" xfId="0" applyNumberFormat="1" applyFont="1" applyBorder="1" applyAlignment="1">
      <alignment vertical="top"/>
    </xf>
    <xf numFmtId="164" fontId="3" fillId="0" borderId="24" xfId="1" applyNumberFormat="1" applyFont="1" applyBorder="1" applyAlignment="1">
      <alignment horizontal="center" vertical="top"/>
    </xf>
    <xf numFmtId="165" fontId="10" fillId="0" borderId="25" xfId="0" applyNumberFormat="1" applyFont="1" applyBorder="1" applyAlignment="1">
      <alignment vertical="top"/>
    </xf>
    <xf numFmtId="165" fontId="3" fillId="4" borderId="27" xfId="0" applyNumberFormat="1" applyFont="1" applyFill="1" applyBorder="1" applyAlignment="1">
      <alignment horizontal="left" vertical="top"/>
    </xf>
    <xf numFmtId="165" fontId="3" fillId="4" borderId="22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6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7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2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9" xfId="1" applyNumberFormat="1" applyFont="1" applyBorder="1" applyAlignment="1">
      <alignment horizontal="center" vertical="top"/>
    </xf>
    <xf numFmtId="0" fontId="3" fillId="0" borderId="30" xfId="0" applyFont="1" applyFill="1" applyBorder="1" applyAlignment="1">
      <alignment horizontal="left" vertical="top" wrapText="1"/>
    </xf>
    <xf numFmtId="9" fontId="3" fillId="5" borderId="17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4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 wrapText="1"/>
    </xf>
    <xf numFmtId="0" fontId="10" fillId="0" borderId="35" xfId="0" applyFont="1" applyFill="1" applyBorder="1" applyAlignment="1">
      <alignment vertical="top" wrapText="1"/>
    </xf>
    <xf numFmtId="0" fontId="0" fillId="8" borderId="19" xfId="0" applyFill="1" applyBorder="1" applyAlignment="1">
      <alignment vertical="top"/>
    </xf>
    <xf numFmtId="9" fontId="3" fillId="0" borderId="19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vertical="top" wrapText="1"/>
    </xf>
    <xf numFmtId="0" fontId="3" fillId="4" borderId="24" xfId="0" applyFont="1" applyFill="1" applyBorder="1" applyAlignment="1">
      <alignment horizontal="left" vertical="top"/>
    </xf>
    <xf numFmtId="0" fontId="3" fillId="0" borderId="24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8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2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1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164" fontId="3" fillId="5" borderId="18" xfId="0" applyNumberFormat="1" applyFont="1" applyFill="1" applyBorder="1" applyAlignment="1">
      <alignment vertical="top"/>
    </xf>
    <xf numFmtId="0" fontId="3" fillId="0" borderId="39" xfId="0" applyFont="1" applyFill="1" applyBorder="1" applyAlignment="1">
      <alignment vertical="top"/>
    </xf>
    <xf numFmtId="0" fontId="3" fillId="4" borderId="40" xfId="0" applyFont="1" applyFill="1" applyBorder="1" applyAlignment="1">
      <alignment vertical="top"/>
    </xf>
    <xf numFmtId="0" fontId="3" fillId="0" borderId="23" xfId="0" applyFont="1" applyFill="1" applyBorder="1" applyAlignment="1">
      <alignment vertical="top"/>
    </xf>
    <xf numFmtId="0" fontId="3" fillId="0" borderId="39" xfId="0" applyFont="1" applyFill="1" applyBorder="1" applyAlignment="1">
      <alignment horizontal="left" vertical="top"/>
    </xf>
    <xf numFmtId="0" fontId="3" fillId="0" borderId="40" xfId="0" applyFont="1" applyFill="1" applyBorder="1" applyAlignment="1">
      <alignment horizontal="left" vertical="top"/>
    </xf>
    <xf numFmtId="165" fontId="10" fillId="0" borderId="42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3" xfId="0" applyNumberFormat="1" applyFont="1" applyFill="1" applyBorder="1" applyAlignment="1">
      <alignment vertical="top"/>
    </xf>
    <xf numFmtId="0" fontId="3" fillId="4" borderId="40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5" xfId="0" applyFill="1" applyBorder="1" applyAlignment="1">
      <alignment vertical="top"/>
    </xf>
    <xf numFmtId="164" fontId="0" fillId="5" borderId="45" xfId="0" applyNumberFormat="1" applyFill="1" applyBorder="1" applyAlignment="1">
      <alignment vertical="top"/>
    </xf>
    <xf numFmtId="0" fontId="0" fillId="0" borderId="45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8" xfId="0" applyNumberFormat="1" applyFont="1" applyFill="1" applyBorder="1" applyAlignment="1">
      <alignment vertical="center"/>
    </xf>
    <xf numFmtId="0" fontId="3" fillId="5" borderId="45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164" fontId="3" fillId="0" borderId="30" xfId="0" applyNumberFormat="1" applyFont="1" applyFill="1" applyBorder="1" applyAlignment="1">
      <alignment vertical="center"/>
    </xf>
    <xf numFmtId="9" fontId="3" fillId="0" borderId="41" xfId="0" applyNumberFormat="1" applyFont="1" applyFill="1" applyBorder="1" applyAlignment="1">
      <alignment vertical="top"/>
    </xf>
    <xf numFmtId="165" fontId="21" fillId="2" borderId="33" xfId="0" applyNumberFormat="1" applyFont="1" applyFill="1" applyBorder="1" applyAlignment="1">
      <alignment vertical="top" wrapText="1"/>
    </xf>
    <xf numFmtId="9" fontId="3" fillId="0" borderId="33" xfId="0" applyNumberFormat="1" applyFont="1" applyFill="1" applyBorder="1" applyAlignment="1">
      <alignment vertical="top"/>
    </xf>
    <xf numFmtId="0" fontId="0" fillId="0" borderId="21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9" fontId="3" fillId="9" borderId="19" xfId="0" applyNumberFormat="1" applyFont="1" applyFill="1" applyBorder="1" applyAlignment="1">
      <alignment horizontal="center" vertical="top"/>
    </xf>
    <xf numFmtId="165" fontId="10" fillId="9" borderId="20" xfId="0" applyNumberFormat="1" applyFont="1" applyFill="1" applyBorder="1" applyAlignment="1">
      <alignment vertical="top"/>
    </xf>
    <xf numFmtId="165" fontId="3" fillId="0" borderId="17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1" xfId="0" applyFill="1" applyBorder="1" applyAlignment="1">
      <alignment vertical="top"/>
    </xf>
    <xf numFmtId="165" fontId="10" fillId="5" borderId="29" xfId="0" applyNumberFormat="1" applyFont="1" applyFill="1" applyBorder="1" applyAlignment="1">
      <alignment vertical="center"/>
    </xf>
    <xf numFmtId="165" fontId="10" fillId="5" borderId="3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39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165" fontId="3" fillId="4" borderId="47" xfId="0" applyNumberFormat="1" applyFont="1" applyFill="1" applyBorder="1" applyAlignment="1">
      <alignment horizontal="left" vertical="top"/>
    </xf>
    <xf numFmtId="0" fontId="3" fillId="0" borderId="48" xfId="0" applyFont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50" xfId="0" applyFont="1" applyFill="1" applyBorder="1" applyAlignment="1">
      <alignment horizontal="left" vertical="top" wrapText="1"/>
    </xf>
    <xf numFmtId="0" fontId="3" fillId="0" borderId="5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1" xfId="0" applyFont="1" applyFill="1" applyBorder="1" applyAlignment="1">
      <alignment vertical="top" wrapText="1"/>
    </xf>
    <xf numFmtId="0" fontId="3" fillId="0" borderId="48" xfId="0" applyFont="1" applyFill="1" applyBorder="1" applyAlignment="1">
      <alignment vertical="top" wrapText="1"/>
    </xf>
    <xf numFmtId="0" fontId="3" fillId="0" borderId="50" xfId="0" applyFont="1" applyFill="1" applyBorder="1" applyAlignment="1">
      <alignment vertical="top" wrapText="1"/>
    </xf>
    <xf numFmtId="0" fontId="3" fillId="0" borderId="49" xfId="0" applyFont="1" applyFill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49" fontId="3" fillId="0" borderId="49" xfId="0" applyNumberFormat="1" applyFont="1" applyBorder="1" applyAlignment="1">
      <alignment vertical="top" wrapText="1"/>
    </xf>
    <xf numFmtId="0" fontId="3" fillId="4" borderId="4" xfId="0" applyNumberFormat="1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1" xfId="0" applyFont="1" applyFill="1" applyBorder="1" applyAlignment="1">
      <alignment horizontal="center"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165" fontId="3" fillId="9" borderId="23" xfId="0" applyNumberFormat="1" applyFont="1" applyFill="1" applyBorder="1" applyAlignment="1">
      <alignment horizontal="center" vertical="top"/>
    </xf>
    <xf numFmtId="165" fontId="3" fillId="9" borderId="25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1" xfId="0" applyFont="1" applyFill="1" applyBorder="1" applyAlignment="1">
      <alignment horizontal="left" vertical="top"/>
    </xf>
    <xf numFmtId="165" fontId="11" fillId="0" borderId="24" xfId="0" applyNumberFormat="1" applyFont="1" applyFill="1" applyBorder="1" applyAlignment="1">
      <alignment horizontal="right" vertical="center"/>
    </xf>
    <xf numFmtId="165" fontId="11" fillId="0" borderId="25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2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6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workbookViewId="0">
      <selection activeCell="D24" sqref="D24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1" t="s">
        <v>10</v>
      </c>
    </row>
    <row r="18" spans="3:3" x14ac:dyDescent="0.3">
      <c r="C18" s="201" t="s">
        <v>153</v>
      </c>
    </row>
    <row r="19" spans="3:3" x14ac:dyDescent="0.3">
      <c r="C19" s="201" t="s">
        <v>70</v>
      </c>
    </row>
    <row r="20" spans="3:3" x14ac:dyDescent="0.3">
      <c r="C20" s="201" t="s">
        <v>154</v>
      </c>
    </row>
    <row r="21" spans="3:3" x14ac:dyDescent="0.3">
      <c r="C21" s="201" t="s">
        <v>88</v>
      </c>
    </row>
    <row r="22" spans="3:3" x14ac:dyDescent="0.3">
      <c r="C22" s="201" t="s">
        <v>154</v>
      </c>
    </row>
    <row r="23" spans="3:3" x14ac:dyDescent="0.3">
      <c r="C23" s="201" t="s">
        <v>92</v>
      </c>
    </row>
    <row r="24" spans="3:3" x14ac:dyDescent="0.3">
      <c r="C24" s="201" t="s">
        <v>154</v>
      </c>
    </row>
    <row r="25" spans="3:3" x14ac:dyDescent="0.3">
      <c r="C25" s="201" t="s">
        <v>95</v>
      </c>
    </row>
    <row r="26" spans="3:3" x14ac:dyDescent="0.3">
      <c r="C26" s="201" t="s">
        <v>154</v>
      </c>
    </row>
    <row r="27" spans="3:3" x14ac:dyDescent="0.3">
      <c r="C27" s="201" t="s">
        <v>98</v>
      </c>
    </row>
    <row r="28" spans="3:3" x14ac:dyDescent="0.3">
      <c r="C28" s="201" t="s">
        <v>154</v>
      </c>
    </row>
    <row r="29" spans="3:3" x14ac:dyDescent="0.3">
      <c r="C29" s="201" t="s">
        <v>11</v>
      </c>
    </row>
    <row r="30" spans="3:3" x14ac:dyDescent="0.3">
      <c r="C30" s="201" t="s">
        <v>154</v>
      </c>
    </row>
    <row r="31" spans="3:3" x14ac:dyDescent="0.3">
      <c r="C31" s="201" t="s">
        <v>104</v>
      </c>
    </row>
    <row r="32" spans="3:3" x14ac:dyDescent="0.3">
      <c r="C32" s="201" t="s">
        <v>154</v>
      </c>
    </row>
    <row r="33" spans="3:3" x14ac:dyDescent="0.3">
      <c r="C33" s="201" t="s">
        <v>114</v>
      </c>
    </row>
    <row r="34" spans="3:3" x14ac:dyDescent="0.3">
      <c r="C34" s="201" t="s">
        <v>154</v>
      </c>
    </row>
    <row r="35" spans="3:3" x14ac:dyDescent="0.3">
      <c r="C35" s="201" t="s">
        <v>117</v>
      </c>
    </row>
    <row r="36" spans="3:3" x14ac:dyDescent="0.3">
      <c r="C36" s="201" t="s">
        <v>154</v>
      </c>
    </row>
    <row r="37" spans="3:3" x14ac:dyDescent="0.3">
      <c r="C37" s="201" t="s">
        <v>71</v>
      </c>
    </row>
    <row r="38" spans="3:3" x14ac:dyDescent="0.3">
      <c r="C38" s="202">
        <v>1</v>
      </c>
    </row>
    <row r="39" spans="3:3" x14ac:dyDescent="0.3">
      <c r="C39" s="201" t="s">
        <v>89</v>
      </c>
    </row>
    <row r="40" spans="3:3" x14ac:dyDescent="0.3">
      <c r="C40" s="202">
        <v>1</v>
      </c>
    </row>
    <row r="41" spans="3:3" x14ac:dyDescent="0.3">
      <c r="C41" s="201" t="s">
        <v>93</v>
      </c>
    </row>
    <row r="42" spans="3:3" x14ac:dyDescent="0.3">
      <c r="C42" s="201" t="s">
        <v>154</v>
      </c>
    </row>
    <row r="43" spans="3:3" x14ac:dyDescent="0.3">
      <c r="C43" s="201" t="s">
        <v>121</v>
      </c>
    </row>
    <row r="44" spans="3:3" x14ac:dyDescent="0.3">
      <c r="C44" s="201" t="s">
        <v>154</v>
      </c>
    </row>
    <row r="45" spans="3:3" x14ac:dyDescent="0.3">
      <c r="C45" s="201" t="s">
        <v>99</v>
      </c>
    </row>
    <row r="46" spans="3:3" x14ac:dyDescent="0.3">
      <c r="C46" s="202">
        <v>1</v>
      </c>
    </row>
    <row r="47" spans="3:3" x14ac:dyDescent="0.3">
      <c r="C47" s="201" t="s">
        <v>101</v>
      </c>
    </row>
    <row r="48" spans="3:3" x14ac:dyDescent="0.3">
      <c r="C48" s="202">
        <v>1</v>
      </c>
    </row>
    <row r="49" spans="2:3" x14ac:dyDescent="0.3">
      <c r="C49" s="201" t="s">
        <v>105</v>
      </c>
    </row>
    <row r="50" spans="2:3" x14ac:dyDescent="0.3">
      <c r="C50" s="202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AB75"/>
  <sheetViews>
    <sheetView topLeftCell="A37" zoomScaleNormal="100" workbookViewId="0">
      <selection activeCell="D8" sqref="D8"/>
    </sheetView>
  </sheetViews>
  <sheetFormatPr defaultColWidth="9.109375" defaultRowHeight="14.4" x14ac:dyDescent="0.3"/>
  <cols>
    <col min="1" max="1" width="9.109375" style="119"/>
    <col min="2" max="2" width="32.88671875" style="64" bestFit="1" customWidth="1"/>
    <col min="3" max="3" width="27.44140625" style="65" bestFit="1" customWidth="1"/>
    <col min="4" max="4" width="20.44140625" style="65" bestFit="1" customWidth="1"/>
    <col min="5" max="5" width="13.88671875" style="66" customWidth="1"/>
    <col min="6" max="6" width="14.33203125" style="65" bestFit="1" customWidth="1"/>
    <col min="7" max="7" width="10.33203125" style="65" customWidth="1"/>
    <col min="8" max="8" width="32.88671875" style="34" bestFit="1" customWidth="1"/>
    <col min="9" max="9" width="27.44140625" style="34" bestFit="1" customWidth="1"/>
    <col min="10" max="10" width="20.44140625" style="34" bestFit="1" customWidth="1"/>
    <col min="11" max="11" width="13.88671875" style="34" customWidth="1"/>
    <col min="12" max="12" width="14.33203125" style="34" bestFit="1" customWidth="1"/>
    <col min="13" max="13" width="8.6640625" style="34" customWidth="1"/>
    <col min="14" max="14" width="32.88671875" style="34" bestFit="1" customWidth="1"/>
    <col min="15" max="15" width="27.44140625" style="34" bestFit="1" customWidth="1"/>
    <col min="16" max="16" width="20.44140625" style="34" bestFit="1" customWidth="1"/>
    <col min="17" max="17" width="13.88671875" style="34" customWidth="1"/>
    <col min="18" max="18" width="14.33203125" style="34" bestFit="1" customWidth="1"/>
    <col min="19" max="19" width="8.6640625" style="34" customWidth="1"/>
    <col min="20" max="20" width="26.5546875" style="34" customWidth="1"/>
    <col min="21" max="21" width="27.44140625" style="34" bestFit="1" customWidth="1"/>
    <col min="22" max="22" width="20.44140625" style="34" bestFit="1" customWidth="1"/>
    <col min="23" max="23" width="13.88671875" style="34" customWidth="1"/>
    <col min="24" max="24" width="14.33203125" style="34" bestFit="1" customWidth="1"/>
    <col min="25" max="25" width="8.6640625" style="34" customWidth="1"/>
    <col min="26" max="26" width="26.5546875" style="34" customWidth="1"/>
    <col min="27" max="27" width="27.44140625" style="34" bestFit="1" customWidth="1"/>
    <col min="28" max="28" width="20.44140625" style="34" bestFit="1" customWidth="1"/>
    <col min="29" max="29" width="13.88671875" style="65" customWidth="1"/>
    <col min="30" max="30" width="14.33203125" style="65" bestFit="1" customWidth="1"/>
    <col min="31" max="31" width="9.109375" style="65"/>
    <col min="32" max="32" width="26.5546875" style="65" customWidth="1"/>
    <col min="33" max="33" width="27.44140625" style="65" bestFit="1" customWidth="1"/>
    <col min="34" max="34" width="20.44140625" style="65" bestFit="1" customWidth="1"/>
    <col min="35" max="35" width="13.88671875" style="65" customWidth="1"/>
    <col min="36" max="36" width="14.33203125" style="65" bestFit="1" customWidth="1"/>
    <col min="37" max="37" width="9.109375" style="65"/>
    <col min="38" max="38" width="26.5546875" style="65" customWidth="1"/>
    <col min="39" max="39" width="27.44140625" style="65" bestFit="1" customWidth="1"/>
    <col min="40" max="40" width="20.44140625" style="65" bestFit="1" customWidth="1"/>
    <col min="41" max="41" width="13.88671875" style="65" customWidth="1"/>
    <col min="42" max="42" width="14.33203125" style="65" bestFit="1" customWidth="1"/>
    <col min="43" max="43" width="9.109375" style="65"/>
    <col min="44" max="44" width="26.5546875" style="65" customWidth="1"/>
    <col min="45" max="45" width="27.44140625" style="65" bestFit="1" customWidth="1"/>
    <col min="46" max="46" width="20.44140625" style="65" bestFit="1" customWidth="1"/>
    <col min="47" max="47" width="13.88671875" style="65" customWidth="1"/>
    <col min="48" max="48" width="14.33203125" style="65" bestFit="1" customWidth="1"/>
    <col min="49" max="49" width="9.109375" style="65"/>
    <col min="50" max="50" width="26.5546875" style="65" customWidth="1"/>
    <col min="51" max="51" width="27.44140625" style="65" bestFit="1" customWidth="1"/>
    <col min="52" max="52" width="20.44140625" style="65" bestFit="1" customWidth="1"/>
    <col min="53" max="53" width="13.88671875" style="65" customWidth="1"/>
    <col min="54" max="54" width="14.33203125" style="65" bestFit="1" customWidth="1"/>
    <col min="55" max="55" width="9.109375" style="65"/>
    <col min="56" max="56" width="26.5546875" style="65" customWidth="1"/>
    <col min="57" max="57" width="27.44140625" style="65" bestFit="1" customWidth="1"/>
    <col min="58" max="58" width="20.44140625" style="65" bestFit="1" customWidth="1"/>
    <col min="59" max="59" width="13.88671875" style="65" customWidth="1"/>
    <col min="60" max="60" width="14.33203125" style="65" bestFit="1" customWidth="1"/>
    <col min="61" max="16384" width="9.109375" style="65"/>
  </cols>
  <sheetData>
    <row r="1" spans="1:7" ht="21.6" thickBot="1" x14ac:dyDescent="0.35">
      <c r="B1" s="180" t="s">
        <v>0</v>
      </c>
      <c r="C1" s="67">
        <v>1</v>
      </c>
      <c r="D1" s="123"/>
      <c r="E1" s="125"/>
      <c r="F1" s="123"/>
      <c r="G1" s="119"/>
    </row>
    <row r="2" spans="1:7" ht="15" thickBot="1" x14ac:dyDescent="0.35">
      <c r="A2" s="146"/>
      <c r="B2" s="119"/>
      <c r="D2" s="119"/>
      <c r="E2" s="119"/>
      <c r="F2" s="119"/>
      <c r="G2" s="126"/>
    </row>
    <row r="3" spans="1:7" customFormat="1" ht="24" customHeight="1" thickBot="1" x14ac:dyDescent="0.35">
      <c r="A3" s="146"/>
      <c r="B3" s="120" t="s">
        <v>1</v>
      </c>
      <c r="C3" s="92" t="str">
        <f>"INPUT "&amp; "Location " &amp; 1</f>
        <v>INPUT Location 1</v>
      </c>
      <c r="D3" s="122"/>
      <c r="E3" s="160"/>
      <c r="F3" s="119"/>
      <c r="G3" s="126"/>
    </row>
    <row r="4" spans="1:7" customFormat="1" ht="16.5" customHeight="1" thickBot="1" x14ac:dyDescent="0.35">
      <c r="A4" s="146"/>
      <c r="B4" s="47" t="s">
        <v>2</v>
      </c>
      <c r="C4" s="68"/>
      <c r="D4" s="69" t="s">
        <v>3</v>
      </c>
      <c r="E4" s="175" t="s">
        <v>4</v>
      </c>
      <c r="F4" s="70" t="s">
        <v>5</v>
      </c>
      <c r="G4" s="126"/>
    </row>
    <row r="5" spans="1:7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8"/>
      <c r="G5" s="126"/>
    </row>
    <row r="6" spans="1:7" customFormat="1" x14ac:dyDescent="0.3">
      <c r="A6" s="146"/>
      <c r="B6" s="74" t="s">
        <v>8</v>
      </c>
      <c r="C6" s="221" t="str">
        <f>Mappings!B2</f>
        <v>HO1</v>
      </c>
      <c r="D6" s="119"/>
      <c r="E6" s="160"/>
      <c r="F6" s="176"/>
      <c r="G6" s="126"/>
    </row>
    <row r="7" spans="1:7" customFormat="1" x14ac:dyDescent="0.3">
      <c r="A7" s="146"/>
      <c r="B7" s="74" t="s">
        <v>10</v>
      </c>
      <c r="C7" s="75" t="str">
        <f>Mappings!C2</f>
        <v>Owner - Primary</v>
      </c>
      <c r="D7" s="119"/>
      <c r="E7" s="160"/>
      <c r="F7" s="177"/>
      <c r="G7" s="126"/>
    </row>
    <row r="8" spans="1:7" customFormat="1" x14ac:dyDescent="0.3">
      <c r="A8" s="146"/>
      <c r="B8" s="74" t="s">
        <v>12</v>
      </c>
      <c r="C8" s="75" t="s">
        <v>100</v>
      </c>
      <c r="D8" s="124"/>
      <c r="E8" s="160"/>
      <c r="F8" s="176"/>
      <c r="G8" s="126"/>
    </row>
    <row r="9" spans="1:7" customFormat="1" x14ac:dyDescent="0.3">
      <c r="A9" s="146"/>
      <c r="B9" s="74" t="s">
        <v>14</v>
      </c>
      <c r="C9" s="75" t="str">
        <f>Mappings!E2</f>
        <v>10</v>
      </c>
      <c r="D9" s="119"/>
      <c r="E9" s="160"/>
      <c r="F9" s="176"/>
      <c r="G9" s="126"/>
    </row>
    <row r="10" spans="1:7" customFormat="1" ht="15.6" x14ac:dyDescent="0.3">
      <c r="A10" s="146"/>
      <c r="B10" s="74" t="s">
        <v>16</v>
      </c>
      <c r="C10" s="76">
        <f>Mappings!F2</f>
        <v>10000</v>
      </c>
      <c r="D10" s="77"/>
      <c r="E10" s="172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0.62</v>
      </c>
      <c r="F10" s="199">
        <f>ROUND(
IF(C6="HO4",0,
IF(OR(E14="",E14=0),ROUND(C10*(E10/100),0),(E14/100)*C10)),0)</f>
        <v>62</v>
      </c>
      <c r="G10" s="126"/>
    </row>
    <row r="11" spans="1:7" customFormat="1" ht="15" customHeight="1" x14ac:dyDescent="0.3">
      <c r="A11" s="146"/>
      <c r="B11" s="60" t="s">
        <v>17</v>
      </c>
      <c r="C11" s="95">
        <f>Mappings!G2</f>
        <v>1000</v>
      </c>
      <c r="D11" s="154">
        <f>ROUND(IF(OR(C6="DP1",C6="DP3",C6="HO4"),0,(((C11*100)/C10)/100-VLOOKUP(B11,Lookup!$BP$2:$BU$6,MATCH(C6,Lookup!$BP$2:$BU$2,0),FALSE))*C10),0)</f>
        <v>0</v>
      </c>
      <c r="E11" s="172"/>
      <c r="F11" s="199">
        <f xml:space="preserve">
IF(OR(C6="HO4"),0,
IF(AND(OR(E14="",E14=0),SUMIF(D11,"&gt;0")),ROUND(D11*(E10/100),0),
IF(SUMIF(D11,"&gt;0"),(E14/100)*D11,0)))</f>
        <v>0</v>
      </c>
      <c r="G11" s="147"/>
    </row>
    <row r="12" spans="1:7" customFormat="1" ht="15" customHeight="1" x14ac:dyDescent="0.3">
      <c r="A12" s="146"/>
      <c r="B12" s="60" t="s">
        <v>18</v>
      </c>
      <c r="C12" s="95">
        <f>Mappings!H2</f>
        <v>5000</v>
      </c>
      <c r="D12" s="155">
        <f>ROUND(IF(OR(C6="DP1",C6="DP3",C6="HO4"),0,(((C12*100)/C10)/100-VLOOKUP(B12,Lookup!$BP$2:$BU$6,MATCH(C6,Lookup!$BP$2:$BU$2,0),FALSE))*C10),0)</f>
        <v>0</v>
      </c>
      <c r="E12" s="172"/>
      <c r="F12" s="199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</v>
      </c>
      <c r="G12" s="148"/>
    </row>
    <row r="13" spans="1:7" customFormat="1" ht="15" customHeight="1" thickBot="1" x14ac:dyDescent="0.35">
      <c r="A13" s="146"/>
      <c r="B13" s="102" t="s">
        <v>19</v>
      </c>
      <c r="C13" s="95">
        <f>Mappings!I2</f>
        <v>1000</v>
      </c>
      <c r="D13" s="169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</v>
      </c>
      <c r="E13" s="173"/>
      <c r="F13" s="200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</v>
      </c>
      <c r="G13" s="148"/>
    </row>
    <row r="14" spans="1:7" customFormat="1" ht="15.75" customHeight="1" thickBot="1" x14ac:dyDescent="0.35">
      <c r="A14" s="146"/>
      <c r="B14" s="120"/>
      <c r="C14" s="233" t="s">
        <v>143</v>
      </c>
      <c r="D14" s="234"/>
      <c r="E14" s="174">
        <v>0</v>
      </c>
      <c r="F14" s="178"/>
      <c r="G14" s="148"/>
    </row>
    <row r="15" spans="1:7" customFormat="1" ht="16.2" thickBot="1" x14ac:dyDescent="0.35">
      <c r="A15" s="146"/>
      <c r="B15" s="120"/>
      <c r="C15" s="119"/>
      <c r="D15" s="119"/>
      <c r="E15" s="160"/>
      <c r="F15" s="179">
        <f>SUM(F10:F13)</f>
        <v>62</v>
      </c>
      <c r="G15" s="126"/>
    </row>
    <row r="16" spans="1:7" customFormat="1" ht="16.2" thickBot="1" x14ac:dyDescent="0.35">
      <c r="A16" s="146"/>
      <c r="B16" s="81" t="s">
        <v>23</v>
      </c>
      <c r="C16" s="120"/>
      <c r="D16" s="119"/>
      <c r="E16" s="121"/>
      <c r="F16" s="65"/>
      <c r="G16" s="126"/>
    </row>
    <row r="17" spans="1:7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>
        <f>IF(C17="Yes",Lookup!$U$2,0)</f>
        <v>0</v>
      </c>
      <c r="F17" s="84">
        <f>ROUND(F15*(E17),0)</f>
        <v>0</v>
      </c>
      <c r="G17" s="126"/>
    </row>
    <row r="18" spans="1:7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>
        <f>IF(C18="Yes",Lookup!$U$3,0)</f>
        <v>0</v>
      </c>
      <c r="F18" s="84">
        <f>ROUND(F15*(E18),0)</f>
        <v>0</v>
      </c>
      <c r="G18" s="126"/>
    </row>
    <row r="19" spans="1:7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>
        <f>IF(C19="Yes",Lookup!$U$4,0)</f>
        <v>0</v>
      </c>
      <c r="F19" s="84">
        <f>ROUND(F15*(E19),0)</f>
        <v>0</v>
      </c>
      <c r="G19" s="126"/>
    </row>
    <row r="20" spans="1:7" customFormat="1" ht="16.2" thickBot="1" x14ac:dyDescent="0.35">
      <c r="A20" s="146"/>
      <c r="B20" s="52" t="s">
        <v>29</v>
      </c>
      <c r="C20" s="76">
        <f>Mappings!K2</f>
        <v>1000</v>
      </c>
      <c r="D20" s="119"/>
      <c r="E20" s="83">
        <f>VLOOKUP(C20,Lookup!$Q$2:$R$5,2,FALSE)</f>
        <v>0</v>
      </c>
      <c r="F20" s="84">
        <f>ROUND(F15*(E20),0)</f>
        <v>0</v>
      </c>
      <c r="G20" s="126"/>
    </row>
    <row r="21" spans="1:7" customFormat="1" ht="16.5" customHeight="1" thickBot="1" x14ac:dyDescent="0.35">
      <c r="A21" s="146"/>
      <c r="B21" s="241" t="s">
        <v>30</v>
      </c>
      <c r="C21" s="242"/>
      <c r="D21" s="79"/>
      <c r="E21" s="193">
        <f>SUM(E17:E20)</f>
        <v>0</v>
      </c>
      <c r="F21" s="194">
        <f>ROUND(F15*(E21),0)</f>
        <v>0</v>
      </c>
      <c r="G21" s="126"/>
    </row>
    <row r="22" spans="1:7" customFormat="1" ht="15.6" x14ac:dyDescent="0.3">
      <c r="A22" s="146"/>
      <c r="B22" s="127"/>
      <c r="C22" s="127"/>
      <c r="D22" s="119"/>
      <c r="E22" s="128"/>
      <c r="F22" s="129"/>
      <c r="G22" s="126"/>
    </row>
    <row r="23" spans="1:7" customFormat="1" ht="15" thickBot="1" x14ac:dyDescent="0.35">
      <c r="A23" s="146"/>
      <c r="B23" s="120"/>
      <c r="C23" s="119"/>
      <c r="D23" s="119"/>
      <c r="E23" s="121"/>
      <c r="F23" s="119"/>
      <c r="G23" s="126"/>
    </row>
    <row r="24" spans="1:7" customFormat="1" ht="16.2" thickBot="1" x14ac:dyDescent="0.35">
      <c r="A24" s="146"/>
      <c r="B24" s="113" t="s">
        <v>31</v>
      </c>
      <c r="C24" s="119"/>
      <c r="D24" s="119"/>
      <c r="E24" s="121"/>
      <c r="F24" s="119"/>
      <c r="G24" s="126"/>
    </row>
    <row r="25" spans="1:7" customFormat="1" ht="19.5" customHeight="1" thickBot="1" x14ac:dyDescent="0.35">
      <c r="A25" s="146"/>
      <c r="B25" s="115" t="s">
        <v>32</v>
      </c>
      <c r="C25" s="116">
        <f>Mappings!L2</f>
        <v>10</v>
      </c>
      <c r="D25" s="117"/>
      <c r="E25" s="85">
        <f>IF(C25&gt;25,(C25-25)*Lookup!$X$1,0)</f>
        <v>0</v>
      </c>
      <c r="F25" s="86">
        <f>ROUND(E25,0)</f>
        <v>0</v>
      </c>
      <c r="G25" s="126"/>
    </row>
    <row r="26" spans="1:7" customFormat="1" x14ac:dyDescent="0.3">
      <c r="A26" s="146"/>
      <c r="B26" s="120"/>
      <c r="C26" s="130"/>
      <c r="D26" s="119"/>
      <c r="E26" s="121"/>
      <c r="F26" s="119"/>
      <c r="G26" s="126"/>
    </row>
    <row r="27" spans="1:7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7" customFormat="1" x14ac:dyDescent="0.3">
      <c r="A28" s="146"/>
      <c r="B28" s="53" t="s">
        <v>34</v>
      </c>
      <c r="C28" s="72" t="str">
        <f>Mappings!M2</f>
        <v>1 Family</v>
      </c>
      <c r="D28" s="140"/>
      <c r="E28" s="142"/>
      <c r="F28" s="143"/>
      <c r="G28" s="126"/>
    </row>
    <row r="29" spans="1:7" customFormat="1" ht="15" thickBot="1" x14ac:dyDescent="0.35">
      <c r="A29" s="146"/>
      <c r="B29" s="54" t="s">
        <v>36</v>
      </c>
      <c r="C29" s="76">
        <f>Mappings!N2</f>
        <v>300000</v>
      </c>
      <c r="D29" s="145">
        <f>IF(C29="Excluded",0,IF(AND(COUNTIF(Form_1,C6),COUNTIF(Occupancy_1,C7)),VLOOKUP(C29&amp;"-"&amp;C8,Lookup!$AG$8:$AO$24,MATCH(C28,Lookup!$AG$8:$AO$8,0),FALSE),
IF(AND(COUNTIF(Form_2,C6),COUNTIF(Occupancy_1,C7)),VLOOKUP(C29&amp;"-"&amp;C8,Lookup!$AG$29:$AO$45,MATCH(C28,Lookup!$AG$29:$AO$29,0),FALSE),
IF(AND(COUNTIF(Form_1,C6),COUNTIF(Occupancy_2,C7)),VLOOKUP(C29&amp;"-"&amp;C8,Lookup!$AT$8:$AV$24,2,FALSE),
IF(AND(COUNTIF(Form_2,C6),COUNTIF(Occupancy_2,C7)),VLOOKUP(C29&amp;"-"&amp;C8,Lookup!$AT$29:$AV$45,2,FALSE),"Mismatch")))))</f>
        <v>150</v>
      </c>
      <c r="E29" s="144"/>
      <c r="F29" s="141"/>
      <c r="G29" s="126"/>
    </row>
    <row r="30" spans="1:7" customFormat="1" ht="16.2" thickBot="1" x14ac:dyDescent="0.35">
      <c r="A30" s="146"/>
      <c r="B30" s="58" t="s">
        <v>37</v>
      </c>
      <c r="C30" s="96">
        <f>IF(C29="Excluded","Excluded",5000)</f>
        <v>5000</v>
      </c>
      <c r="D30" s="101">
        <f>IF(C29="Excluded",0,IF(AND(COUNTIF(Form_1,C6),COUNTIF(Occupancy_1,C7)),VLOOKUP(C29&amp;"-"&amp;C8,Lookup!$AG$8:$AO$24,MATCH(C28,Lookup!$AG$8:$AO$8,0)+1,FALSE),
IF(AND(COUNTIF(Form_2,C6),COUNTIF(Occupancy_1,C7)),VLOOKUP(C29&amp;"-"&amp;C8,Lookup!$AG$29:$AO$45,MATCH(C28,Lookup!$AG$29:$AO$29,0)+1,FALSE),
IF(AND(COUNTIF(Form_1,C6),COUNTIF(Occupancy_2,C7)),VLOOKUP(C29&amp;"-"&amp;C8,Lookup!$AT$8:$AV$24,3,FALSE),
IF(AND(COUNTIF(Form_2,C6),COUNTIF(Occupancy_2,C7)),VLOOKUP(C29&amp;"-"&amp;C8,Lookup!$AT$29:$AV$45,3,FALSE),"Mis Match")))))</f>
        <v>150</v>
      </c>
      <c r="E30" s="105">
        <f>MAX(D29,D30)</f>
        <v>150</v>
      </c>
      <c r="F30" s="106">
        <f>IF(C32&lt;&gt;"","Resolve Error",ROUND(E30,0))</f>
        <v>150</v>
      </c>
      <c r="G30" s="147"/>
    </row>
    <row r="31" spans="1:7" customFormat="1" x14ac:dyDescent="0.3">
      <c r="A31" s="146"/>
      <c r="B31" s="120"/>
      <c r="C31" s="243" t="str">
        <f>IF(C29="Excluded","Medical Payment is not allowed, when personal liability limit is None/Excluded","")</f>
        <v/>
      </c>
      <c r="D31" s="243"/>
      <c r="E31" s="243"/>
      <c r="F31" s="243"/>
      <c r="G31" s="126"/>
    </row>
    <row r="32" spans="1:7" customFormat="1" ht="15" thickBot="1" x14ac:dyDescent="0.35">
      <c r="A32" s="146"/>
      <c r="B32" s="120"/>
      <c r="C32" s="240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40"/>
      <c r="E32" s="240"/>
      <c r="F32" s="240"/>
      <c r="G32" s="126"/>
    </row>
    <row r="33" spans="1:8" customFormat="1" ht="16.2" thickBot="1" x14ac:dyDescent="0.35">
      <c r="A33" s="146"/>
      <c r="B33" s="48" t="s">
        <v>38</v>
      </c>
      <c r="C33" s="119"/>
      <c r="D33" s="119"/>
      <c r="E33" s="121"/>
      <c r="F33" s="119"/>
      <c r="G33" s="126"/>
    </row>
    <row r="34" spans="1:8" customFormat="1" x14ac:dyDescent="0.3">
      <c r="A34" s="146"/>
      <c r="B34" s="55" t="s">
        <v>39</v>
      </c>
      <c r="C34" s="87" t="str">
        <f>Mappings!O2</f>
        <v>N/A</v>
      </c>
      <c r="D34" s="140"/>
      <c r="E34" s="181"/>
      <c r="F34" s="195">
        <f>IF(C6="HO6",VLOOKUP(C34,Lookup!$AX$2:$AY$6,2,FALSE),0)</f>
        <v>0</v>
      </c>
      <c r="G34" s="126"/>
    </row>
    <row r="35" spans="1:8" customFormat="1" x14ac:dyDescent="0.3">
      <c r="A35" s="146"/>
      <c r="B35" s="56" t="s">
        <v>40</v>
      </c>
      <c r="C35" s="76" t="str">
        <f>Mappings!P2</f>
        <v>Yes</v>
      </c>
      <c r="D35" s="120"/>
      <c r="E35" s="181"/>
      <c r="F35" s="196">
        <f>IF(OR(C6="HO1",C6="HO3",C6="HO6",C6="DP1",C6="DP3"),0,IF(AND(OR(C6="HO4",C6="HO8"),C35="Yes"),ROUND(C12*0.0075,0),0))</f>
        <v>0</v>
      </c>
      <c r="G35" s="126"/>
    </row>
    <row r="36" spans="1:8" customFormat="1" x14ac:dyDescent="0.3">
      <c r="A36" s="146"/>
      <c r="B36" s="56" t="s">
        <v>42</v>
      </c>
      <c r="C36" s="76">
        <f>Mappings!Q2</f>
        <v>0</v>
      </c>
      <c r="D36" s="120"/>
      <c r="E36" s="181"/>
      <c r="F36" s="196">
        <f>IF(OR(C6="DP1",C6="DP3"),0,ROUND(C36*0.01,0))</f>
        <v>0</v>
      </c>
      <c r="G36" s="126"/>
    </row>
    <row r="37" spans="1:8" customFormat="1" x14ac:dyDescent="0.3">
      <c r="A37" s="146"/>
      <c r="B37" s="56" t="s">
        <v>43</v>
      </c>
      <c r="C37" s="82" t="str">
        <f>Mappings!R2</f>
        <v>N/A</v>
      </c>
      <c r="D37" s="120"/>
      <c r="E37" s="181"/>
      <c r="F37" s="197">
        <f>IF(C37="Yes",ROUND(0.05*F15,0),0)</f>
        <v>0</v>
      </c>
      <c r="G37" s="126"/>
    </row>
    <row r="38" spans="1:8" customFormat="1" ht="15" thickBot="1" x14ac:dyDescent="0.35">
      <c r="A38" s="146"/>
      <c r="B38" s="57" t="s">
        <v>44</v>
      </c>
      <c r="C38" s="88" t="str">
        <f>Mappings!S2</f>
        <v>Excluded</v>
      </c>
      <c r="D38" s="89"/>
      <c r="E38" s="181"/>
      <c r="F38" s="196">
        <f>IF(OR(C6="DP1",C6="DP3"),0,VLOOKUP(C38,Lookup!$BA$2:$BB$6,2,FALSE))</f>
        <v>0</v>
      </c>
      <c r="G38" s="126"/>
    </row>
    <row r="39" spans="1:8" customFormat="1" ht="16.2" thickBot="1" x14ac:dyDescent="0.35">
      <c r="A39" s="146"/>
      <c r="B39" s="120"/>
      <c r="C39" s="133"/>
      <c r="D39" s="120"/>
      <c r="E39" s="134"/>
      <c r="F39" s="129"/>
      <c r="G39" s="126"/>
    </row>
    <row r="40" spans="1:8" customFormat="1" ht="18.600000000000001" thickBot="1" x14ac:dyDescent="0.35">
      <c r="A40" s="146"/>
      <c r="B40" s="235" t="s">
        <v>134</v>
      </c>
      <c r="C40" s="236"/>
      <c r="D40" s="236"/>
      <c r="E40" s="237"/>
      <c r="F40" s="104">
        <f>F15+F21+F25+F30+SUM(F34:F38)</f>
        <v>212</v>
      </c>
      <c r="G40" s="126"/>
    </row>
    <row r="41" spans="1: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8" customFormat="1" ht="15.75" customHeight="1" thickBot="1" x14ac:dyDescent="0.35">
      <c r="A43" s="146"/>
      <c r="B43" s="164" t="str">
        <f>"Total Base Premium (Locations:  "&amp;C1&amp;")"</f>
        <v>Total Base Premium (Locations:  1)</v>
      </c>
      <c r="C43" s="238">
        <f>SUM(15:15)</f>
        <v>62</v>
      </c>
      <c r="D43" s="238"/>
      <c r="E43" s="238"/>
      <c r="F43" s="239"/>
      <c r="G43" s="126"/>
    </row>
    <row r="44" spans="1:8" customFormat="1" ht="15.75" customHeight="1" x14ac:dyDescent="0.3">
      <c r="A44" s="146"/>
      <c r="B44" s="162" t="s">
        <v>20</v>
      </c>
      <c r="C44" s="163" t="str">
        <f>Mappings!T2</f>
        <v>No</v>
      </c>
      <c r="D44" s="187">
        <f>IF(C44="Yes", Lookup!$AA$1,0)</f>
        <v>0</v>
      </c>
      <c r="E44" s="190"/>
      <c r="F44" s="183">
        <f>ROUND(C43*D44,0)</f>
        <v>0</v>
      </c>
      <c r="G44" s="126"/>
    </row>
    <row r="45" spans="1:8" customFormat="1" ht="15.75" customHeight="1" x14ac:dyDescent="0.3">
      <c r="A45" s="146"/>
      <c r="B45" s="138"/>
      <c r="C45" s="139"/>
      <c r="D45" s="188" t="s">
        <v>123</v>
      </c>
      <c r="E45" s="191"/>
      <c r="F45" s="184"/>
      <c r="G45" s="126"/>
    </row>
    <row r="46" spans="1:8" customFormat="1" ht="15.75" customHeight="1" x14ac:dyDescent="0.3">
      <c r="A46" s="146"/>
      <c r="B46" s="46" t="s">
        <v>22</v>
      </c>
      <c r="C46" s="114">
        <f>Mappings!U2</f>
        <v>0</v>
      </c>
      <c r="D46" s="157"/>
      <c r="E46" s="191"/>
      <c r="F46" s="184"/>
      <c r="G46" s="126"/>
    </row>
    <row r="47" spans="1:8" customFormat="1" ht="15" customHeight="1" x14ac:dyDescent="0.3">
      <c r="A47" s="146"/>
      <c r="B47" s="138"/>
      <c r="C47" s="135"/>
      <c r="D47" s="157"/>
      <c r="E47" s="191"/>
      <c r="F47" s="184"/>
      <c r="G47" s="126"/>
      <c r="H47" s="118"/>
    </row>
    <row r="48" spans="1:8" customFormat="1" ht="15" customHeight="1" x14ac:dyDescent="0.3">
      <c r="A48" s="146"/>
      <c r="B48" s="138"/>
      <c r="C48" s="135"/>
      <c r="D48" s="157"/>
      <c r="E48" s="191"/>
      <c r="F48" s="184"/>
      <c r="G48" s="126"/>
    </row>
    <row r="49" spans="1:13" customFormat="1" ht="15" customHeight="1" x14ac:dyDescent="0.3">
      <c r="A49" s="146"/>
      <c r="B49" s="138"/>
      <c r="C49" s="135"/>
      <c r="D49" s="157"/>
      <c r="E49" s="191"/>
      <c r="F49" s="184"/>
      <c r="G49" s="126"/>
    </row>
    <row r="50" spans="1:13" customFormat="1" ht="15" customHeight="1" x14ac:dyDescent="0.3">
      <c r="A50" s="146"/>
      <c r="B50" s="138"/>
      <c r="C50" s="135"/>
      <c r="D50" s="157"/>
      <c r="E50" s="191"/>
      <c r="F50" s="184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9">
        <f>IF($C$46=0,Lookup!$U$1,0)</f>
        <v>-0.05</v>
      </c>
      <c r="E51" s="192"/>
      <c r="F51" s="185">
        <f>ROUND(C43*D51,0)</f>
        <v>-3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>
        <f>IF($C$46&gt;0,10%,0)</f>
        <v>0</v>
      </c>
      <c r="E52" s="182"/>
      <c r="F52" s="186">
        <f>ROUND(C43*D52,0)</f>
        <v>0</v>
      </c>
      <c r="G52" s="126"/>
    </row>
    <row r="53" spans="1:13" customFormat="1" ht="15" thickBot="1" x14ac:dyDescent="0.35">
      <c r="A53" s="146"/>
      <c r="B53" s="120"/>
      <c r="C53" s="119"/>
      <c r="D53" s="119"/>
      <c r="E53" s="121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21"/>
      <c r="F54" s="129"/>
      <c r="G54" s="126"/>
    </row>
    <row r="55" spans="1:13" ht="16.2" thickBot="1" x14ac:dyDescent="0.35">
      <c r="A55" s="146"/>
      <c r="B55" s="229" t="str">
        <f>"Calculated Premium For All Locations ( Total Locations : "&amp;C1 &amp;" )"</f>
        <v>Calculated Premium For All Locations ( Total Locations : 1 )</v>
      </c>
      <c r="C55" s="230"/>
      <c r="D55" s="230"/>
      <c r="E55" s="230"/>
      <c r="F55" s="137">
        <f>SUM(40:40)+SUM(F44:F52)</f>
        <v>209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31" t="s">
        <v>45</v>
      </c>
      <c r="C56" s="232"/>
      <c r="D56" s="230"/>
      <c r="E56" s="230"/>
      <c r="F56" s="90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500</v>
      </c>
      <c r="G56" s="126"/>
    </row>
    <row r="57" spans="1:13" ht="15.6" x14ac:dyDescent="0.3">
      <c r="A57" s="146"/>
      <c r="B57" s="165"/>
      <c r="C57" s="166" t="s">
        <v>141</v>
      </c>
      <c r="D57" s="159" t="s">
        <v>36</v>
      </c>
      <c r="E57" s="159" t="s">
        <v>142</v>
      </c>
      <c r="F57" s="167"/>
      <c r="G57" s="126"/>
    </row>
    <row r="58" spans="1:13" ht="15.6" x14ac:dyDescent="0.3">
      <c r="A58" s="146"/>
      <c r="B58" s="165" t="s">
        <v>146</v>
      </c>
      <c r="C58" s="170" t="s">
        <v>144</v>
      </c>
      <c r="D58" s="159" t="str">
        <f>C58</f>
        <v>%</v>
      </c>
      <c r="E58" s="159" t="s">
        <v>145</v>
      </c>
      <c r="F58" s="167"/>
      <c r="G58" s="126"/>
    </row>
    <row r="59" spans="1:13" ht="15.6" x14ac:dyDescent="0.3">
      <c r="A59" s="146"/>
      <c r="B59" s="46" t="s">
        <v>140</v>
      </c>
      <c r="C59" s="168">
        <v>0</v>
      </c>
      <c r="D59" s="168">
        <v>0</v>
      </c>
      <c r="E59" s="171">
        <f>ROUND(IF($C$58="%",(($F$56*$C$59)/100)+(($F$56*$D$59)/100),$C$59+$D$59),0)</f>
        <v>0</v>
      </c>
      <c r="F59" s="78">
        <f>ROUND(IF(AND(OR($C$6="HO4",$C$6="HO6"),($F$56+$E$59)&lt;Lookup!$BE$4),Lookup!$BE$4,
IF(AND(Rater!$C$8="12 month",($F$56+$E$59)&lt;Lookup!$BE$3,AND($C$6&lt;&gt;"HO4",$C$6&lt;&gt;"HO6")),Lookup!$BE$3,
IF(AND(OR($C$8="3 month",$C$8="6 month",$C$8="9 month"),($F$56+$E$59) &lt;Lookup!$BE$2,AND($C$6&lt;&gt;"HO4",$C$6&lt;&gt;"HO6")),Lookup!$BE$2, $F$56+$E$59))),0)</f>
        <v>500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1">
        <f>IF($C$60=Lookup!$BG$21,VLOOKUP($C$61,Lookup!$BH$3:$BI$7,2,FALSE),IF($C$60 = "Not Required",0,VLOOKUP($C$61,Lookup!$BH$10:$BI$14,2,FALSE)))</f>
        <v>85</v>
      </c>
      <c r="G61" s="126"/>
    </row>
    <row r="62" spans="1:13" x14ac:dyDescent="0.3">
      <c r="A62" s="146"/>
      <c r="B62" s="222" t="s">
        <v>52</v>
      </c>
      <c r="C62" s="223"/>
      <c r="D62" s="119"/>
      <c r="E62" s="134"/>
      <c r="F62" s="161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85</v>
      </c>
      <c r="G62" s="126"/>
    </row>
    <row r="63" spans="1:13" x14ac:dyDescent="0.3">
      <c r="A63" s="146"/>
      <c r="B63" s="224" t="s">
        <v>53</v>
      </c>
      <c r="C63" s="225"/>
      <c r="D63" s="119"/>
      <c r="E63" s="158"/>
      <c r="F63" s="161">
        <f>$F$59*0.03</f>
        <v>15</v>
      </c>
      <c r="G63" s="126"/>
    </row>
    <row r="64" spans="1:13" ht="15" thickBot="1" x14ac:dyDescent="0.35">
      <c r="A64" s="146"/>
      <c r="B64" s="138"/>
      <c r="C64" s="119"/>
      <c r="D64" s="119"/>
      <c r="E64" s="160"/>
      <c r="F64" s="126"/>
      <c r="G64" s="126"/>
    </row>
    <row r="65" spans="1:7" ht="18.600000000000001" thickBot="1" x14ac:dyDescent="0.35">
      <c r="A65" s="146"/>
      <c r="B65" s="226" t="s">
        <v>54</v>
      </c>
      <c r="C65" s="227"/>
      <c r="D65" s="227"/>
      <c r="E65" s="228"/>
      <c r="F65" s="91">
        <f>$F$59+$F$61+$F$62+$F$63</f>
        <v>685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1">
    <mergeCell ref="C14:D14"/>
    <mergeCell ref="B40:E40"/>
    <mergeCell ref="C43:F43"/>
    <mergeCell ref="C32:F32"/>
    <mergeCell ref="B21:C21"/>
    <mergeCell ref="C31:F31"/>
    <mergeCell ref="B62:C62"/>
    <mergeCell ref="B63:C63"/>
    <mergeCell ref="B65:E65"/>
    <mergeCell ref="B55:E55"/>
    <mergeCell ref="B56:E56"/>
  </mergeCells>
  <conditionalFormatting sqref="D28">
    <cfRule type="expression" dxfId="15" priority="1850">
      <formula>$D$28&lt;&gt;""</formula>
    </cfRule>
  </conditionalFormatting>
  <conditionalFormatting sqref="C12">
    <cfRule type="expression" dxfId="14" priority="1826">
      <formula>OR(C6="DP1",C6="DP3")</formula>
    </cfRule>
  </conditionalFormatting>
  <conditionalFormatting sqref="C10">
    <cfRule type="expression" dxfId="13" priority="1846">
      <formula>C6="HO4"</formula>
    </cfRule>
  </conditionalFormatting>
  <conditionalFormatting sqref="C11">
    <cfRule type="expression" dxfId="12" priority="1845">
      <formula>OR(C6="DP1",C6="DP3",C6="HO4")</formula>
    </cfRule>
  </conditionalFormatting>
  <conditionalFormatting sqref="C13">
    <cfRule type="expression" dxfId="11" priority="1825">
      <formula>OR(C6="DP1",C6="DP3")</formula>
    </cfRule>
  </conditionalFormatting>
  <conditionalFormatting sqref="D46">
    <cfRule type="expression" dxfId="10" priority="396">
      <formula>$D$46="Please Select"</formula>
    </cfRule>
  </conditionalFormatting>
  <conditionalFormatting sqref="D47">
    <cfRule type="expression" dxfId="9" priority="395">
      <formula>$D$47="Please Select"</formula>
    </cfRule>
  </conditionalFormatting>
  <conditionalFormatting sqref="D48">
    <cfRule type="expression" dxfId="8" priority="394">
      <formula>$D$48="Please Select"</formula>
    </cfRule>
  </conditionalFormatting>
  <conditionalFormatting sqref="D49">
    <cfRule type="expression" dxfId="7" priority="393">
      <formula>$D$49="Please Select"</formula>
    </cfRule>
  </conditionalFormatting>
  <conditionalFormatting sqref="D50:D52">
    <cfRule type="expression" dxfId="6" priority="392">
      <formula>$D$50="Please Select"</formula>
    </cfRule>
  </conditionalFormatting>
  <conditionalFormatting sqref="F30">
    <cfRule type="expression" dxfId="5" priority="281">
      <formula>$F$30="Resolve Error"</formula>
    </cfRule>
  </conditionalFormatting>
  <dataValidations count="5">
    <dataValidation type="list" allowBlank="1" showInputMessage="1" showErrorMessage="1" sqref="C18 C44" xr:uid="{00000000-0002-0000-0100-000000000000}">
      <formula1>"Yes,No"</formula1>
    </dataValidation>
    <dataValidation type="list" allowBlank="1" showInputMessage="1" showErrorMessage="1" sqref="C46" xr:uid="{00000000-0002-0000-0100-000001000000}">
      <formula1>"0,1,2,3,4,5"</formula1>
    </dataValidation>
    <dataValidation type="list" allowBlank="1" showInputMessage="1" showErrorMessage="1" sqref="C7" xr:uid="{00000000-0002-0000-0100-000002000000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00000000-0002-0000-0100-000003000000}">
      <formula1>0</formula1>
      <formula2>1000000</formula2>
    </dataValidation>
    <dataValidation type="whole" allowBlank="1" showInputMessage="1" showErrorMessage="1" sqref="D59" xr:uid="{00000000-0002-0000-0100-000004000000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</xm:sqref>
        </x14:dataValidation>
        <x14:dataValidation type="list" allowBlank="1" showInputMessage="1" showErrorMessage="1" xr:uid="{5A131722-4712-4A16-9A94-35556549445F}">
          <x14:formula1>
            <xm:f>Lookup!$A$15:$A$21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workbookViewId="0">
      <selection activeCell="D4" sqref="D4"/>
    </sheetView>
  </sheetViews>
  <sheetFormatPr defaultRowHeight="14.4" x14ac:dyDescent="0.3"/>
  <cols>
    <col min="1" max="2" width="35.44140625" bestFit="1" customWidth="1"/>
    <col min="3" max="3" width="33.33203125" bestFit="1" customWidth="1"/>
    <col min="4" max="4" width="36.44140625" bestFit="1" customWidth="1"/>
    <col min="20" max="20" width="50" customWidth="1"/>
    <col min="23" max="23" width="19.88671875" customWidth="1"/>
    <col min="26" max="26" width="16.6640625" bestFit="1" customWidth="1"/>
    <col min="29" max="29" width="11.5546875" bestFit="1" customWidth="1"/>
    <col min="31" max="31" width="15.33203125" bestFit="1" customWidth="1"/>
    <col min="32" max="32" width="9.33203125" bestFit="1" customWidth="1"/>
    <col min="33" max="33" width="17.33203125" bestFit="1" customWidth="1"/>
    <col min="44" max="44" width="12.5546875" bestFit="1" customWidth="1"/>
    <col min="50" max="50" width="11.5546875" bestFit="1" customWidth="1"/>
    <col min="53" max="53" width="14.5546875" customWidth="1"/>
    <col min="59" max="59" width="17.6640625" customWidth="1"/>
    <col min="60" max="60" width="28" customWidth="1"/>
    <col min="62" max="62" width="11.44140625" customWidth="1"/>
    <col min="64" max="64" width="17.44140625" bestFit="1" customWidth="1"/>
    <col min="65" max="65" width="17.44140625" customWidth="1"/>
    <col min="68" max="68" width="11" bestFit="1" customWidth="1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44" t="s">
        <v>59</v>
      </c>
      <c r="F1" s="244"/>
      <c r="G1" s="244"/>
      <c r="H1" s="244"/>
      <c r="I1" s="244"/>
      <c r="J1" s="244"/>
      <c r="K1" s="244"/>
      <c r="L1" s="244"/>
      <c r="M1" s="244"/>
      <c r="N1" s="244"/>
      <c r="O1" s="244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6" t="s">
        <v>73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>
        <f>ROUND(F6*0.4,2)</f>
        <v>0.17</v>
      </c>
      <c r="G3" s="7">
        <f t="shared" ref="G3:O3" si="0">ROUND(G6*0.4,2)</f>
        <v>0.17</v>
      </c>
      <c r="H3" s="7">
        <f t="shared" si="0"/>
        <v>0.17</v>
      </c>
      <c r="I3" s="7">
        <f t="shared" si="0"/>
        <v>0.17</v>
      </c>
      <c r="J3" s="7">
        <f t="shared" si="0"/>
        <v>0.17</v>
      </c>
      <c r="K3" s="7">
        <f t="shared" si="0"/>
        <v>0.17</v>
      </c>
      <c r="L3" s="7">
        <f t="shared" si="0"/>
        <v>0.19</v>
      </c>
      <c r="M3" s="7">
        <f t="shared" si="0"/>
        <v>0.21</v>
      </c>
      <c r="N3" s="7">
        <f t="shared" si="0"/>
        <v>0.23</v>
      </c>
      <c r="O3" s="7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3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>
        <f>ROUND(F6*0.6,2)</f>
        <v>0.26</v>
      </c>
      <c r="G4" s="7">
        <f t="shared" ref="G4:O4" si="1">ROUND(G6*0.6,2)</f>
        <v>0.26</v>
      </c>
      <c r="H4" s="7">
        <f t="shared" si="1"/>
        <v>0.26</v>
      </c>
      <c r="I4" s="7">
        <f t="shared" si="1"/>
        <v>0.26</v>
      </c>
      <c r="J4" s="7">
        <f t="shared" si="1"/>
        <v>0.26</v>
      </c>
      <c r="K4" s="7">
        <f t="shared" si="1"/>
        <v>0.26</v>
      </c>
      <c r="L4" s="7">
        <f t="shared" si="1"/>
        <v>0.28999999999999998</v>
      </c>
      <c r="M4" s="7">
        <f t="shared" si="1"/>
        <v>0.31</v>
      </c>
      <c r="N4" s="7">
        <f t="shared" si="1"/>
        <v>0.34</v>
      </c>
      <c r="O4" s="7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3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>
        <f>ROUND(F6*0.8,2)</f>
        <v>0.34</v>
      </c>
      <c r="G5" s="7">
        <f t="shared" ref="G5:O5" si="2">ROUND(G6*0.8,2)</f>
        <v>0.34</v>
      </c>
      <c r="H5" s="7">
        <f t="shared" si="2"/>
        <v>0.34</v>
      </c>
      <c r="I5" s="7">
        <f t="shared" si="2"/>
        <v>0.34</v>
      </c>
      <c r="J5" s="7">
        <f t="shared" si="2"/>
        <v>0.34</v>
      </c>
      <c r="K5" s="7">
        <f t="shared" si="2"/>
        <v>0.34</v>
      </c>
      <c r="L5" s="7">
        <f t="shared" si="2"/>
        <v>0.38</v>
      </c>
      <c r="M5" s="7">
        <f t="shared" si="2"/>
        <v>0.42</v>
      </c>
      <c r="N5" s="7">
        <f t="shared" si="2"/>
        <v>0.46</v>
      </c>
      <c r="O5" s="7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3">
        <v>0</v>
      </c>
      <c r="BT5" s="203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44" t="s">
        <v>115</v>
      </c>
      <c r="F9" s="244"/>
      <c r="G9" s="244"/>
      <c r="H9" s="244"/>
      <c r="I9" s="244"/>
      <c r="J9" s="244"/>
      <c r="K9" s="244"/>
      <c r="L9" s="244"/>
      <c r="M9" s="244"/>
      <c r="N9" s="244"/>
      <c r="O9" s="244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6" t="s">
        <v>73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6" t="s">
        <v>15</v>
      </c>
      <c r="M10" s="6" t="s">
        <v>74</v>
      </c>
      <c r="N10" s="6" t="s">
        <v>75</v>
      </c>
      <c r="O10" s="6" t="s">
        <v>76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>
        <f>ROUND(F14*0.4,2)</f>
        <v>0.18</v>
      </c>
      <c r="G11" s="7">
        <f t="shared" ref="G11:O11" si="5">ROUND(G14*0.4,2)</f>
        <v>0.18</v>
      </c>
      <c r="H11" s="7">
        <f t="shared" si="5"/>
        <v>0.18</v>
      </c>
      <c r="I11" s="7">
        <f t="shared" si="5"/>
        <v>0.18</v>
      </c>
      <c r="J11" s="7">
        <f t="shared" si="5"/>
        <v>0.18</v>
      </c>
      <c r="K11" s="7">
        <f t="shared" si="5"/>
        <v>0.18</v>
      </c>
      <c r="L11" s="7">
        <f t="shared" si="5"/>
        <v>0.2</v>
      </c>
      <c r="M11" s="7">
        <f t="shared" si="5"/>
        <v>0.22</v>
      </c>
      <c r="N11" s="7">
        <f t="shared" si="5"/>
        <v>0.24</v>
      </c>
      <c r="O11" s="7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>
        <f>ROUND(F14*0.6,2)</f>
        <v>0.27</v>
      </c>
      <c r="G12" s="7">
        <f t="shared" ref="G12:O12" si="6">ROUND(G14*0.6,2)</f>
        <v>0.27</v>
      </c>
      <c r="H12" s="7">
        <f t="shared" si="6"/>
        <v>0.27</v>
      </c>
      <c r="I12" s="7">
        <f t="shared" si="6"/>
        <v>0.27</v>
      </c>
      <c r="J12" s="7">
        <f t="shared" si="6"/>
        <v>0.27</v>
      </c>
      <c r="K12" s="7">
        <f t="shared" si="6"/>
        <v>0.27</v>
      </c>
      <c r="L12" s="7">
        <f t="shared" si="6"/>
        <v>0.3</v>
      </c>
      <c r="M12" s="7">
        <f t="shared" si="6"/>
        <v>0.33</v>
      </c>
      <c r="N12" s="7">
        <f t="shared" si="6"/>
        <v>0.36</v>
      </c>
      <c r="O12" s="7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>
        <f>ROUND(F14*0.8,2)</f>
        <v>0.36</v>
      </c>
      <c r="G13" s="7">
        <f t="shared" ref="G13:O13" si="7">ROUND(G14*0.8,2)</f>
        <v>0.36</v>
      </c>
      <c r="H13" s="7">
        <f t="shared" si="7"/>
        <v>0.36</v>
      </c>
      <c r="I13" s="7">
        <f t="shared" si="7"/>
        <v>0.36</v>
      </c>
      <c r="J13" s="7">
        <f t="shared" si="7"/>
        <v>0.36</v>
      </c>
      <c r="K13" s="7">
        <f t="shared" si="7"/>
        <v>0.36</v>
      </c>
      <c r="L13" s="7">
        <f t="shared" si="7"/>
        <v>0.4</v>
      </c>
      <c r="M13" s="7">
        <f t="shared" si="7"/>
        <v>0.44</v>
      </c>
      <c r="N13" s="7">
        <f t="shared" si="7"/>
        <v>0.48</v>
      </c>
      <c r="O13" s="7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>
        <f>VLOOKUP(BM13,BM3:BN7,2,FALSE)</f>
        <v>85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44" t="s">
        <v>102</v>
      </c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6" t="s">
        <v>73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6" t="s">
        <v>15</v>
      </c>
      <c r="M18" s="6" t="s">
        <v>74</v>
      </c>
      <c r="N18" s="6" t="s">
        <v>75</v>
      </c>
      <c r="O18" s="6" t="s">
        <v>76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>
        <f>ROUND(F22*0.4,2)</f>
        <v>0.24</v>
      </c>
      <c r="G19" s="7">
        <f t="shared" ref="G19:O19" si="8">ROUND(G22*0.4,2)</f>
        <v>0.24</v>
      </c>
      <c r="H19" s="7">
        <f t="shared" si="8"/>
        <v>0.24</v>
      </c>
      <c r="I19" s="7">
        <f t="shared" si="8"/>
        <v>0.24</v>
      </c>
      <c r="J19" s="7">
        <f t="shared" si="8"/>
        <v>0.24</v>
      </c>
      <c r="K19" s="7">
        <f t="shared" si="8"/>
        <v>0.24</v>
      </c>
      <c r="L19" s="7">
        <f t="shared" si="8"/>
        <v>0.26</v>
      </c>
      <c r="M19" s="7">
        <f t="shared" si="8"/>
        <v>0.28000000000000003</v>
      </c>
      <c r="N19" s="7">
        <f t="shared" si="8"/>
        <v>0.34</v>
      </c>
      <c r="O19" s="7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>
        <f>ROUND(F22*0.6,2)</f>
        <v>0.36</v>
      </c>
      <c r="G20" s="7">
        <f t="shared" ref="G20:O20" si="9">ROUND(G22*0.6,2)</f>
        <v>0.36</v>
      </c>
      <c r="H20" s="7">
        <f t="shared" si="9"/>
        <v>0.36</v>
      </c>
      <c r="I20" s="7">
        <f t="shared" si="9"/>
        <v>0.36</v>
      </c>
      <c r="J20" s="7">
        <f t="shared" si="9"/>
        <v>0.36</v>
      </c>
      <c r="K20" s="7">
        <f t="shared" si="9"/>
        <v>0.36</v>
      </c>
      <c r="L20" s="7">
        <f t="shared" si="9"/>
        <v>0.39</v>
      </c>
      <c r="M20" s="7">
        <f t="shared" si="9"/>
        <v>0.42</v>
      </c>
      <c r="N20" s="7">
        <f t="shared" si="9"/>
        <v>0.51</v>
      </c>
      <c r="O20" s="7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>
        <f>ROUND(F22*0.8,2)</f>
        <v>0.48</v>
      </c>
      <c r="G21" s="7">
        <f t="shared" ref="G21:O21" si="10">ROUND(G22*0.8,2)</f>
        <v>0.48</v>
      </c>
      <c r="H21" s="7">
        <f t="shared" si="10"/>
        <v>0.48</v>
      </c>
      <c r="I21" s="7">
        <f t="shared" si="10"/>
        <v>0.48</v>
      </c>
      <c r="J21" s="7">
        <f t="shared" si="10"/>
        <v>0.48</v>
      </c>
      <c r="K21" s="7">
        <f t="shared" si="10"/>
        <v>0.48</v>
      </c>
      <c r="L21" s="7">
        <f t="shared" si="10"/>
        <v>0.52</v>
      </c>
      <c r="M21" s="7">
        <f t="shared" si="10"/>
        <v>0.56000000000000005</v>
      </c>
      <c r="N21" s="7">
        <f t="shared" si="10"/>
        <v>0.68</v>
      </c>
      <c r="O21" s="7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44" t="s">
        <v>119</v>
      </c>
      <c r="F25" s="244"/>
      <c r="G25" s="244"/>
      <c r="H25" s="244"/>
      <c r="I25" s="244"/>
      <c r="J25" s="244"/>
      <c r="K25" s="244"/>
      <c r="L25" s="244"/>
      <c r="M25" s="244"/>
      <c r="N25" s="244"/>
      <c r="O25" s="244"/>
    </row>
    <row r="26" spans="1:59" x14ac:dyDescent="0.3">
      <c r="A26" s="37"/>
      <c r="B26" s="37"/>
      <c r="C26" s="37" t="s">
        <v>93</v>
      </c>
      <c r="E26" s="21" t="s">
        <v>72</v>
      </c>
      <c r="F26" s="6" t="s">
        <v>73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6" t="s">
        <v>15</v>
      </c>
      <c r="M26" s="6" t="s">
        <v>74</v>
      </c>
      <c r="N26" s="6" t="s">
        <v>75</v>
      </c>
      <c r="O26" s="6" t="s">
        <v>76</v>
      </c>
    </row>
    <row r="27" spans="1:59" x14ac:dyDescent="0.3">
      <c r="A27" s="37"/>
      <c r="B27" s="37"/>
      <c r="C27" s="37" t="s">
        <v>96</v>
      </c>
      <c r="E27" s="21" t="s">
        <v>90</v>
      </c>
      <c r="F27" s="7">
        <f>ROUND(F30*0.4,2)</f>
        <v>0.24</v>
      </c>
      <c r="G27" s="7">
        <f t="shared" ref="G27:O27" si="11">ROUND(G30*0.4,2)</f>
        <v>0.24</v>
      </c>
      <c r="H27" s="7">
        <f t="shared" si="11"/>
        <v>0.24</v>
      </c>
      <c r="I27" s="7">
        <f t="shared" si="11"/>
        <v>0.24</v>
      </c>
      <c r="J27" s="7">
        <f t="shared" si="11"/>
        <v>0.24</v>
      </c>
      <c r="K27" s="7">
        <f t="shared" si="11"/>
        <v>0.24</v>
      </c>
      <c r="L27" s="7">
        <f t="shared" si="11"/>
        <v>0.26</v>
      </c>
      <c r="M27" s="7">
        <f t="shared" si="11"/>
        <v>0.28000000000000003</v>
      </c>
      <c r="N27" s="7">
        <f t="shared" si="11"/>
        <v>0.34</v>
      </c>
      <c r="O27" s="7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>
        <f>ROUND(F30*0.6,2)</f>
        <v>0.36</v>
      </c>
      <c r="G28" s="7">
        <f t="shared" ref="G28:O28" si="12">ROUND(G30*0.6,2)</f>
        <v>0.36</v>
      </c>
      <c r="H28" s="7">
        <f t="shared" si="12"/>
        <v>0.36</v>
      </c>
      <c r="I28" s="7">
        <f t="shared" si="12"/>
        <v>0.36</v>
      </c>
      <c r="J28" s="7">
        <f t="shared" si="12"/>
        <v>0.36</v>
      </c>
      <c r="K28" s="7">
        <f t="shared" si="12"/>
        <v>0.36</v>
      </c>
      <c r="L28" s="7">
        <f t="shared" si="12"/>
        <v>0.39</v>
      </c>
      <c r="M28" s="7">
        <f t="shared" si="12"/>
        <v>0.42</v>
      </c>
      <c r="N28" s="7">
        <f t="shared" si="12"/>
        <v>0.51</v>
      </c>
      <c r="O28" s="7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>
        <f>ROUND(F30*0.8,2)</f>
        <v>0.48</v>
      </c>
      <c r="G29" s="7">
        <f t="shared" ref="G29:O29" si="13">ROUND(G30*0.8,2)</f>
        <v>0.48</v>
      </c>
      <c r="H29" s="7">
        <f t="shared" si="13"/>
        <v>0.48</v>
      </c>
      <c r="I29" s="7">
        <f t="shared" si="13"/>
        <v>0.48</v>
      </c>
      <c r="J29" s="7">
        <f t="shared" si="13"/>
        <v>0.48</v>
      </c>
      <c r="K29" s="7">
        <f t="shared" si="13"/>
        <v>0.48</v>
      </c>
      <c r="L29" s="7">
        <f t="shared" si="13"/>
        <v>0.52</v>
      </c>
      <c r="M29" s="7">
        <f t="shared" si="13"/>
        <v>0.56000000000000005</v>
      </c>
      <c r="N29" s="7">
        <f t="shared" si="13"/>
        <v>0.68</v>
      </c>
      <c r="O29" s="7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75A0-06C7-40B5-83C8-7EDD17A20834}">
  <dimension ref="A1:W13"/>
  <sheetViews>
    <sheetView tabSelected="1" workbookViewId="0">
      <selection activeCell="C1" sqref="C1"/>
    </sheetView>
  </sheetViews>
  <sheetFormatPr defaultRowHeight="14.4" x14ac:dyDescent="0.3"/>
  <cols>
    <col min="1" max="1" width="6.109375" customWidth="1"/>
    <col min="2" max="2" width="5.33203125" bestFit="1" customWidth="1"/>
    <col min="3" max="3" width="9.88671875" bestFit="1" customWidth="1"/>
    <col min="4" max="4" width="10.44140625" bestFit="1" customWidth="1"/>
    <col min="5" max="5" width="14.21875" bestFit="1" customWidth="1"/>
    <col min="6" max="8" width="10.21875" bestFit="1" customWidth="1"/>
    <col min="9" max="9" width="10.33203125" bestFit="1" customWidth="1"/>
    <col min="10" max="10" width="34.77734375" bestFit="1" customWidth="1"/>
    <col min="11" max="11" width="5" bestFit="1" customWidth="1"/>
    <col min="12" max="12" width="24.44140625" bestFit="1" customWidth="1"/>
    <col min="13" max="13" width="12.88671875" bestFit="1" customWidth="1"/>
    <col min="14" max="14" width="8.5546875" bestFit="1" customWidth="1"/>
    <col min="15" max="15" width="12.88671875" bestFit="1" customWidth="1"/>
    <col min="16" max="16" width="15.5546875" bestFit="1" customWidth="1"/>
    <col min="17" max="17" width="16.77734375" bestFit="1" customWidth="1"/>
    <col min="18" max="18" width="22.77734375" bestFit="1" customWidth="1"/>
    <col min="19" max="19" width="12.44140625" bestFit="1" customWidth="1"/>
    <col min="20" max="20" width="14.21875" bestFit="1" customWidth="1"/>
    <col min="21" max="21" width="11.6640625" bestFit="1" customWidth="1"/>
    <col min="22" max="22" width="12.77734375" bestFit="1" customWidth="1"/>
    <col min="23" max="23" width="18.77734375" bestFit="1" customWidth="1"/>
  </cols>
  <sheetData>
    <row r="1" spans="1:23" s="205" customFormat="1" ht="26.4" customHeight="1" thickBot="1" x14ac:dyDescent="0.35">
      <c r="A1" s="49" t="s">
        <v>6</v>
      </c>
      <c r="B1" s="50" t="s">
        <v>8</v>
      </c>
      <c r="C1" s="50" t="s">
        <v>10</v>
      </c>
      <c r="D1" s="50" t="s">
        <v>12</v>
      </c>
      <c r="E1" s="50" t="s">
        <v>14</v>
      </c>
      <c r="F1" s="50" t="s">
        <v>16</v>
      </c>
      <c r="G1" s="60" t="s">
        <v>17</v>
      </c>
      <c r="H1" s="60" t="s">
        <v>18</v>
      </c>
      <c r="I1" s="102" t="s">
        <v>19</v>
      </c>
      <c r="J1" s="50" t="s">
        <v>26</v>
      </c>
      <c r="K1" s="52" t="s">
        <v>29</v>
      </c>
      <c r="L1" s="115" t="s">
        <v>32</v>
      </c>
      <c r="M1" s="53" t="s">
        <v>34</v>
      </c>
      <c r="N1" s="54" t="s">
        <v>36</v>
      </c>
      <c r="O1" s="53" t="s">
        <v>39</v>
      </c>
      <c r="P1" s="51" t="s">
        <v>40</v>
      </c>
      <c r="Q1" s="51" t="s">
        <v>42</v>
      </c>
      <c r="R1" s="51" t="s">
        <v>43</v>
      </c>
      <c r="S1" s="52" t="s">
        <v>44</v>
      </c>
      <c r="T1" s="204" t="s">
        <v>20</v>
      </c>
      <c r="U1" s="108" t="s">
        <v>22</v>
      </c>
      <c r="V1" s="108" t="s">
        <v>46</v>
      </c>
      <c r="W1" s="108" t="s">
        <v>49</v>
      </c>
    </row>
    <row r="2" spans="1:23" s="205" customFormat="1" ht="26.4" customHeight="1" thickBot="1" x14ac:dyDescent="0.35">
      <c r="A2" s="207" t="s">
        <v>7</v>
      </c>
      <c r="B2" s="220" t="s">
        <v>69</v>
      </c>
      <c r="C2" s="208" t="s">
        <v>70</v>
      </c>
      <c r="D2" s="208" t="s">
        <v>100</v>
      </c>
      <c r="E2" s="208" t="s">
        <v>76</v>
      </c>
      <c r="F2" s="208">
        <v>10000</v>
      </c>
      <c r="G2" s="209">
        <v>1000</v>
      </c>
      <c r="H2" s="209">
        <v>5000</v>
      </c>
      <c r="I2" s="209">
        <v>1000</v>
      </c>
      <c r="J2" s="210" t="s">
        <v>21</v>
      </c>
      <c r="K2" s="211">
        <v>1000</v>
      </c>
      <c r="L2" s="212">
        <v>10</v>
      </c>
      <c r="M2" s="213" t="s">
        <v>108</v>
      </c>
      <c r="N2" s="214">
        <v>300000</v>
      </c>
      <c r="O2" s="213" t="s">
        <v>41</v>
      </c>
      <c r="P2" s="215" t="s">
        <v>27</v>
      </c>
      <c r="Q2" s="215">
        <v>0</v>
      </c>
      <c r="R2" s="215" t="s">
        <v>41</v>
      </c>
      <c r="S2" s="216" t="s">
        <v>77</v>
      </c>
      <c r="T2" s="217" t="s">
        <v>21</v>
      </c>
      <c r="U2" s="218">
        <v>0</v>
      </c>
      <c r="V2" s="219" t="s">
        <v>47</v>
      </c>
      <c r="W2" s="219" t="s">
        <v>51</v>
      </c>
    </row>
    <row r="3" spans="1:23" ht="15" thickBot="1" x14ac:dyDescent="0.35">
      <c r="A3" s="72" t="s">
        <v>7</v>
      </c>
      <c r="B3" s="98" t="s">
        <v>69</v>
      </c>
      <c r="C3" s="75" t="s">
        <v>70</v>
      </c>
      <c r="D3" s="75" t="s">
        <v>100</v>
      </c>
      <c r="E3" s="75" t="s">
        <v>76</v>
      </c>
      <c r="F3" s="76">
        <v>10000</v>
      </c>
      <c r="G3" s="95">
        <v>1000</v>
      </c>
      <c r="H3" s="95">
        <v>5000</v>
      </c>
      <c r="I3" s="95">
        <v>1000</v>
      </c>
      <c r="J3" s="95" t="s">
        <v>21</v>
      </c>
      <c r="K3">
        <v>1000</v>
      </c>
      <c r="L3" s="116">
        <v>10</v>
      </c>
      <c r="M3" s="72" t="s">
        <v>108</v>
      </c>
      <c r="N3" s="76">
        <v>300000</v>
      </c>
      <c r="O3" s="87" t="s">
        <v>41</v>
      </c>
      <c r="P3" s="76" t="s">
        <v>27</v>
      </c>
      <c r="Q3" s="76">
        <v>0</v>
      </c>
      <c r="R3" s="82" t="s">
        <v>41</v>
      </c>
      <c r="S3" s="88" t="s">
        <v>77</v>
      </c>
      <c r="T3" s="206" t="s">
        <v>21</v>
      </c>
      <c r="U3">
        <v>0</v>
      </c>
      <c r="V3" s="112" t="s">
        <v>47</v>
      </c>
      <c r="W3" s="112" t="s">
        <v>51</v>
      </c>
    </row>
    <row r="13" spans="1:23" x14ac:dyDescent="0.3">
      <c r="E13" t="s">
        <v>161</v>
      </c>
    </row>
  </sheetData>
  <conditionalFormatting sqref="H3">
    <cfRule type="expression" dxfId="4" priority="2">
      <formula>OR(H1048573="DP1",H1048573="DP3")</formula>
    </cfRule>
  </conditionalFormatting>
  <conditionalFormatting sqref="F3">
    <cfRule type="expression" dxfId="3" priority="4">
      <formula>F1048575="HO4"</formula>
    </cfRule>
  </conditionalFormatting>
  <conditionalFormatting sqref="G3">
    <cfRule type="expression" dxfId="2" priority="3">
      <formula>OR(G1048574="DP1",G1048574="DP3",G1048574="HO4")</formula>
    </cfRule>
  </conditionalFormatting>
  <conditionalFormatting sqref="J3">
    <cfRule type="expression" dxfId="1" priority="5">
      <formula>OR(J1048572="DP1",J1048572="DP3")</formula>
    </cfRule>
  </conditionalFormatting>
  <conditionalFormatting sqref="I3">
    <cfRule type="expression" dxfId="0" priority="1">
      <formula>OR(I1048572="DP1",I1048572="DP3")</formula>
    </cfRule>
  </conditionalFormatting>
  <dataValidations count="1">
    <dataValidation type="list" allowBlank="1" showInputMessage="1" showErrorMessage="1" sqref="C3" xr:uid="{9AAD48D0-C15C-4488-90A1-64A17BCE0E08}">
      <formula1>IF($C$7="HO1",_HO1,IF($C$7="HO3",_HO3,IF($C$7="HO4",_HO4,IF($C$7="HO6",_HO6,IF($C$7="HO8",_HO8,IF($C$7="DP1",_DP1,IF($C$7="DP3",_DP3)))))))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AD85450-4491-4077-BFEF-BF057C4FC671}">
          <x14:formula1>
            <xm:f>Lookup!$F$2:$O$2</xm:f>
          </x14:formula1>
          <xm:sqref>E3</xm:sqref>
        </x14:dataValidation>
        <x14:dataValidation type="list" allowBlank="1" showInputMessage="1" showErrorMessage="1" xr:uid="{368E5009-10DB-46C5-B510-46A48D0B43C7}">
          <x14:formula1>
            <xm:f>Lookup!$E$3:$E$6</xm:f>
          </x14:formula1>
          <xm:sqref>D3</xm:sqref>
        </x14:dataValidation>
        <x14:dataValidation type="list" allowBlank="1" showInputMessage="1" showErrorMessage="1" xr:uid="{12340625-B52A-4B22-907F-BA0DF1E64FC1}">
          <x14:formula1>
            <xm:f>Lookup!$A$15:$A$21</xm:f>
          </x14:formula1>
          <xm:sqref>B3</xm:sqref>
        </x14:dataValidation>
        <x14:dataValidation type="list" allowBlank="1" showInputMessage="1" showErrorMessage="1" xr:uid="{A438C3DA-96D4-4671-A80F-0A453F5628AA}">
          <x14:formula1>
            <xm:f>IF(OR(M1048558="Owner - Builder Risk",M1048558="Owner - Building Under Reno",M1048558="Vacant",M1048558="Vacant - Builders Risk",M1048558="Vacant - Building Under Reno"),Lookup!$D$54,Lookup!$D$54:$D$57)</xm:f>
          </x14:formula1>
          <xm:sqref>M3</xm:sqref>
        </x14:dataValidation>
        <x14:dataValidation type="list" allowBlank="1" showInputMessage="1" showErrorMessage="1" xr:uid="{7D637AAB-F17D-462F-9628-7EBE5118F071}">
          <x14:formula1>
            <xm:f>Lookup!$AE$2:$AE$6</xm:f>
          </x14:formula1>
          <xm:sqref>N3</xm:sqref>
        </x14:dataValidation>
        <x14:dataValidation type="list" allowBlank="1" showInputMessage="1" showErrorMessage="1" xr:uid="{451BE96B-4267-43ED-BE87-D32326ED1D52}">
          <x14:formula1>
            <xm:f>IF(OR(S1048547="DP1",S1048547="DP3"),Lookup!$AY$9,Lookup!$BA$2:$BA$6)</xm:f>
          </x14:formula1>
          <xm:sqref>S3</xm:sqref>
        </x14:dataValidation>
        <x14:dataValidation type="list" allowBlank="1" showInputMessage="1" showErrorMessage="1" xr:uid="{870F7F6B-A6ED-4F86-BCCC-C24B1D4044D5}">
          <x14:formula1>
            <xm:f>IF(COUNTIF(TheftCoverage,R1048549),Lookup!$A$72:$A$73,Lookup!$A$74)</xm:f>
          </x14:formula1>
          <xm:sqref>R3</xm:sqref>
        </x14:dataValidation>
        <x14:dataValidation type="list" allowBlank="1" showInputMessage="1" showErrorMessage="1" xr:uid="{E3D6F0A3-4DC3-4593-B266-059DD5D7D967}">
          <x14:formula1>
            <xm:f>IF(OR(P1048550="HO1",P1048550="HO3",P1048550="HO6",P1048550="HO4",P1048550="HO8"),Lookup!$A$72:$A$73,Lookup!$A$74)</xm:f>
          </x14:formula1>
          <xm:sqref>P3</xm:sqref>
        </x14:dataValidation>
        <x14:dataValidation type="list" allowBlank="1" showInputMessage="1" showErrorMessage="1" xr:uid="{9B191D4F-9728-40C5-BFB3-85B1C6DFE736}">
          <x14:formula1>
            <xm:f>IF(O1048551="HO6",Lookup!$AX$2:$AX$6,Lookup!$AX$8)</xm:f>
          </x14:formula1>
          <xm:sqref>O3</xm:sqref>
        </x14:dataValidation>
        <x14:dataValidation type="list" allowBlank="1" showInputMessage="1" showErrorMessage="1" xr:uid="{635DEC6C-8425-4084-A04E-24B31D289FA2}">
          <x14:formula1>
            <xm:f>Lookup!$BG$21:$BG$23</xm:f>
          </x14:formula1>
          <xm:sqref>V3</xm:sqref>
        </x14:dataValidation>
        <x14:dataValidation type="list" allowBlank="1" showInputMessage="1" showErrorMessage="1" xr:uid="{E6CC50B1-6818-4233-BA68-50CAD52D9CC4}">
          <x14:formula1>
            <xm:f>IF($C$61=Lookup!$BG$21,Lookup!$BH$3:$BH$7,IF($C$61 = "Not Required",Lookup!$BG$24,Lookup!$BH$10:$BH$14))</xm:f>
          </x14:formula1>
          <xm:sqref>W3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General</vt:lpstr>
      <vt:lpstr>Rater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Wood</dc:creator>
  <cp:keywords/>
  <dc:description/>
  <cp:lastModifiedBy>Pratik Nishi</cp:lastModifiedBy>
  <cp:revision/>
  <dcterms:created xsi:type="dcterms:W3CDTF">2021-06-11T19:19:50Z</dcterms:created>
  <dcterms:modified xsi:type="dcterms:W3CDTF">2021-10-28T06:27:32Z</dcterms:modified>
  <cp:category/>
  <cp:contentStatus/>
</cp:coreProperties>
</file>