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 autoCompressPictures="0"/>
  <mc:AlternateContent>
    <mc:Choice Requires="x15">
      <x15ac:absPath xmlns:x15ac="http://schemas.microsoft.com/office/spreadsheetml/2010/11/ac" url="C:\Users\Dell\Downloads\Updated\NEEE\src\test\resources\Manual Rater\"/>
    </mc:Choice>
  </mc:AlternateContent>
  <xr:revisionPtr revIDLastSave="0" documentId="13_ncr:1_{88707F4C-4CC7-411A-84E5-A80299737D67}" xr6:coauthVersionLast="47" xr6:coauthVersionMax="47" xr10:uidLastSave="{00000000-0000-0000-0000-000000000000}"/>
  <bookViews>
    <workbookView xWindow="-108" yWindow="-108" windowWidth="23256" windowHeight="12456" tabRatio="727" activeTab="4" xr2:uid="{00000000-000D-0000-FFFF-FFFF00000000}"/>
  </bookViews>
  <sheets>
    <sheet name="General" sheetId="13" r:id="rId1"/>
    <sheet name="Rater" sheetId="11" r:id="rId2"/>
    <sheet name="Reference" sheetId="15" r:id="rId3"/>
    <sheet name="Lookup" sheetId="12" r:id="rId4"/>
    <sheet name="Mappings" sheetId="14" r:id="rId5"/>
  </sheets>
  <definedNames>
    <definedName name="_DP1">Lookup!$B$54:$B$69</definedName>
    <definedName name="_DP3">Lookup!$C$54:$C$69</definedName>
    <definedName name="_HO1">Lookup!$A$37:$A$49</definedName>
    <definedName name="_HO3">Lookup!$B$37:$B$49</definedName>
    <definedName name="_HO4">Lookup!$C$37</definedName>
    <definedName name="_HO6">Lookup!$D$37:$D$45</definedName>
    <definedName name="_HO8">Lookup!$A$54:$A$66</definedName>
    <definedName name="Form_1">Lookup!$A$2:$A$6</definedName>
    <definedName name="Form_2">Lookup!$B$2:$B$3</definedName>
    <definedName name="Liab">Rater!$D$46:$D$50</definedName>
    <definedName name="LiabilityCheck">Lookup!$B$85:$B$88</definedName>
    <definedName name="LiabilityType">Lookup!$B$81:$B$88</definedName>
    <definedName name="Occupancy_1">Lookup!$C$2:$C$10</definedName>
    <definedName name="Occupancy_2">Lookup!$D$2:$D$8</definedName>
    <definedName name="Table1">Lookup!$AG$9:$AO$24</definedName>
    <definedName name="TheftCoverage">Lookup!$A$81:$A$86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1" l="1"/>
  <c r="C9" i="11"/>
  <c r="C28" i="11"/>
  <c r="C6" i="11"/>
  <c r="C10" i="11"/>
  <c r="C61" i="11"/>
  <c r="C46" i="11"/>
  <c r="C44" i="11"/>
  <c r="C38" i="11"/>
  <c r="C36" i="11"/>
  <c r="C29" i="11"/>
  <c r="C30" i="11" s="1"/>
  <c r="C25" i="11"/>
  <c r="C20" i="11"/>
  <c r="C18" i="11"/>
  <c r="C13" i="11"/>
  <c r="C12" i="11"/>
  <c r="C11" i="11"/>
  <c r="C8" i="11"/>
  <c r="C5" i="11"/>
  <c r="D58" i="11" l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F38" i="11" l="1"/>
  <c r="F34" i="11"/>
  <c r="D11" i="11"/>
  <c r="F36" i="11"/>
  <c r="F35" i="11"/>
  <c r="F61" i="11"/>
  <c r="D12" i="11"/>
  <c r="D13" i="11"/>
  <c r="D44" i="11"/>
  <c r="C52" i="11"/>
  <c r="B43" i="11"/>
  <c r="D52" i="11"/>
  <c r="D51" i="11"/>
  <c r="C32" i="11"/>
  <c r="C51" i="11"/>
  <c r="C31" i="11" l="1"/>
  <c r="C17" i="11" l="1"/>
  <c r="E17" i="11" s="1"/>
  <c r="D30" i="11"/>
  <c r="D29" i="11"/>
  <c r="AT44" i="12"/>
  <c r="AT45" i="12"/>
  <c r="AG44" i="12"/>
  <c r="AG45" i="12"/>
  <c r="B55" i="11"/>
  <c r="C3" i="11"/>
  <c r="E18" i="11"/>
  <c r="E20" i="11"/>
  <c r="E25" i="11"/>
  <c r="F25" i="11" s="1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E10" i="11"/>
  <c r="F11" i="11" s="1"/>
  <c r="F10" i="11" l="1"/>
  <c r="F13" i="11"/>
  <c r="F12" i="11"/>
  <c r="C19" i="11"/>
  <c r="E19" i="11" s="1"/>
  <c r="E21" i="11" s="1"/>
  <c r="F15" i="11" l="1"/>
  <c r="C43" i="11" s="1"/>
  <c r="E30" i="11"/>
  <c r="F30" i="11" s="1"/>
  <c r="F17" i="11" l="1"/>
  <c r="F20" i="11"/>
  <c r="F18" i="11"/>
  <c r="F21" i="11"/>
  <c r="F19" i="11"/>
  <c r="F37" i="11"/>
  <c r="F51" i="11"/>
  <c r="F44" i="11"/>
  <c r="F52" i="11"/>
  <c r="F40" i="11" l="1"/>
  <c r="F55" i="11" s="1"/>
  <c r="F56" i="11" l="1"/>
  <c r="A5" i="14" l="1"/>
  <c r="E59" i="11"/>
  <c r="F59" i="11" s="1"/>
  <c r="F63" i="11" s="1"/>
  <c r="F62" i="11" l="1"/>
  <c r="F64" i="11" s="1"/>
  <c r="A6" i="14" l="1"/>
  <c r="F65" i="11"/>
  <c r="A7" i="14" l="1"/>
</calcChain>
</file>

<file path=xl/sharedStrings.xml><?xml version="1.0" encoding="utf-8"?>
<sst xmlns="http://schemas.openxmlformats.org/spreadsheetml/2006/main" count="764" uniqueCount="187">
  <si>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</si>
  <si>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</si>
  <si>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</si>
  <si>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</si>
  <si>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</si>
  <si>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</si>
  <si>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</si>
  <si>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</si>
  <si>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</si>
  <si>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</si>
  <si>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</si>
  <si>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</si>
  <si>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</si>
  <si>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</si>
  <si>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</si>
  <si>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</si>
  <si>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</si>
  <si>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</si>
  <si>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</si>
  <si>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</si>
  <si>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</si>
  <si>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</si>
  <si>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</si>
  <si>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</si>
  <si>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</si>
  <si>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</si>
  <si>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</si>
  <si>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</si>
  <si>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</si>
  <si>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</si>
  <si>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</si>
  <si>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</si>
  <si>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</si>
  <si>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</si>
  <si>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</si>
  <si>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</si>
  <si>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</si>
  <si>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</si>
  <si>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</si>
  <si>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</si>
  <si>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</si>
  <si>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</si>
  <si>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</si>
  <si>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</si>
  <si>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</si>
  <si>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</si>
  <si>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</si>
  <si>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</si>
  <si>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</si>
  <si>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</si>
  <si>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</si>
  <si>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</si>
  <si>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</si>
  <si>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</si>
  <si>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</si>
  <si>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</si>
  <si>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</si>
  <si>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</si>
  <si>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</si>
  <si>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</si>
  <si>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</si>
  <si>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</si>
  <si>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</si>
  <si>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</si>
  <si>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</si>
  <si>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</si>
  <si>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</si>
  <si>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</si>
  <si>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</si>
  <si>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</si>
  <si>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</si>
  <si>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</si>
  <si>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</si>
  <si>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</si>
  <si>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</si>
  <si>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</si>
  <si>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</si>
  <si>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</si>
  <si>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</si>
  <si>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</si>
  <si>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</si>
  <si>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</si>
  <si>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</si>
  <si>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</si>
  <si>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</si>
  <si>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</si>
  <si>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</si>
  <si>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</si>
  <si>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</si>
  <si>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</si>
  <si>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</si>
  <si>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</si>
  <si>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</si>
  <si>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</si>
  <si>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</si>
  <si>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</si>
  <si>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</si>
  <si>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</si>
  <si>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</si>
  <si>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</si>
  <si>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</si>
  <si>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</si>
  <si>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</si>
  <si>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</si>
  <si>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</si>
  <si>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</si>
  <si>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</si>
  <si>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</si>
  <si>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</si>
  <si>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</si>
  <si>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</si>
  <si>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</si>
  <si>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</si>
  <si>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</si>
  <si>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</si>
  <si>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</si>
  <si>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</si>
  <si>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</si>
  <si>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</si>
  <si>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</si>
  <si>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</si>
  <si>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</si>
  <si>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</si>
  <si>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</si>
  <si>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</si>
  <si>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</si>
  <si>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</si>
  <si>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</si>
  <si>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</si>
  <si>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</si>
  <si>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</si>
  <si>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</si>
  <si>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</si>
  <si>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</si>
  <si>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</si>
  <si>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</si>
  <si>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</si>
  <si>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</si>
  <si>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</si>
  <si>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</si>
  <si>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</si>
  <si>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</si>
  <si>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</si>
  <si>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</si>
  <si>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</si>
  <si>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</si>
  <si>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</si>
  <si>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</si>
  <si>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</si>
  <si>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</si>
  <si>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</si>
  <si>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</si>
  <si>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</si>
  <si>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</si>
  <si>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</si>
  <si>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</si>
  <si>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</si>
  <si>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</si>
  <si>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</si>
  <si>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</si>
  <si>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`</t>
  </si>
  <si>
    <t/>
  </si>
  <si>
    <t>12 Months</t>
  </si>
  <si>
    <t>Form Type</t>
  </si>
  <si>
    <t>Prot Class</t>
  </si>
  <si>
    <t>3 Months</t>
  </si>
  <si>
    <t>6 Months</t>
  </si>
  <si>
    <t>9 Months</t>
  </si>
  <si>
    <t>Cov E</t>
  </si>
  <si>
    <t>2</t>
  </si>
  <si>
    <t>3</t>
  </si>
  <si>
    <t>4</t>
  </si>
  <si>
    <t>5</t>
  </si>
  <si>
    <t>6</t>
  </si>
  <si>
    <t>High value reports up to $4M</t>
  </si>
  <si>
    <t>Prot Class1</t>
  </si>
  <si>
    <t>Coverage A1</t>
  </si>
  <si>
    <t>Coverage B1</t>
  </si>
  <si>
    <t>Coverage C1</t>
  </si>
  <si>
    <t>Coverage D1</t>
  </si>
  <si>
    <t>Central Station Burglar and/or Fire Credit1</t>
  </si>
  <si>
    <t>AOP1</t>
  </si>
  <si>
    <t>No Of Acres1</t>
  </si>
  <si>
    <t>No Of Families1</t>
  </si>
  <si>
    <t>Coverage E1</t>
  </si>
  <si>
    <t>RC on Coverage C1</t>
  </si>
  <si>
    <t>Water Backup1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</si>
</sst>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&quot;$&quot;#,##0.00"/>
    <numFmt numFmtId="169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4">
    <xf numFmtId="0" fontId="0" fillId="0" borderId="0"/>
    <xf numFmtId="167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6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166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9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9" fontId="7" fillId="0" borderId="0" xfId="0" applyNumberFormat="1" applyFont="1" applyFill="1" applyBorder="1" applyAlignment="1" applyProtection="1">
      <alignment horizontal="center"/>
    </xf>
    <xf numFmtId="166" fontId="7" fillId="0" borderId="0" xfId="0" applyNumberFormat="1" applyFont="1" applyFill="1" applyBorder="1" applyAlignment="1" applyProtection="1">
      <alignment horizontal="center"/>
    </xf>
    <xf numFmtId="168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164" fontId="0" fillId="0" borderId="1" xfId="1" applyNumberFormat="1" applyFont="1" applyBorder="1" applyAlignment="1">
      <alignment horizontal="center" wrapText="1"/>
    </xf>
    <xf numFmtId="164" fontId="2" fillId="0" borderId="1" xfId="1" applyNumberFormat="1" applyFont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9" fontId="0" fillId="0" borderId="0" xfId="0" applyNumberFormat="1"/>
    <xf numFmtId="9" fontId="0" fillId="0" borderId="0" xfId="0" applyNumberFormat="1"/>
    <xf numFmtId="165" fontId="6" fillId="0" borderId="0" xfId="0" applyNumberFormat="1" applyFont="1" applyFill="1" applyBorder="1" applyAlignment="1" applyProtection="1"/>
    <xf numFmtId="165" fontId="5" fillId="0" borderId="0" xfId="0" applyNumberFormat="1" applyFont="1" applyBorder="1" applyAlignment="1"/>
    <xf numFmtId="169" fontId="0" fillId="0" borderId="0" xfId="1" applyNumberFormat="1" applyFont="1"/>
    <xf numFmtId="0" fontId="0" fillId="0" borderId="0" xfId="0" applyNumberFormat="1" applyAlignment="1">
      <alignment horizontal="left"/>
    </xf>
    <xf numFmtId="165" fontId="0" fillId="0" borderId="1" xfId="0" applyNumberFormat="1" applyBorder="1"/>
    <xf numFmtId="169" fontId="0" fillId="0" borderId="1" xfId="0" applyNumberFormat="1" applyBorder="1"/>
    <xf numFmtId="0" fontId="3" fillId="0" borderId="16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30" xfId="0" applyFont="1" applyFill="1" applyBorder="1" applyAlignment="1">
      <alignment vertical="top" wrapText="1"/>
    </xf>
    <xf numFmtId="0" fontId="3" fillId="0" borderId="28" xfId="0" applyFont="1" applyFill="1" applyBorder="1" applyAlignment="1">
      <alignment vertical="top"/>
    </xf>
    <xf numFmtId="0" fontId="3" fillId="0" borderId="29" xfId="0" applyFont="1" applyFill="1" applyBorder="1" applyAlignment="1">
      <alignment vertical="top"/>
    </xf>
    <xf numFmtId="0" fontId="3" fillId="0" borderId="30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165" fontId="0" fillId="0" borderId="0" xfId="0" applyNumberFormat="1"/>
    <xf numFmtId="0" fontId="3" fillId="0" borderId="29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8" xfId="0" applyFont="1" applyBorder="1" applyAlignment="1">
      <alignment vertical="top"/>
    </xf>
    <xf numFmtId="0" fontId="3" fillId="4" borderId="27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9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9" fontId="10" fillId="0" borderId="18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9" fontId="10" fillId="0" borderId="0" xfId="0" applyNumberFormat="1" applyFont="1" applyBorder="1" applyAlignment="1">
      <alignment vertical="top"/>
    </xf>
    <xf numFmtId="0" fontId="10" fillId="2" borderId="21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9" fontId="10" fillId="0" borderId="20" xfId="0" applyNumberFormat="1" applyFont="1" applyBorder="1" applyAlignment="1">
      <alignment vertical="top"/>
    </xf>
    <xf numFmtId="168" fontId="3" fillId="0" borderId="24" xfId="1" applyNumberFormat="1" applyFont="1" applyBorder="1" applyAlignment="1">
      <alignment horizontal="center" vertical="top"/>
    </xf>
    <xf numFmtId="169" fontId="10" fillId="0" borderId="25" xfId="0" applyNumberFormat="1" applyFont="1" applyBorder="1" applyAlignment="1">
      <alignment vertical="top"/>
    </xf>
    <xf numFmtId="169" fontId="3" fillId="4" borderId="27" xfId="0" applyNumberFormat="1" applyFont="1" applyFill="1" applyBorder="1" applyAlignment="1">
      <alignment horizontal="left" vertical="top"/>
    </xf>
    <xf numFmtId="169" fontId="3" fillId="4" borderId="22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9" fontId="10" fillId="0" borderId="26" xfId="0" applyNumberFormat="1" applyFont="1" applyBorder="1" applyAlignment="1">
      <alignment vertical="top"/>
    </xf>
    <xf numFmtId="168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7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9" fontId="3" fillId="4" borderId="5" xfId="0" applyNumberFormat="1" applyFont="1" applyFill="1" applyBorder="1" applyAlignment="1">
      <alignment horizontal="left" vertical="top"/>
    </xf>
    <xf numFmtId="169" fontId="3" fillId="8" borderId="22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9" fontId="23" fillId="0" borderId="19" xfId="1" applyNumberFormat="1" applyFont="1" applyBorder="1" applyAlignment="1">
      <alignment horizontal="center" vertical="top"/>
    </xf>
    <xf numFmtId="0" fontId="3" fillId="0" borderId="30" xfId="0" applyFont="1" applyFill="1" applyBorder="1" applyAlignment="1">
      <alignment horizontal="left" vertical="top" wrapText="1"/>
    </xf>
    <xf numFmtId="9" fontId="3" fillId="5" borderId="17" xfId="0" applyNumberFormat="1" applyFont="1" applyFill="1" applyBorder="1" applyAlignment="1">
      <alignment horizontal="center" vertical="top"/>
    </xf>
    <xf numFmtId="169" fontId="11" fillId="0" borderId="6" xfId="0" applyNumberFormat="1" applyFont="1" applyBorder="1" applyAlignment="1">
      <alignment vertical="top"/>
    </xf>
    <xf numFmtId="169" fontId="5" fillId="0" borderId="34" xfId="1" applyNumberFormat="1" applyFont="1" applyBorder="1" applyAlignment="1">
      <alignment horizontal="center" vertical="top"/>
    </xf>
    <xf numFmtId="169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6" xfId="0" applyFont="1" applyFill="1" applyBorder="1" applyAlignment="1">
      <alignment vertical="top" wrapText="1"/>
    </xf>
    <xf numFmtId="0" fontId="10" fillId="0" borderId="35" xfId="0" applyFont="1" applyFill="1" applyBorder="1" applyAlignment="1">
      <alignment vertical="top" wrapText="1"/>
    </xf>
    <xf numFmtId="0" fontId="0" fillId="8" borderId="19" xfId="0" applyFill="1" applyBorder="1" applyAlignment="1">
      <alignment vertical="top"/>
    </xf>
    <xf numFmtId="9" fontId="3" fillId="0" borderId="19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vertical="top" wrapText="1"/>
    </xf>
    <xf numFmtId="0" fontId="3" fillId="4" borderId="24" xfId="0" applyFont="1" applyFill="1" applyBorder="1" applyAlignment="1">
      <alignment horizontal="left" vertical="top"/>
    </xf>
    <xf numFmtId="0" fontId="3" fillId="0" borderId="24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9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9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9" fontId="3" fillId="5" borderId="0" xfId="0" applyNumberFormat="1" applyFont="1" applyFill="1" applyBorder="1" applyAlignment="1">
      <alignment horizontal="left" vertical="top"/>
    </xf>
    <xf numFmtId="169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9" fontId="11" fillId="5" borderId="0" xfId="0" applyNumberFormat="1" applyFont="1" applyFill="1" applyBorder="1" applyAlignment="1">
      <alignment vertical="top"/>
    </xf>
    <xf numFmtId="169" fontId="10" fillId="0" borderId="38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9" fontId="3" fillId="5" borderId="8" xfId="0" applyNumberFormat="1" applyFont="1" applyFill="1" applyBorder="1" applyAlignment="1">
      <alignment vertical="top"/>
    </xf>
    <xf numFmtId="169" fontId="3" fillId="5" borderId="0" xfId="1" applyNumberFormat="1" applyFont="1" applyFill="1" applyBorder="1" applyAlignment="1">
      <alignment horizontal="center" vertical="top"/>
    </xf>
    <xf numFmtId="169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2" xfId="0" applyFill="1" applyBorder="1" applyAlignment="1">
      <alignment vertical="top"/>
    </xf>
    <xf numFmtId="169" fontId="3" fillId="0" borderId="1" xfId="0" applyNumberFormat="1" applyFont="1" applyBorder="1" applyAlignment="1">
      <alignment vertical="top"/>
    </xf>
    <xf numFmtId="169" fontId="3" fillId="0" borderId="1" xfId="0" applyNumberFormat="1" applyFont="1" applyFill="1" applyBorder="1" applyAlignment="1">
      <alignment vertical="top"/>
    </xf>
    <xf numFmtId="0" fontId="10" fillId="3" borderId="21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8" fontId="3" fillId="5" borderId="0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 vertical="top"/>
    </xf>
    <xf numFmtId="168" fontId="3" fillId="5" borderId="18" xfId="0" applyNumberFormat="1" applyFont="1" applyFill="1" applyBorder="1" applyAlignment="1">
      <alignment vertical="top"/>
    </xf>
    <xf numFmtId="0" fontId="3" fillId="0" borderId="39" xfId="0" applyFont="1" applyFill="1" applyBorder="1" applyAlignment="1">
      <alignment vertical="top"/>
    </xf>
    <xf numFmtId="0" fontId="3" fillId="4" borderId="40" xfId="0" applyFont="1" applyFill="1" applyBorder="1" applyAlignment="1">
      <alignment vertical="top"/>
    </xf>
    <xf numFmtId="0" fontId="3" fillId="0" borderId="23" xfId="0" applyFont="1" applyFill="1" applyBorder="1" applyAlignment="1">
      <alignment vertical="top"/>
    </xf>
    <xf numFmtId="0" fontId="3" fillId="0" borderId="39" xfId="0" applyFont="1" applyFill="1" applyBorder="1" applyAlignment="1">
      <alignment horizontal="left" vertical="top"/>
    </xf>
    <xf numFmtId="0" fontId="3" fillId="0" borderId="40" xfId="0" applyFont="1" applyFill="1" applyBorder="1" applyAlignment="1">
      <alignment horizontal="left" vertical="top"/>
    </xf>
    <xf numFmtId="169" fontId="10" fillId="0" borderId="42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9" fontId="3" fillId="0" borderId="43" xfId="0" applyNumberFormat="1" applyFont="1" applyFill="1" applyBorder="1" applyAlignment="1">
      <alignment vertical="top"/>
    </xf>
    <xf numFmtId="0" fontId="3" fillId="4" borderId="40" xfId="0" applyFont="1" applyFill="1" applyBorder="1" applyAlignment="1">
      <alignment horizontal="left" vertical="top"/>
    </xf>
    <xf numFmtId="169" fontId="3" fillId="0" borderId="1" xfId="0" applyNumberFormat="1" applyFont="1" applyFill="1" applyBorder="1" applyAlignment="1">
      <alignment horizontal="left" vertical="top"/>
    </xf>
    <xf numFmtId="0" fontId="3" fillId="0" borderId="3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5" xfId="0" applyFill="1" applyBorder="1" applyAlignment="1">
      <alignment vertical="top"/>
    </xf>
    <xf numFmtId="168" fontId="0" fillId="5" borderId="45" xfId="0" applyNumberFormat="1" applyFill="1" applyBorder="1" applyAlignment="1">
      <alignment vertical="top"/>
    </xf>
    <xf numFmtId="0" fontId="0" fillId="0" borderId="45" xfId="0" applyBorder="1" applyAlignment="1">
      <alignment vertical="top"/>
    </xf>
    <xf numFmtId="169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8" fontId="3" fillId="0" borderId="28" xfId="0" applyNumberFormat="1" applyFont="1" applyFill="1" applyBorder="1" applyAlignment="1">
      <alignment vertical="center"/>
    </xf>
    <xf numFmtId="0" fontId="3" fillId="5" borderId="45" xfId="0" applyNumberFormat="1" applyFont="1" applyFill="1" applyBorder="1" applyAlignment="1">
      <alignment vertical="center"/>
    </xf>
    <xf numFmtId="168" fontId="3" fillId="0" borderId="29" xfId="0" applyNumberFormat="1" applyFont="1" applyFill="1" applyBorder="1" applyAlignment="1">
      <alignment vertical="center"/>
    </xf>
    <xf numFmtId="168" fontId="3" fillId="0" borderId="30" xfId="0" applyNumberFormat="1" applyFont="1" applyFill="1" applyBorder="1" applyAlignment="1">
      <alignment vertical="center"/>
    </xf>
    <xf numFmtId="9" fontId="3" fillId="0" borderId="41" xfId="0" applyNumberFormat="1" applyFont="1" applyFill="1" applyBorder="1" applyAlignment="1">
      <alignment vertical="top"/>
    </xf>
    <xf numFmtId="169" fontId="21" fillId="2" borderId="33" xfId="0" applyNumberFormat="1" applyFont="1" applyFill="1" applyBorder="1" applyAlignment="1">
      <alignment vertical="top" wrapText="1"/>
    </xf>
    <xf numFmtId="9" fontId="3" fillId="0" borderId="33" xfId="0" applyNumberFormat="1" applyFont="1" applyFill="1" applyBorder="1" applyAlignment="1">
      <alignment vertical="top"/>
    </xf>
    <xf numFmtId="0" fontId="0" fillId="0" borderId="21" xfId="0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0" fontId="0" fillId="0" borderId="46" xfId="0" applyBorder="1" applyAlignment="1">
      <alignment horizontal="center" vertical="top"/>
    </xf>
    <xf numFmtId="9" fontId="3" fillId="9" borderId="19" xfId="0" applyNumberFormat="1" applyFont="1" applyFill="1" applyBorder="1" applyAlignment="1">
      <alignment horizontal="center" vertical="top"/>
    </xf>
    <xf numFmtId="169" fontId="10" fillId="9" borderId="20" xfId="0" applyNumberFormat="1" applyFont="1" applyFill="1" applyBorder="1" applyAlignment="1">
      <alignment vertical="top"/>
    </xf>
    <xf numFmtId="169" fontId="3" fillId="0" borderId="17" xfId="0" applyNumberFormat="1" applyFont="1" applyBorder="1" applyAlignment="1">
      <alignment horizontal="right" vertical="top"/>
    </xf>
    <xf numFmtId="169" fontId="3" fillId="0" borderId="1" xfId="0" applyNumberFormat="1" applyFont="1" applyBorder="1" applyAlignment="1">
      <alignment horizontal="right" vertical="top"/>
    </xf>
    <xf numFmtId="169" fontId="3" fillId="0" borderId="1" xfId="0" applyNumberFormat="1" applyFont="1" applyFill="1" applyBorder="1" applyAlignment="1">
      <alignment horizontal="right" vertical="top"/>
    </xf>
    <xf numFmtId="0" fontId="0" fillId="5" borderId="21" xfId="0" applyFill="1" applyBorder="1" applyAlignment="1">
      <alignment vertical="top"/>
    </xf>
    <xf numFmtId="169" fontId="10" fillId="5" borderId="29" xfId="0" applyNumberFormat="1" applyFont="1" applyFill="1" applyBorder="1" applyAlignment="1">
      <alignment vertical="center"/>
    </xf>
    <xf numFmtId="169" fontId="10" fillId="5" borderId="30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39" xfId="0" applyFont="1" applyFill="1" applyBorder="1" applyAlignment="1">
      <alignment vertical="top" wrapText="1"/>
    </xf>
    <xf numFmtId="0" fontId="3" fillId="0" borderId="0" xfId="0" applyFont="1" applyAlignment="1">
      <alignment wrapText="1"/>
    </xf>
    <xf numFmtId="169" fontId="3" fillId="4" borderId="47" xfId="0" applyNumberFormat="1" applyFont="1" applyFill="1" applyBorder="1" applyAlignment="1">
      <alignment horizontal="left" vertical="top"/>
    </xf>
    <xf numFmtId="0" fontId="3" fillId="0" borderId="48" xfId="0" applyFont="1" applyBorder="1" applyAlignment="1">
      <alignment vertical="top" wrapText="1"/>
    </xf>
    <xf numFmtId="0" fontId="3" fillId="0" borderId="49" xfId="0" applyFont="1" applyBorder="1" applyAlignment="1">
      <alignment vertical="top" wrapText="1"/>
    </xf>
    <xf numFmtId="0" fontId="3" fillId="0" borderId="48" xfId="0" applyFont="1" applyFill="1" applyBorder="1" applyAlignment="1">
      <alignment vertical="top" wrapText="1"/>
    </xf>
    <xf numFmtId="0" fontId="3" fillId="0" borderId="50" xfId="0" applyFont="1" applyFill="1" applyBorder="1" applyAlignment="1">
      <alignment vertical="top" wrapText="1"/>
    </xf>
    <xf numFmtId="0" fontId="3" fillId="0" borderId="49" xfId="0" applyFont="1" applyFill="1" applyBorder="1" applyAlignment="1">
      <alignment vertical="top" wrapText="1"/>
    </xf>
    <xf numFmtId="0" fontId="3" fillId="0" borderId="51" xfId="0" applyFont="1" applyBorder="1" applyAlignment="1">
      <alignment vertical="top" wrapText="1"/>
    </xf>
    <xf numFmtId="0" fontId="3" fillId="0" borderId="47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49" fontId="3" fillId="0" borderId="49" xfId="0" applyNumberFormat="1" applyFont="1" applyBorder="1" applyAlignment="1">
      <alignment vertical="top" wrapText="1"/>
    </xf>
    <xf numFmtId="0" fontId="3" fillId="9" borderId="3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2" xfId="0" applyBorder="1"/>
    <xf numFmtId="0" fontId="0" fillId="0" borderId="0" xfId="0" applyBorder="1"/>
    <xf numFmtId="0" fontId="0" fillId="0" borderId="12" xfId="0" applyBorder="1"/>
    <xf numFmtId="169" fontId="0" fillId="0" borderId="10" xfId="0" applyNumberFormat="1" applyBorder="1"/>
    <xf numFmtId="169" fontId="0" fillId="0" borderId="32" xfId="0" applyNumberFormat="1" applyBorder="1"/>
    <xf numFmtId="169" fontId="4" fillId="0" borderId="0" xfId="0" applyNumberFormat="1" applyFont="1" applyAlignment="1">
      <alignment wrapText="1"/>
    </xf>
    <xf numFmtId="0" fontId="0" fillId="0" borderId="52" xfId="0" applyBorder="1"/>
    <xf numFmtId="0" fontId="0" fillId="0" borderId="8" xfId="0" applyBorder="1"/>
    <xf numFmtId="169" fontId="0" fillId="0" borderId="10" xfId="1" applyNumberFormat="1" applyFont="1" applyBorder="1"/>
    <xf numFmtId="169" fontId="0" fillId="0" borderId="32" xfId="1" applyNumberFormat="1" applyFont="1" applyBorder="1"/>
    <xf numFmtId="169" fontId="4" fillId="0" borderId="8" xfId="0" applyNumberFormat="1" applyFont="1" applyBorder="1" applyAlignment="1">
      <alignment wrapText="1"/>
    </xf>
    <xf numFmtId="169" fontId="4" fillId="0" borderId="10" xfId="0" applyNumberFormat="1" applyFont="1" applyBorder="1" applyAlignment="1">
      <alignment wrapText="1"/>
    </xf>
    <xf numFmtId="169" fontId="4" fillId="0" borderId="32" xfId="0" applyNumberFormat="1" applyFont="1" applyBorder="1" applyAlignment="1">
      <alignment wrapText="1"/>
    </xf>
    <xf numFmtId="0" fontId="0" fillId="0" borderId="9" xfId="0" quotePrefix="1" applyNumberFormat="1" applyBorder="1"/>
    <xf numFmtId="0" fontId="0" fillId="0" borderId="11" xfId="0" quotePrefix="1" applyNumberFormat="1" applyBorder="1"/>
    <xf numFmtId="0" fontId="0" fillId="0" borderId="0" xfId="0" quotePrefix="1"/>
    <xf numFmtId="168" fontId="0" fillId="5" borderId="10" xfId="0" applyNumberFormat="1" applyFill="1" applyBorder="1" applyAlignment="1">
      <alignment vertical="top"/>
    </xf>
    <xf numFmtId="0" fontId="3" fillId="0" borderId="49" xfId="0" applyFont="1" applyBorder="1" applyAlignment="1">
      <alignment horizontal="left" vertical="top" wrapText="1"/>
    </xf>
    <xf numFmtId="1" fontId="3" fillId="4" borderId="4" xfId="0" applyNumberFormat="1" applyFont="1" applyFill="1" applyBorder="1" applyAlignment="1">
      <alignment horizontal="left" vertical="top"/>
    </xf>
    <xf numFmtId="0" fontId="3" fillId="0" borderId="1" xfId="0" quotePrefix="1" applyFont="1" applyBorder="1" applyAlignment="1">
      <alignment horizontal="center"/>
    </xf>
    <xf numFmtId="0" fontId="0" fillId="0" borderId="9" xfId="0" applyNumberFormat="1" applyBorder="1"/>
    <xf numFmtId="49" fontId="5" fillId="0" borderId="1" xfId="0" quotePrefix="1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6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5" borderId="16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1" xfId="0" applyFont="1" applyFill="1" applyBorder="1" applyAlignment="1">
      <alignment horizontal="center"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left" vertical="top"/>
    </xf>
    <xf numFmtId="0" fontId="3" fillId="0" borderId="17" xfId="0" applyFont="1" applyFill="1" applyBorder="1" applyAlignment="1">
      <alignment horizontal="left" vertical="top"/>
    </xf>
    <xf numFmtId="169" fontId="3" fillId="9" borderId="23" xfId="0" applyNumberFormat="1" applyFont="1" applyFill="1" applyBorder="1" applyAlignment="1">
      <alignment horizontal="center" vertical="top"/>
    </xf>
    <xf numFmtId="169" fontId="3" fillId="9" borderId="25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1" xfId="0" applyFont="1" applyFill="1" applyBorder="1" applyAlignment="1">
      <alignment horizontal="left" vertical="top"/>
    </xf>
    <xf numFmtId="169" fontId="11" fillId="0" borderId="24" xfId="0" applyNumberFormat="1" applyFont="1" applyFill="1" applyBorder="1" applyAlignment="1">
      <alignment horizontal="right" vertical="center"/>
    </xf>
    <xf numFmtId="169" fontId="11" fillId="0" borderId="25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2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5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6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workbookViewId="0">
      <selection activeCell="D24" sqref="D24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M75"/>
  <sheetViews>
    <sheetView topLeftCell="A40" zoomScaleNormal="100" workbookViewId="0">
      <selection activeCell="C60" sqref="C60"/>
    </sheetView>
  </sheetViews>
  <sheetFormatPr defaultColWidth="9.109375" defaultRowHeight="14.4" x14ac:dyDescent="0.3"/>
  <cols>
    <col min="1" max="1" style="118" width="9.109375" collapsed="true"/>
    <col min="2" max="2" bestFit="true" customWidth="true" style="63" width="32.88671875" collapsed="true"/>
    <col min="3" max="3" bestFit="true" customWidth="true" style="64" width="27.44140625" collapsed="true"/>
    <col min="4" max="4" bestFit="true" customWidth="true" style="64" width="20.44140625" collapsed="true"/>
    <col min="5" max="5" customWidth="true" style="65" width="13.88671875" collapsed="true"/>
    <col min="6" max="6" bestFit="true" customWidth="true" style="64" width="14.33203125" collapsed="true"/>
    <col min="7" max="7" customWidth="true" style="64" width="10.33203125" collapsed="true"/>
    <col min="8" max="8" bestFit="true" customWidth="true" style="33" width="32.88671875" collapsed="true"/>
    <col min="9" max="9" bestFit="true" customWidth="true" style="33" width="27.44140625" collapsed="true"/>
    <col min="10" max="10" bestFit="true" customWidth="true" style="33" width="20.44140625" collapsed="true"/>
    <col min="11" max="11" customWidth="true" style="33" width="13.88671875" collapsed="true"/>
    <col min="12" max="12" bestFit="true" customWidth="true" style="33" width="14.33203125" collapsed="true"/>
    <col min="13" max="13" customWidth="true" style="33" width="8.6640625" collapsed="true"/>
    <col min="14" max="14" bestFit="true" customWidth="true" style="33" width="32.88671875" collapsed="true"/>
    <col min="15" max="15" bestFit="true" customWidth="true" style="33" width="27.44140625" collapsed="true"/>
    <col min="16" max="16" bestFit="true" customWidth="true" style="33" width="20.44140625" collapsed="true"/>
    <col min="17" max="17" customWidth="true" style="33" width="13.88671875" collapsed="true"/>
    <col min="18" max="18" bestFit="true" customWidth="true" style="33" width="14.33203125" collapsed="true"/>
    <col min="19" max="19" customWidth="true" style="33" width="8.6640625" collapsed="true"/>
    <col min="20" max="20" customWidth="true" style="33" width="26.5546875" collapsed="true"/>
    <col min="21" max="21" bestFit="true" customWidth="true" style="33" width="27.44140625" collapsed="true"/>
    <col min="22" max="22" bestFit="true" customWidth="true" style="33" width="20.44140625" collapsed="true"/>
    <col min="23" max="23" customWidth="true" style="33" width="13.88671875" collapsed="true"/>
    <col min="24" max="24" bestFit="true" customWidth="true" style="33" width="14.33203125" collapsed="true"/>
    <col min="25" max="25" customWidth="true" style="33" width="8.6640625" collapsed="true"/>
    <col min="26" max="26" customWidth="true" style="33" width="26.5546875" collapsed="true"/>
    <col min="27" max="27" bestFit="true" customWidth="true" style="33" width="27.44140625" collapsed="true"/>
    <col min="28" max="28" bestFit="true" customWidth="true" style="33" width="20.44140625" collapsed="true"/>
    <col min="29" max="29" customWidth="true" style="64" width="13.88671875" collapsed="true"/>
    <col min="30" max="30" bestFit="true" customWidth="true" style="64" width="14.33203125" collapsed="true"/>
    <col min="31" max="31" style="64" width="9.109375" collapsed="true"/>
    <col min="32" max="32" customWidth="true" style="64" width="26.5546875" collapsed="true"/>
    <col min="33" max="33" bestFit="true" customWidth="true" style="64" width="27.44140625" collapsed="true"/>
    <col min="34" max="34" bestFit="true" customWidth="true" style="64" width="20.44140625" collapsed="true"/>
    <col min="35" max="35" customWidth="true" style="64" width="13.88671875" collapsed="true"/>
    <col min="36" max="36" bestFit="true" customWidth="true" style="64" width="14.33203125" collapsed="true"/>
    <col min="37" max="37" style="64" width="9.109375" collapsed="true"/>
    <col min="38" max="38" customWidth="true" style="64" width="26.5546875" collapsed="true"/>
    <col min="39" max="39" bestFit="true" customWidth="true" style="64" width="27.44140625" collapsed="true"/>
    <col min="40" max="40" bestFit="true" customWidth="true" style="64" width="20.44140625" collapsed="true"/>
    <col min="41" max="41" customWidth="true" style="64" width="13.88671875" collapsed="true"/>
    <col min="42" max="42" bestFit="true" customWidth="true" style="64" width="14.33203125" collapsed="true"/>
    <col min="43" max="43" style="64" width="9.109375" collapsed="true"/>
    <col min="44" max="44" customWidth="true" style="64" width="26.5546875" collapsed="true"/>
    <col min="45" max="45" bestFit="true" customWidth="true" style="64" width="27.44140625" collapsed="true"/>
    <col min="46" max="46" bestFit="true" customWidth="true" style="64" width="20.44140625" collapsed="true"/>
    <col min="47" max="47" customWidth="true" style="64" width="13.88671875" collapsed="true"/>
    <col min="48" max="48" bestFit="true" customWidth="true" style="64" width="14.33203125" collapsed="true"/>
    <col min="49" max="49" style="64" width="9.109375" collapsed="true"/>
    <col min="50" max="50" customWidth="true" style="64" width="26.5546875" collapsed="true"/>
    <col min="51" max="51" bestFit="true" customWidth="true" style="64" width="27.44140625" collapsed="true"/>
    <col min="52" max="52" bestFit="true" customWidth="true" style="64" width="20.44140625" collapsed="true"/>
    <col min="53" max="53" customWidth="true" style="64" width="13.88671875" collapsed="true"/>
    <col min="54" max="54" bestFit="true" customWidth="true" style="64" width="14.33203125" collapsed="true"/>
    <col min="55" max="55" style="64" width="9.109375" collapsed="true"/>
    <col min="56" max="56" customWidth="true" style="64" width="26.5546875" collapsed="true"/>
    <col min="57" max="57" bestFit="true" customWidth="true" style="64" width="27.44140625" collapsed="true"/>
    <col min="58" max="58" bestFit="true" customWidth="true" style="64" width="20.44140625" collapsed="true"/>
    <col min="59" max="59" customWidth="true" style="64" width="13.88671875" collapsed="true"/>
    <col min="60" max="60" bestFit="true" customWidth="true" style="64" width="14.33203125" collapsed="true"/>
    <col min="61" max="16384" style="64" width="9.109375" collapsed="true"/>
  </cols>
  <sheetData>
    <row r="1" spans="1:7" ht="21.6" thickBot="1" x14ac:dyDescent="0.35">
      <c r="B1" s="179" t="s">
        <v>0</v>
      </c>
      <c r="C1" s="66">
        <v>1</v>
      </c>
      <c r="D1" s="122"/>
      <c r="E1" s="124"/>
      <c r="F1" s="122"/>
      <c r="G1" s="118"/>
    </row>
    <row r="2" spans="1:7" ht="15" thickBot="1" x14ac:dyDescent="0.35">
      <c r="A2" s="145"/>
      <c r="B2" s="118"/>
      <c r="D2" s="118"/>
      <c r="E2" s="118"/>
      <c r="F2" s="118"/>
      <c r="G2" s="125"/>
    </row>
    <row r="3" spans="1:7" customFormat="1" ht="24" customHeight="1" thickBot="1" x14ac:dyDescent="0.35">
      <c r="A3" s="145"/>
      <c r="B3" s="119" t="s">
        <v>1</v>
      </c>
      <c r="C3" s="91" t="str">
        <f>"INPUT "&amp; "Location " &amp; 1</f>
        <v>INPUT Location 1</v>
      </c>
      <c r="D3" s="121"/>
      <c r="E3" s="159"/>
      <c r="F3" s="118"/>
      <c r="G3" s="125"/>
    </row>
    <row r="4" spans="1:7" customFormat="1" ht="16.5" customHeight="1" thickBot="1" x14ac:dyDescent="0.35">
      <c r="A4" s="145"/>
      <c r="B4" s="46" t="s">
        <v>2</v>
      </c>
      <c r="C4" s="67"/>
      <c r="D4" s="68" t="s">
        <v>3</v>
      </c>
      <c r="E4" s="174" t="s">
        <v>4</v>
      </c>
      <c r="F4" s="69" t="s">
        <v>5</v>
      </c>
      <c r="G4" s="125"/>
    </row>
    <row r="5" spans="1:7" customFormat="1" x14ac:dyDescent="0.3">
      <c r="A5" s="145"/>
      <c r="B5" s="70" t="s">
        <v>6</v>
      </c>
      <c r="C5" s="71" t="str">
        <f>Mappings!A2</f>
        <v>VT</v>
      </c>
      <c r="D5" s="122"/>
      <c r="E5" s="124"/>
      <c r="F5" s="197"/>
      <c r="G5" s="125"/>
    </row>
    <row r="6" spans="1:7" customFormat="1" x14ac:dyDescent="0.3">
      <c r="A6" s="145"/>
      <c r="B6" s="73" t="s">
        <v>8</v>
      </c>
      <c r="C6" s="97" t="str">
        <f>Mappings!B2</f>
        <v>HO3</v>
      </c>
      <c r="D6" s="118"/>
      <c r="E6" s="159"/>
      <c r="F6" s="175"/>
      <c r="G6" s="125"/>
    </row>
    <row r="7" spans="1:7" customFormat="1" x14ac:dyDescent="0.3">
      <c r="A7" s="145"/>
      <c r="B7" s="73" t="s">
        <v>10</v>
      </c>
      <c r="C7" s="74" t="str">
        <f>Mappings!C2</f>
        <v>Owner / Tenant - Short-Term Rental</v>
      </c>
      <c r="D7" s="118"/>
      <c r="E7" s="159"/>
      <c r="F7" s="176"/>
      <c r="G7" s="125"/>
    </row>
    <row r="8" spans="1:7" customFormat="1" x14ac:dyDescent="0.3">
      <c r="A8" s="145"/>
      <c r="B8" s="73" t="s">
        <v>12</v>
      </c>
      <c r="C8" s="74" t="str">
        <f>VLOOKUP(Mappings!D2,Reference!A2:B5,2,FALSE)</f>
        <v>9 month</v>
      </c>
      <c r="D8" s="123"/>
      <c r="E8" s="159"/>
      <c r="F8" s="175"/>
      <c r="G8" s="125"/>
    </row>
    <row r="9" spans="1:7" customFormat="1" x14ac:dyDescent="0.3">
      <c r="A9" s="145"/>
      <c r="B9" s="73" t="s">
        <v>14</v>
      </c>
      <c r="C9" s="238" t="str">
        <f>VLOOKUP(Mappings!E2,Reference!K2:L11,2,FALSE)</f>
        <v>7</v>
      </c>
      <c r="D9" s="118"/>
      <c r="E9" s="159"/>
      <c r="F9" s="175"/>
      <c r="G9" s="125"/>
    </row>
    <row r="10" spans="1:7" customFormat="1" ht="15.6" x14ac:dyDescent="0.3">
      <c r="A10" s="145"/>
      <c r="B10" s="73" t="s">
        <v>16</v>
      </c>
      <c r="C10" s="75" t="n">
        <f>Mappings!F2</f>
        <v>700000.0</v>
      </c>
      <c r="D10" s="76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0.38</v>
      </c>
      <c r="F10" s="198" t="n">
        <f>ROUND(
IF(C6="HO4",0,
IF(OR(E14="",E14=0),ROUND(C10*(E10/100),0),(E14/100)*C10)),0)</f>
        <v>2660.0</v>
      </c>
      <c r="G10" s="125"/>
    </row>
    <row r="11" spans="1:7" customFormat="1" ht="15" customHeight="1" x14ac:dyDescent="0.3">
      <c r="A11" s="145"/>
      <c r="B11" s="59" t="s">
        <v>17</v>
      </c>
      <c r="C11" s="94" t="n">
        <f>Mappings!G2</f>
        <v>70000.0</v>
      </c>
      <c r="D11" s="153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6"/>
    </row>
    <row r="12" spans="1:7" customFormat="1" ht="15" customHeight="1" x14ac:dyDescent="0.3">
      <c r="A12" s="145"/>
      <c r="B12" s="59" t="s">
        <v>18</v>
      </c>
      <c r="C12" s="94" t="n">
        <f>Mappings!H2</f>
        <v>7000.0</v>
      </c>
      <c r="D12" s="154" t="n">
        <f>ROUND(IF(OR(C6="DP1",C6="DP3",C6="HO4"),0,(((C12*100)/C10)/100-VLOOKUP(B12,Lookup!$BP$2:$BU$6,MATCH(C6,Lookup!$BP$2:$BU$2,0),FALSE))*C10),0)</f>
        <v>-343000.0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7"/>
    </row>
    <row r="13" spans="1:7" customFormat="1" ht="15" customHeight="1" thickBot="1" x14ac:dyDescent="0.35">
      <c r="A13" s="145"/>
      <c r="B13" s="101" t="s">
        <v>19</v>
      </c>
      <c r="C13" s="94" t="n">
        <f>Mappings!I2</f>
        <v>700.0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-139300.0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7"/>
    </row>
    <row r="14" spans="1:7" customFormat="1" ht="15.75" customHeight="1" thickBot="1" x14ac:dyDescent="0.35">
      <c r="A14" s="145"/>
      <c r="B14" s="119"/>
      <c r="C14" s="258" t="s">
        <v>142</v>
      </c>
      <c r="D14" s="259"/>
      <c r="E14" s="173">
        <v>0</v>
      </c>
      <c r="F14" s="177"/>
      <c r="G14" s="147"/>
    </row>
    <row r="15" spans="1:7" customFormat="1" ht="16.2" thickBot="1" x14ac:dyDescent="0.35">
      <c r="A15" s="145"/>
      <c r="B15" s="119"/>
      <c r="C15" s="118"/>
      <c r="D15" s="118"/>
      <c r="E15" s="159"/>
      <c r="F15" s="178" t="n">
        <f>SUM(F10:F13)</f>
        <v>2660.0</v>
      </c>
      <c r="G15" s="125"/>
    </row>
    <row r="16" spans="1:7" customFormat="1" ht="16.2" thickBot="1" x14ac:dyDescent="0.35">
      <c r="A16" s="145"/>
      <c r="B16" s="80" t="s">
        <v>23</v>
      </c>
      <c r="C16" s="119"/>
      <c r="D16" s="118"/>
      <c r="E16" s="120"/>
      <c r="F16" s="64"/>
      <c r="G16" s="125"/>
    </row>
    <row r="17" spans="1:7" customFormat="1" ht="16.2" thickBot="1" x14ac:dyDescent="0.35">
      <c r="A17" s="145"/>
      <c r="B17" s="48" t="s">
        <v>25</v>
      </c>
      <c r="C17" s="92" t="str">
        <f>IF(AND(AND(C6&lt;&gt;"HO4",C6&lt;&gt;"HO6"),C10&gt;500000),"Yes","No")</f>
        <v>Yes</v>
      </c>
      <c r="D17" s="72"/>
      <c r="E17" s="102" t="n">
        <f>IF(C17="Yes",Lookup!$U$2,0)</f>
        <v>-0.05</v>
      </c>
      <c r="F17" s="83" t="n">
        <f>ROUND(F15*(E17),0)</f>
        <v>-133.0</v>
      </c>
      <c r="G17" s="125"/>
    </row>
    <row r="18" spans="1:7" customFormat="1" ht="29.4" thickBot="1" x14ac:dyDescent="0.35">
      <c r="A18" s="145"/>
      <c r="B18" s="49" t="s">
        <v>26</v>
      </c>
      <c r="C18" s="81" t="str">
        <f>Mappings!J2</f>
        <v>Yes</v>
      </c>
      <c r="D18" s="118"/>
      <c r="E18" s="82" t="n">
        <f>IF(C18="Yes",Lookup!$U$3,0)</f>
        <v>-0.05</v>
      </c>
      <c r="F18" s="83" t="n">
        <f>ROUND(F15*(E18),0)</f>
        <v>-133.0</v>
      </c>
      <c r="G18" s="125"/>
    </row>
    <row r="19" spans="1:7" customFormat="1" ht="29.4" thickBot="1" x14ac:dyDescent="0.35">
      <c r="A19" s="145"/>
      <c r="B19" s="50" t="s">
        <v>28</v>
      </c>
      <c r="C19" s="93" t="str">
        <f>IF(OR(D11&lt;0,D12&lt;0,D13&lt;0),"Yes","No")</f>
        <v>Yes</v>
      </c>
      <c r="D19" s="118"/>
      <c r="E19" s="82" t="n">
        <f>IF(C19="Yes",Lookup!$U$4,0)</f>
        <v>-0.01</v>
      </c>
      <c r="F19" s="83" t="n">
        <f>ROUND(F15*(E19),0)</f>
        <v>-27.0</v>
      </c>
      <c r="G19" s="125"/>
    </row>
    <row r="20" spans="1:7" customFormat="1" ht="16.2" thickBot="1" x14ac:dyDescent="0.35">
      <c r="A20" s="145"/>
      <c r="B20" s="51" t="s">
        <v>29</v>
      </c>
      <c r="C20" s="75" t="n">
        <f>VLOOKUP(Mappings!K2,Reference!I2:J5,2,FALSE)</f>
        <v>5000.0</v>
      </c>
      <c r="D20" s="118"/>
      <c r="E20" s="82" t="n">
        <f>VLOOKUP(C20,Lookup!$Q$2:$R$5,2,FALSE)</f>
        <v>-0.25</v>
      </c>
      <c r="F20" s="83" t="n">
        <f>ROUND(F15*(E20),0)</f>
        <v>-665.0</v>
      </c>
      <c r="G20" s="125"/>
    </row>
    <row r="21" spans="1:7" customFormat="1" ht="16.5" customHeight="1" thickBot="1" x14ac:dyDescent="0.35">
      <c r="A21" s="145"/>
      <c r="B21" s="266" t="s">
        <v>30</v>
      </c>
      <c r="C21" s="267"/>
      <c r="D21" s="78"/>
      <c r="E21" s="192" t="n">
        <f>SUM(E17:E20)</f>
        <v>-0.36</v>
      </c>
      <c r="F21" s="193" t="n">
        <f>ROUND(F15*(E21),0)</f>
        <v>-958.0</v>
      </c>
      <c r="G21" s="125"/>
    </row>
    <row r="22" spans="1:7" customFormat="1" ht="15.6" x14ac:dyDescent="0.3">
      <c r="A22" s="145"/>
      <c r="B22" s="126"/>
      <c r="C22" s="126"/>
      <c r="D22" s="118"/>
      <c r="E22" s="127"/>
      <c r="F22" s="128"/>
      <c r="G22" s="125"/>
    </row>
    <row r="23" spans="1:7" customFormat="1" ht="15" thickBot="1" x14ac:dyDescent="0.35">
      <c r="A23" s="145"/>
      <c r="B23" s="119"/>
      <c r="C23" s="118"/>
      <c r="D23" s="118"/>
      <c r="E23" s="120"/>
      <c r="F23" s="118"/>
      <c r="G23" s="125"/>
    </row>
    <row r="24" spans="1:7" customFormat="1" ht="16.2" thickBot="1" x14ac:dyDescent="0.35">
      <c r="A24" s="145"/>
      <c r="B24" s="112" t="s">
        <v>31</v>
      </c>
      <c r="C24" s="118"/>
      <c r="D24" s="118"/>
      <c r="E24" s="120"/>
      <c r="F24" s="118"/>
      <c r="G24" s="125"/>
    </row>
    <row r="25" spans="1:7" customFormat="1" ht="19.5" customHeight="1" thickBot="1" x14ac:dyDescent="0.35">
      <c r="A25" s="145"/>
      <c r="B25" s="114" t="s">
        <v>32</v>
      </c>
      <c r="C25" s="115" t="n">
        <f>Mappings!L2</f>
        <v>800.0</v>
      </c>
      <c r="D25" s="116"/>
      <c r="E25" s="84" t="n">
        <f>IF(C25&gt;25,(C25-25)*Lookup!$X$1,0)</f>
        <v>1550.0</v>
      </c>
      <c r="F25" s="85" t="n">
        <f>ROUND(E25,0)</f>
        <v>1550.0</v>
      </c>
      <c r="G25" s="125"/>
    </row>
    <row r="26" spans="1:7" customFormat="1" x14ac:dyDescent="0.3">
      <c r="A26" s="145"/>
      <c r="B26" s="119"/>
      <c r="C26" s="129"/>
      <c r="D26" s="118"/>
      <c r="E26" s="120"/>
      <c r="F26" s="118"/>
      <c r="G26" s="125"/>
    </row>
    <row r="27" spans="1:7" customFormat="1" ht="15" thickBot="1" x14ac:dyDescent="0.35">
      <c r="A27" s="145"/>
      <c r="B27" s="130"/>
      <c r="C27" s="129"/>
      <c r="D27" s="118"/>
      <c r="E27" s="131"/>
      <c r="F27" s="123"/>
      <c r="G27" s="125"/>
    </row>
    <row r="28" spans="1:7" customFormat="1" x14ac:dyDescent="0.3">
      <c r="A28" s="145"/>
      <c r="B28" s="52" t="s">
        <v>34</v>
      </c>
      <c r="C28" s="71" t="str">
        <f>VLOOKUP(Mappings!M2,Reference!C2:D5,2,FALSE)</f>
        <v>3 Family</v>
      </c>
      <c r="D28" s="139"/>
      <c r="E28" s="141"/>
      <c r="F28" s="142"/>
      <c r="G28" s="125"/>
    </row>
    <row r="29" spans="1:7" customFormat="1" ht="15" thickBot="1" x14ac:dyDescent="0.35">
      <c r="A29" s="145"/>
      <c r="B29" s="53" t="s">
        <v>36</v>
      </c>
      <c r="C29" s="75" t="str">
        <f>VLOOKUP(Mappings!N2,Reference!E2:F6,2,FALSE)</f>
        <v>Excluded</v>
      </c>
      <c r="D29" s="144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0.0</v>
      </c>
      <c r="E29" s="143"/>
      <c r="F29" s="140"/>
      <c r="G29" s="125"/>
    </row>
    <row r="30" spans="1:7" customFormat="1" ht="16.2" thickBot="1" x14ac:dyDescent="0.35">
      <c r="A30" s="145"/>
      <c r="B30" s="57" t="s">
        <v>37</v>
      </c>
      <c r="C30" s="95" t="str">
        <f>IF(C29="Excluded","Excluded",5000)</f>
        <v>Excluded</v>
      </c>
      <c r="D30" s="100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0.0</v>
      </c>
      <c r="E30" s="104" t="n">
        <f>MAX(D29,D30)</f>
        <v>0.0</v>
      </c>
      <c r="F30" s="105" t="n">
        <f>IF(C32&lt;&gt;"","Resolve Error",ROUND(E30,0))</f>
        <v>0.0</v>
      </c>
      <c r="G30" s="146"/>
    </row>
    <row r="31" spans="1:7" customFormat="1" x14ac:dyDescent="0.3">
      <c r="A31" s="145"/>
      <c r="B31" s="119"/>
      <c r="C31" s="268" t="str">
        <f>IF(C29="Excluded","Medical Payment is not allowed, when personal liability limit is None/Excluded","")</f>
        <v>Medical Payment is not allowed, when personal liability limit is None/Excluded</v>
      </c>
      <c r="D31" s="268"/>
      <c r="E31" s="268"/>
      <c r="F31" s="268"/>
      <c r="G31" s="125"/>
    </row>
    <row r="32" spans="1:7" customFormat="1" ht="15" thickBot="1" x14ac:dyDescent="0.35">
      <c r="A32" s="145"/>
      <c r="B32" s="119"/>
      <c r="C32" s="265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65"/>
      <c r="E32" s="265"/>
      <c r="F32" s="265"/>
      <c r="G32" s="125"/>
    </row>
    <row r="33" spans="1:8" customFormat="1" ht="16.2" thickBot="1" x14ac:dyDescent="0.35">
      <c r="A33" s="145"/>
      <c r="B33" s="47" t="s">
        <v>38</v>
      </c>
      <c r="C33" s="118"/>
      <c r="D33" s="118"/>
      <c r="E33" s="120"/>
      <c r="F33" s="118"/>
      <c r="G33" s="125"/>
    </row>
    <row r="34" spans="1:8" customFormat="1" x14ac:dyDescent="0.3">
      <c r="A34" s="145"/>
      <c r="B34" s="54" t="s">
        <v>39</v>
      </c>
      <c r="C34" s="86" t="s">
        <v>41</v>
      </c>
      <c r="D34" s="139"/>
      <c r="E34" s="180"/>
      <c r="F34" s="194" t="n">
        <f>IF(C6="HO6",VLOOKUP(C34,Lookup!$AX$2:$AY$6,2,FALSE),0)</f>
        <v>0.0</v>
      </c>
      <c r="G34" s="125"/>
    </row>
    <row r="35" spans="1:8" customFormat="1" x14ac:dyDescent="0.3">
      <c r="A35" s="145"/>
      <c r="B35" s="55" t="s">
        <v>40</v>
      </c>
      <c r="C35" s="75" t="s">
        <v>27</v>
      </c>
      <c r="D35" s="119"/>
      <c r="E35" s="180"/>
      <c r="F35" s="195" t="n">
        <f>IF(OR(C6="HO1",C6="HO3",C6="HO6",C6="DP1",C6="DP3"),0,IF(AND(OR(C6="HO4",C6="HO8"),C35="Yes"),ROUND(C12*0.0075,0),0))</f>
        <v>0.0</v>
      </c>
      <c r="G35" s="125"/>
    </row>
    <row r="36" spans="1:8" customFormat="1" x14ac:dyDescent="0.3">
      <c r="A36" s="145"/>
      <c r="B36" s="55" t="s">
        <v>42</v>
      </c>
      <c r="C36" s="75" t="n">
        <f>Mappings!Q2</f>
        <v>0.0</v>
      </c>
      <c r="D36" s="119"/>
      <c r="E36" s="180"/>
      <c r="F36" s="195" t="n">
        <f>IF(OR(C6="DP1",C6="DP3"),0,ROUND(C36*0.01,0))</f>
        <v>0.0</v>
      </c>
      <c r="G36" s="125"/>
    </row>
    <row r="37" spans="1:8" customFormat="1" x14ac:dyDescent="0.3">
      <c r="A37" s="145"/>
      <c r="B37" s="55" t="s">
        <v>43</v>
      </c>
      <c r="C37" s="81" t="s">
        <v>41</v>
      </c>
      <c r="D37" s="119"/>
      <c r="E37" s="180"/>
      <c r="F37" s="196" t="n">
        <f>IF(C37="Yes",ROUND(0.05*F15,0),0)</f>
        <v>0.0</v>
      </c>
      <c r="G37" s="125"/>
    </row>
    <row r="38" spans="1:8" customFormat="1" ht="15" thickBot="1" x14ac:dyDescent="0.35">
      <c r="A38" s="145"/>
      <c r="B38" s="56" t="s">
        <v>44</v>
      </c>
      <c r="C38" s="87" t="str">
        <f>VLOOKUP(Mappings!S2,Reference!G2:H6,2,FALSE)</f>
        <v>Excluded</v>
      </c>
      <c r="D38" s="88"/>
      <c r="E38" s="180"/>
      <c r="F38" s="195" t="n">
        <f>IF(OR(C6="DP1",C6="DP3"),0,VLOOKUP(C38,Lookup!$BA$2:$BB$6,2,FALSE))</f>
        <v>0.0</v>
      </c>
      <c r="G38" s="125"/>
    </row>
    <row r="39" spans="1:8" customFormat="1" ht="16.2" thickBot="1" x14ac:dyDescent="0.35">
      <c r="A39" s="145"/>
      <c r="B39" s="119"/>
      <c r="C39" s="132"/>
      <c r="D39" s="119"/>
      <c r="E39" s="133"/>
      <c r="F39" s="128"/>
      <c r="G39" s="125"/>
    </row>
    <row r="40" spans="1:8" customFormat="1" ht="18.600000000000001" thickBot="1" x14ac:dyDescent="0.35">
      <c r="A40" s="145"/>
      <c r="B40" s="260" t="s">
        <v>133</v>
      </c>
      <c r="C40" s="261"/>
      <c r="D40" s="261"/>
      <c r="E40" s="262"/>
      <c r="F40" s="103" t="n">
        <f>F15+F21+F25+F30+SUM(F34:F38)</f>
        <v>3252.0</v>
      </c>
      <c r="G40" s="125"/>
    </row>
    <row r="41" spans="1:8" customFormat="1" ht="18.600000000000001" thickBot="1" x14ac:dyDescent="0.35">
      <c r="A41" s="145"/>
      <c r="B41" s="134"/>
      <c r="C41" s="134"/>
      <c r="D41" s="134"/>
      <c r="E41" s="134"/>
      <c r="F41" s="135"/>
      <c r="G41" s="125"/>
    </row>
    <row r="42" spans="1:8" customFormat="1" ht="16.2" thickBot="1" x14ac:dyDescent="0.35">
      <c r="A42" s="145"/>
      <c r="B42" s="155" t="s">
        <v>134</v>
      </c>
      <c r="C42" s="132"/>
      <c r="D42" s="119"/>
      <c r="E42" s="133"/>
      <c r="F42" s="128"/>
      <c r="G42" s="125"/>
    </row>
    <row r="43" spans="1:8" customFormat="1" ht="15.75" customHeight="1" thickBot="1" x14ac:dyDescent="0.35">
      <c r="A43" s="145"/>
      <c r="B43" s="163" t="str">
        <f>"Total Base Premium (Locations:  "&amp;C1&amp;")"</f>
        <v>Total Base Premium (Locations:  1)</v>
      </c>
      <c r="C43" s="263" t="n">
        <f>SUM(15:15)</f>
        <v>2660.0</v>
      </c>
      <c r="D43" s="263"/>
      <c r="E43" s="263"/>
      <c r="F43" s="264"/>
      <c r="G43" s="125"/>
    </row>
    <row r="44" spans="1:8" customFormat="1" ht="15.75" customHeight="1" x14ac:dyDescent="0.3">
      <c r="A44" s="145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5"/>
    </row>
    <row r="45" spans="1:8" customFormat="1" ht="15.75" customHeight="1" x14ac:dyDescent="0.3">
      <c r="A45" s="145"/>
      <c r="B45" s="137"/>
      <c r="C45" s="138"/>
      <c r="D45" s="187" t="s">
        <v>122</v>
      </c>
      <c r="E45" s="190"/>
      <c r="F45" s="183"/>
      <c r="G45" s="125"/>
    </row>
    <row r="46" spans="1:8" customFormat="1" ht="15.75" customHeight="1" x14ac:dyDescent="0.3">
      <c r="A46" s="145"/>
      <c r="B46" s="45" t="s">
        <v>22</v>
      </c>
      <c r="C46" s="113" t="n">
        <f>Mappings!U2</f>
        <v>0.0</v>
      </c>
      <c r="D46" s="156"/>
      <c r="E46" s="190"/>
      <c r="F46" s="183"/>
      <c r="G46" s="125"/>
    </row>
    <row r="47" spans="1:8" customFormat="1" ht="15" customHeight="1" x14ac:dyDescent="0.3">
      <c r="A47" s="145"/>
      <c r="B47" s="137"/>
      <c r="C47" s="134"/>
      <c r="D47" s="156"/>
      <c r="E47" s="190"/>
      <c r="F47" s="183"/>
      <c r="G47" s="125"/>
      <c r="H47" s="117"/>
    </row>
    <row r="48" spans="1:8" customFormat="1" ht="15" customHeight="1" x14ac:dyDescent="0.3">
      <c r="A48" s="145"/>
      <c r="B48" s="137"/>
      <c r="C48" s="134"/>
      <c r="D48" s="156"/>
      <c r="E48" s="190"/>
      <c r="F48" s="183"/>
      <c r="G48" s="125"/>
    </row>
    <row r="49" spans="1:13" customFormat="1" ht="15" customHeight="1" x14ac:dyDescent="0.3">
      <c r="A49" s="145"/>
      <c r="B49" s="137"/>
      <c r="C49" s="134"/>
      <c r="D49" s="156"/>
      <c r="E49" s="190"/>
      <c r="F49" s="183"/>
      <c r="G49" s="125"/>
    </row>
    <row r="50" spans="1:13" customFormat="1" ht="15" customHeight="1" x14ac:dyDescent="0.3">
      <c r="A50" s="145"/>
      <c r="B50" s="137"/>
      <c r="C50" s="134"/>
      <c r="D50" s="156"/>
      <c r="E50" s="190"/>
      <c r="F50" s="183"/>
      <c r="G50" s="125"/>
    </row>
    <row r="51" spans="1:13" customFormat="1" ht="15.75" customHeight="1" thickBot="1" x14ac:dyDescent="0.35">
      <c r="A51" s="145"/>
      <c r="B51" s="107" t="s">
        <v>24</v>
      </c>
      <c r="C51" s="106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-133.0</v>
      </c>
      <c r="G51" s="125"/>
    </row>
    <row r="52" spans="1:13" customFormat="1" ht="16.2" thickBot="1" x14ac:dyDescent="0.35">
      <c r="A52" s="145"/>
      <c r="B52" s="108" t="s">
        <v>33</v>
      </c>
      <c r="C52" s="109" t="str">
        <f>IF($C$46&gt;0,"Yes","No")</f>
        <v>No</v>
      </c>
      <c r="D52" s="110" t="n">
        <f>IF($C$46&gt;0,10%,0)</f>
        <v>0.0</v>
      </c>
      <c r="E52" s="181"/>
      <c r="F52" s="185" t="n">
        <f>ROUND(C43*D52,0)</f>
        <v>0.0</v>
      </c>
      <c r="G52" s="125"/>
    </row>
    <row r="53" spans="1:13" customFormat="1" ht="15" thickBot="1" x14ac:dyDescent="0.35">
      <c r="A53" s="145"/>
      <c r="B53" s="119"/>
      <c r="C53" s="118"/>
      <c r="D53" s="118"/>
      <c r="E53" s="120"/>
      <c r="F53" s="118"/>
      <c r="G53" s="125"/>
    </row>
    <row r="54" spans="1:13" customFormat="1" ht="16.2" thickBot="1" x14ac:dyDescent="0.35">
      <c r="A54" s="145"/>
      <c r="B54" s="155" t="s">
        <v>5</v>
      </c>
      <c r="C54" s="118"/>
      <c r="D54" s="118"/>
      <c r="E54" s="120"/>
      <c r="F54" s="128"/>
      <c r="G54" s="125"/>
    </row>
    <row r="55" spans="1:13" ht="16.2" thickBot="1" x14ac:dyDescent="0.35">
      <c r="A55" s="145"/>
      <c r="B55" s="254" t="str">
        <f>"Calculated Premium For All Locations ( Total Locations : "&amp;C1 &amp;" )"</f>
        <v>Calculated Premium For All Locations ( Total Locations : 1 )</v>
      </c>
      <c r="C55" s="255"/>
      <c r="D55" s="255"/>
      <c r="E55" s="255"/>
      <c r="F55" s="136" t="n">
        <f>SUM(40:40)+SUM(F44:F52)</f>
        <v>3119.0</v>
      </c>
      <c r="G55" s="125"/>
      <c r="H55" s="99"/>
      <c r="J55" s="64"/>
      <c r="K55" s="98"/>
      <c r="L55" s="79"/>
      <c r="M55" s="64"/>
    </row>
    <row r="56" spans="1:13" ht="15.6" x14ac:dyDescent="0.3">
      <c r="A56" s="145"/>
      <c r="B56" s="256" t="s">
        <v>45</v>
      </c>
      <c r="C56" s="257"/>
      <c r="D56" s="255"/>
      <c r="E56" s="255"/>
      <c r="F56" s="89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3119.0</v>
      </c>
      <c r="G56" s="125"/>
    </row>
    <row r="57" spans="1:13" ht="15.6" x14ac:dyDescent="0.3">
      <c r="A57" s="145"/>
      <c r="B57" s="164"/>
      <c r="C57" s="165" t="s">
        <v>140</v>
      </c>
      <c r="D57" s="158" t="s">
        <v>36</v>
      </c>
      <c r="E57" s="158" t="s">
        <v>141</v>
      </c>
      <c r="F57" s="166"/>
      <c r="G57" s="125"/>
    </row>
    <row r="58" spans="1:13" ht="15.6" x14ac:dyDescent="0.3">
      <c r="A58" s="145"/>
      <c r="B58" s="164" t="s">
        <v>145</v>
      </c>
      <c r="C58" s="169" t="s">
        <v>143</v>
      </c>
      <c r="D58" s="158" t="str">
        <f>C58</f>
        <v>%</v>
      </c>
      <c r="E58" s="158" t="s">
        <v>144</v>
      </c>
      <c r="F58" s="166"/>
      <c r="G58" s="125"/>
    </row>
    <row r="59" spans="1:13" ht="15.6" x14ac:dyDescent="0.3">
      <c r="A59" s="145"/>
      <c r="B59" s="45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7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3119.0</v>
      </c>
      <c r="G59" s="125"/>
    </row>
    <row r="60" spans="1:13" ht="15" customHeight="1" x14ac:dyDescent="0.3">
      <c r="A60" s="145"/>
      <c r="B60" s="45" t="s">
        <v>46</v>
      </c>
      <c r="C60" s="111" t="s">
        <v>146</v>
      </c>
      <c r="D60" s="119"/>
      <c r="E60" s="98"/>
      <c r="F60" s="125"/>
      <c r="G60" s="125"/>
    </row>
    <row r="61" spans="1:13" x14ac:dyDescent="0.3">
      <c r="A61" s="145"/>
      <c r="B61" s="45" t="s">
        <v>49</v>
      </c>
      <c r="C61" s="111" t="n">
        <f>Mappings!W2</f>
        <v>0.0</v>
      </c>
      <c r="D61" s="119"/>
      <c r="E61" s="133"/>
      <c r="F61" s="160" t="n">
        <f>IF($C$60=Lookup!$BG$21,VLOOKUP($C$61,Lookup!$BH$3:$BI$7,2,FALSE),IF($C$60 = "Not Required",0,VLOOKUP($C$61,Lookup!$BH$10:$BI$14,2,FALSE)))</f>
        <v>0.0</v>
      </c>
      <c r="G61" s="125"/>
    </row>
    <row r="62" spans="1:13" x14ac:dyDescent="0.3">
      <c r="A62" s="145"/>
      <c r="B62" s="247" t="s">
        <v>52</v>
      </c>
      <c r="C62" s="248"/>
      <c r="D62" s="118"/>
      <c r="E62" s="133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5"/>
    </row>
    <row r="63" spans="1:13" x14ac:dyDescent="0.3">
      <c r="A63" s="145"/>
      <c r="B63" s="249" t="s">
        <v>53</v>
      </c>
      <c r="C63" s="250"/>
      <c r="D63" s="118"/>
      <c r="E63" s="157"/>
      <c r="F63" s="160" t="n">
        <f>$F$59*0.03</f>
        <v>93.57</v>
      </c>
      <c r="G63" s="125"/>
    </row>
    <row r="64" spans="1:13" ht="15" thickBot="1" x14ac:dyDescent="0.35">
      <c r="A64" s="145"/>
      <c r="B64" s="137"/>
      <c r="C64" s="118"/>
      <c r="D64" s="118"/>
      <c r="E64" s="159"/>
      <c r="F64" s="236" t="n">
        <f>SUM(F61:F63)</f>
        <v>193.57</v>
      </c>
      <c r="G64" s="125"/>
    </row>
    <row r="65" spans="1:7" ht="18.600000000000001" thickBot="1" x14ac:dyDescent="0.35">
      <c r="A65" s="145"/>
      <c r="B65" s="251" t="s">
        <v>54</v>
      </c>
      <c r="C65" s="252"/>
      <c r="D65" s="252"/>
      <c r="E65" s="253"/>
      <c r="F65" s="90" t="n">
        <f>$F$59+$F$61+$F$62+$F$63</f>
        <v>3312.57</v>
      </c>
      <c r="G65" s="125"/>
    </row>
    <row r="66" spans="1:7" x14ac:dyDescent="0.3">
      <c r="A66" s="145"/>
      <c r="B66" s="119"/>
      <c r="C66" s="118"/>
      <c r="D66" s="118"/>
      <c r="E66" s="120"/>
      <c r="F66" s="118"/>
      <c r="G66" s="125"/>
    </row>
    <row r="67" spans="1:7" x14ac:dyDescent="0.3">
      <c r="A67" s="145"/>
      <c r="B67" s="119"/>
      <c r="C67" s="118"/>
      <c r="D67" s="118"/>
      <c r="E67" s="120"/>
      <c r="F67" s="118"/>
      <c r="G67" s="125"/>
    </row>
    <row r="68" spans="1:7" x14ac:dyDescent="0.3">
      <c r="A68" s="145"/>
      <c r="B68" s="119"/>
      <c r="C68" s="118"/>
      <c r="D68" s="118"/>
      <c r="E68" s="120"/>
      <c r="F68" s="118"/>
      <c r="G68" s="125"/>
    </row>
    <row r="69" spans="1:7" x14ac:dyDescent="0.3">
      <c r="A69" s="145"/>
      <c r="B69" s="119"/>
      <c r="C69" s="118"/>
      <c r="D69" s="118"/>
      <c r="E69" s="120"/>
      <c r="F69" s="118"/>
      <c r="G69" s="125"/>
    </row>
    <row r="70" spans="1:7" x14ac:dyDescent="0.3">
      <c r="A70" s="145"/>
      <c r="B70" s="119"/>
      <c r="C70" s="118"/>
      <c r="D70" s="118"/>
      <c r="E70" s="120"/>
      <c r="F70" s="118"/>
      <c r="G70" s="125"/>
    </row>
    <row r="71" spans="1:7" x14ac:dyDescent="0.3">
      <c r="A71" s="145"/>
      <c r="B71" s="119"/>
      <c r="C71" s="118"/>
      <c r="D71" s="118"/>
      <c r="E71" s="120"/>
      <c r="F71" s="118"/>
      <c r="G71" s="125"/>
    </row>
    <row r="72" spans="1:7" x14ac:dyDescent="0.3">
      <c r="A72" s="145"/>
      <c r="B72" s="119"/>
      <c r="C72" s="118"/>
      <c r="D72" s="118"/>
      <c r="E72" s="120"/>
      <c r="F72" s="118"/>
      <c r="G72" s="125"/>
    </row>
    <row r="73" spans="1:7" x14ac:dyDescent="0.3">
      <c r="A73" s="145"/>
      <c r="B73" s="119"/>
      <c r="C73" s="118"/>
      <c r="D73" s="118"/>
      <c r="E73" s="120"/>
      <c r="F73" s="118"/>
      <c r="G73" s="125"/>
    </row>
    <row r="74" spans="1:7" ht="15" thickBot="1" x14ac:dyDescent="0.35">
      <c r="A74" s="148"/>
      <c r="B74" s="149"/>
      <c r="C74" s="150"/>
      <c r="D74" s="150"/>
      <c r="E74" s="151"/>
      <c r="F74" s="150"/>
      <c r="G74" s="152"/>
    </row>
    <row r="75" spans="1:7" x14ac:dyDescent="0.3">
      <c r="G75" s="118"/>
    </row>
  </sheetData>
  <mergeCells count="11">
    <mergeCell ref="C14:D14"/>
    <mergeCell ref="B40:E40"/>
    <mergeCell ref="C43:F43"/>
    <mergeCell ref="C32:F32"/>
    <mergeCell ref="B21:C21"/>
    <mergeCell ref="C31:F31"/>
    <mergeCell ref="B62:C62"/>
    <mergeCell ref="B63:C63"/>
    <mergeCell ref="B65:E65"/>
    <mergeCell ref="B55:E55"/>
    <mergeCell ref="B56:E56"/>
  </mergeCells>
  <conditionalFormatting sqref="D28">
    <cfRule type="expression" dxfId="15" priority="1850">
      <formula>$D$28&lt;&gt;""</formula>
    </cfRule>
  </conditionalFormatting>
  <conditionalFormatting sqref="C12">
    <cfRule type="expression" dxfId="14" priority="1826">
      <formula>OR(C6="DP1",C6="DP3")</formula>
    </cfRule>
  </conditionalFormatting>
  <conditionalFormatting sqref="C10">
    <cfRule type="expression" dxfId="13" priority="1846">
      <formula>C6="HO4"</formula>
    </cfRule>
  </conditionalFormatting>
  <conditionalFormatting sqref="C11">
    <cfRule type="expression" dxfId="12" priority="1845">
      <formula>OR(C6="DP1",C6="DP3",C6="HO4")</formula>
    </cfRule>
  </conditionalFormatting>
  <conditionalFormatting sqref="C13">
    <cfRule type="expression" dxfId="11" priority="1825">
      <formula>OR(C6="DP1",C6="DP3")</formula>
    </cfRule>
  </conditionalFormatting>
  <conditionalFormatting sqref="D46">
    <cfRule type="expression" dxfId="10" priority="396">
      <formula>$D$46="Please Select"</formula>
    </cfRule>
  </conditionalFormatting>
  <conditionalFormatting sqref="D47">
    <cfRule type="expression" dxfId="9" priority="395">
      <formula>$D$47="Please Select"</formula>
    </cfRule>
  </conditionalFormatting>
  <conditionalFormatting sqref="D48">
    <cfRule type="expression" dxfId="8" priority="394">
      <formula>$D$48="Please Select"</formula>
    </cfRule>
  </conditionalFormatting>
  <conditionalFormatting sqref="D49">
    <cfRule type="expression" dxfId="7" priority="393">
      <formula>$D$49="Please Select"</formula>
    </cfRule>
  </conditionalFormatting>
  <conditionalFormatting sqref="D50:D52">
    <cfRule type="expression" dxfId="6" priority="392">
      <formula>$D$50="Please Select"</formula>
    </cfRule>
  </conditionalFormatting>
  <conditionalFormatting sqref="F30">
    <cfRule type="expression" dxfId="5" priority="281">
      <formula>$F$30="Resolve Error"</formula>
    </cfRule>
  </conditionalFormatting>
  <dataValidations count="5">
    <dataValidation type="list" allowBlank="1" showInputMessage="1" showErrorMessage="1" sqref="C18 C44" xr:uid="{00000000-0002-0000-0100-000000000000}">
      <formula1>"Yes,No"</formula1>
    </dataValidation>
    <dataValidation type="list" allowBlank="1" showInputMessage="1" showErrorMessage="1" sqref="C46" xr:uid="{00000000-0002-0000-0100-000001000000}">
      <formula1>"0,1,2,3,4,5"</formula1>
    </dataValidation>
    <dataValidation type="list" allowBlank="1" showInputMessage="1" showErrorMessage="1" sqref="C7" xr:uid="{00000000-0002-0000-0100-000002000000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00000000-0002-0000-0100-000003000000}">
      <formula1>0</formula1>
      <formula2>1000000</formula2>
    </dataValidation>
    <dataValidation type="whole" allowBlank="1" showInputMessage="1" showErrorMessage="1" sqref="D59" xr:uid="{00000000-0002-0000-0100-000004000000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</xm:sqref>
        </x14:dataValidation>
        <x14:dataValidation type="list" allowBlank="1" showInputMessage="1" showErrorMessage="1" xr:uid="{5A131722-4712-4A16-9A94-35556549445F}">
          <x14:formula1>
            <xm:f>Lookup!$A$15:$A$21</xm:f>
          </x14:formula1>
          <xm:sqref>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81467-AB2B-484D-8666-24EFE742D351}">
  <dimension ref="A1:L11"/>
  <sheetViews>
    <sheetView workbookViewId="0">
      <selection activeCell="H3" sqref="H3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70" t="s">
        <v>12</v>
      </c>
      <c r="B1" s="271"/>
      <c r="C1" s="270" t="s">
        <v>34</v>
      </c>
      <c r="D1" s="272"/>
      <c r="E1" s="270" t="s">
        <v>168</v>
      </c>
      <c r="F1" s="271"/>
      <c r="G1" s="270" t="s">
        <v>44</v>
      </c>
      <c r="H1" s="271"/>
      <c r="I1" s="273" t="s">
        <v>29</v>
      </c>
      <c r="J1" s="274"/>
      <c r="K1" s="269" t="s">
        <v>164</v>
      </c>
      <c r="L1" s="269"/>
    </row>
    <row r="2" spans="1:12" x14ac:dyDescent="0.3">
      <c r="A2" s="217" t="s">
        <v>165</v>
      </c>
      <c r="B2" s="218" t="s">
        <v>90</v>
      </c>
      <c r="C2" s="233">
        <v>1</v>
      </c>
      <c r="D2" s="221" t="s">
        <v>108</v>
      </c>
      <c r="E2" s="240">
        <v>0</v>
      </c>
      <c r="F2" s="218" t="s">
        <v>77</v>
      </c>
      <c r="G2" s="226">
        <v>0</v>
      </c>
      <c r="H2" s="227" t="s">
        <v>77</v>
      </c>
      <c r="I2" s="233">
        <v>1000</v>
      </c>
      <c r="J2" s="230">
        <v>1000</v>
      </c>
      <c r="K2">
        <v>1</v>
      </c>
      <c r="L2" s="235" t="s">
        <v>73</v>
      </c>
    </row>
    <row r="3" spans="1:12" x14ac:dyDescent="0.3">
      <c r="A3" s="217" t="s">
        <v>166</v>
      </c>
      <c r="B3" s="218" t="s">
        <v>13</v>
      </c>
      <c r="C3" s="233">
        <v>2</v>
      </c>
      <c r="D3" s="221" t="s">
        <v>110</v>
      </c>
      <c r="E3" s="233">
        <v>100000</v>
      </c>
      <c r="F3" s="223">
        <v>100000</v>
      </c>
      <c r="G3" s="233">
        <v>5000</v>
      </c>
      <c r="H3" s="228">
        <v>5000</v>
      </c>
      <c r="I3" s="233">
        <v>2500</v>
      </c>
      <c r="J3" s="231">
        <v>2500</v>
      </c>
      <c r="K3">
        <v>2</v>
      </c>
      <c r="L3" s="235" t="s">
        <v>169</v>
      </c>
    </row>
    <row r="4" spans="1:12" x14ac:dyDescent="0.3">
      <c r="A4" s="217" t="s">
        <v>167</v>
      </c>
      <c r="B4" s="218" t="s">
        <v>97</v>
      </c>
      <c r="C4" s="233">
        <v>3</v>
      </c>
      <c r="D4" s="221" t="s">
        <v>35</v>
      </c>
      <c r="E4" s="233">
        <v>300000</v>
      </c>
      <c r="F4" s="223">
        <v>300000</v>
      </c>
      <c r="G4" s="233">
        <v>10000</v>
      </c>
      <c r="H4" s="228">
        <v>10000</v>
      </c>
      <c r="I4" s="233">
        <v>5000</v>
      </c>
      <c r="J4" s="231">
        <v>5000</v>
      </c>
      <c r="K4">
        <v>3</v>
      </c>
      <c r="L4" s="235" t="s">
        <v>170</v>
      </c>
    </row>
    <row r="5" spans="1:12" ht="15" thickBot="1" x14ac:dyDescent="0.35">
      <c r="A5" s="219" t="s">
        <v>162</v>
      </c>
      <c r="B5" s="220" t="s">
        <v>100</v>
      </c>
      <c r="C5" s="233">
        <v>4</v>
      </c>
      <c r="D5" s="222" t="s">
        <v>111</v>
      </c>
      <c r="E5" s="233">
        <v>500000</v>
      </c>
      <c r="F5" s="223">
        <v>500000</v>
      </c>
      <c r="G5" s="233">
        <v>25000</v>
      </c>
      <c r="H5" s="228">
        <v>25000</v>
      </c>
      <c r="I5" s="233">
        <v>10000</v>
      </c>
      <c r="J5" s="232">
        <v>10000</v>
      </c>
      <c r="K5">
        <v>4</v>
      </c>
      <c r="L5" s="235" t="s">
        <v>171</v>
      </c>
    </row>
    <row r="6" spans="1:12" ht="15" thickBot="1" x14ac:dyDescent="0.35">
      <c r="E6" s="234">
        <v>1000000</v>
      </c>
      <c r="F6" s="224">
        <v>1000000</v>
      </c>
      <c r="G6" s="234">
        <v>50000</v>
      </c>
      <c r="H6" s="229">
        <v>50000</v>
      </c>
      <c r="K6">
        <v>5</v>
      </c>
      <c r="L6" s="235" t="s">
        <v>172</v>
      </c>
    </row>
    <row r="7" spans="1:12" x14ac:dyDescent="0.3">
      <c r="K7">
        <v>6</v>
      </c>
      <c r="L7" s="235" t="s">
        <v>173</v>
      </c>
    </row>
    <row r="8" spans="1:12" x14ac:dyDescent="0.3">
      <c r="K8">
        <v>7</v>
      </c>
      <c r="L8" s="235" t="s">
        <v>15</v>
      </c>
    </row>
    <row r="9" spans="1:12" x14ac:dyDescent="0.3">
      <c r="K9">
        <v>8</v>
      </c>
      <c r="L9" s="235" t="s">
        <v>74</v>
      </c>
    </row>
    <row r="10" spans="1:12" x14ac:dyDescent="0.3">
      <c r="K10">
        <v>9</v>
      </c>
      <c r="L10" s="235" t="s">
        <v>75</v>
      </c>
    </row>
    <row r="11" spans="1:12" x14ac:dyDescent="0.3">
      <c r="K11">
        <v>10</v>
      </c>
      <c r="L11" s="235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A52" workbookViewId="0">
      <selection activeCell="C60" sqref="C60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5" t="s">
        <v>59</v>
      </c>
      <c r="F1" s="275"/>
      <c r="G1" s="275"/>
      <c r="H1" s="275"/>
      <c r="I1" s="275"/>
      <c r="J1" s="275"/>
      <c r="K1" s="275"/>
      <c r="L1" s="275"/>
      <c r="M1" s="275"/>
      <c r="N1" s="275"/>
      <c r="O1" s="275"/>
      <c r="Q1" t="s">
        <v>60</v>
      </c>
      <c r="T1" t="s">
        <v>61</v>
      </c>
      <c r="U1" s="38">
        <v>-0.05</v>
      </c>
      <c r="W1" s="32" t="s">
        <v>31</v>
      </c>
      <c r="X1" s="37">
        <v>2</v>
      </c>
      <c r="Z1" t="s">
        <v>62</v>
      </c>
      <c r="AA1" s="61">
        <v>-0.05</v>
      </c>
      <c r="AC1" t="s">
        <v>63</v>
      </c>
      <c r="AD1" s="38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6" t="s">
        <v>73</v>
      </c>
      <c r="G2" s="239" t="s">
        <v>169</v>
      </c>
      <c r="H2" s="239" t="s">
        <v>170</v>
      </c>
      <c r="I2" s="239" t="s">
        <v>171</v>
      </c>
      <c r="J2" s="239" t="s">
        <v>172</v>
      </c>
      <c r="K2" s="239" t="s">
        <v>173</v>
      </c>
      <c r="L2" s="6" t="s">
        <v>15</v>
      </c>
      <c r="M2" s="6" t="s">
        <v>74</v>
      </c>
      <c r="N2" s="6" t="s">
        <v>75</v>
      </c>
      <c r="O2" s="6" t="s">
        <v>76</v>
      </c>
      <c r="Q2" s="225">
        <v>1000</v>
      </c>
      <c r="R2" s="38">
        <v>0</v>
      </c>
      <c r="T2" s="32" t="s">
        <v>25</v>
      </c>
      <c r="U2" s="38">
        <v>-0.05</v>
      </c>
      <c r="AE2" t="s">
        <v>77</v>
      </c>
      <c r="AX2" s="41">
        <v>1000</v>
      </c>
      <c r="AY2" s="37">
        <v>0</v>
      </c>
      <c r="BA2" t="s">
        <v>77</v>
      </c>
      <c r="BB2" s="37">
        <v>0</v>
      </c>
      <c r="BD2" t="s">
        <v>121</v>
      </c>
      <c r="BE2" s="37">
        <v>250</v>
      </c>
      <c r="BG2" s="1" t="s">
        <v>78</v>
      </c>
      <c r="BH2" s="23" t="s">
        <v>79</v>
      </c>
      <c r="BI2" s="27" t="s">
        <v>80</v>
      </c>
      <c r="BJ2" s="96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25">
        <v>2500</v>
      </c>
      <c r="R3" s="38">
        <v>-0.15</v>
      </c>
      <c r="T3" s="32" t="s">
        <v>26</v>
      </c>
      <c r="U3" s="38">
        <v>-0.05</v>
      </c>
      <c r="AE3" s="37">
        <v>100000</v>
      </c>
      <c r="AX3" s="41">
        <v>5000</v>
      </c>
      <c r="AY3" s="37">
        <v>25</v>
      </c>
      <c r="BA3" s="41">
        <v>5000</v>
      </c>
      <c r="BB3" s="37">
        <v>10</v>
      </c>
      <c r="BD3" s="42">
        <v>12</v>
      </c>
      <c r="BE3" s="37">
        <v>500</v>
      </c>
      <c r="BH3" t="s">
        <v>41</v>
      </c>
      <c r="BI3" s="28">
        <v>0</v>
      </c>
      <c r="BL3" s="43">
        <v>0</v>
      </c>
      <c r="BM3" s="44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25">
        <v>5000</v>
      </c>
      <c r="R4" s="38">
        <v>-0.25</v>
      </c>
      <c r="T4" s="34" t="s">
        <v>28</v>
      </c>
      <c r="U4" s="38">
        <v>-0.01</v>
      </c>
      <c r="AE4" s="37">
        <v>300000</v>
      </c>
      <c r="AX4" s="41">
        <v>10000</v>
      </c>
      <c r="AY4" s="37">
        <v>50</v>
      </c>
      <c r="BA4" s="41">
        <v>10000</v>
      </c>
      <c r="BB4" s="37">
        <v>25</v>
      </c>
      <c r="BD4" t="s">
        <v>94</v>
      </c>
      <c r="BE4" s="37">
        <v>250</v>
      </c>
      <c r="BH4" s="24" t="s">
        <v>51</v>
      </c>
      <c r="BI4" s="28">
        <v>85</v>
      </c>
      <c r="BJ4" s="9">
        <v>75</v>
      </c>
      <c r="BL4" s="43">
        <v>500</v>
      </c>
      <c r="BM4" s="44">
        <v>1000</v>
      </c>
      <c r="BN4" s="11">
        <v>85</v>
      </c>
      <c r="BP4" t="s">
        <v>17</v>
      </c>
      <c r="BQ4" s="38">
        <v>0.1</v>
      </c>
      <c r="BR4" s="38">
        <v>0.1</v>
      </c>
      <c r="BS4" t="s">
        <v>41</v>
      </c>
      <c r="BT4" s="202">
        <v>0</v>
      </c>
      <c r="BU4" s="38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25">
        <v>10000</v>
      </c>
      <c r="R5" s="38">
        <v>-0.35</v>
      </c>
      <c r="AE5" s="37">
        <v>500000</v>
      </c>
      <c r="AX5" s="41">
        <v>25000</v>
      </c>
      <c r="AY5" s="37">
        <v>75</v>
      </c>
      <c r="BA5" s="41">
        <v>25000</v>
      </c>
      <c r="BB5" s="37">
        <v>50</v>
      </c>
      <c r="BH5" s="24" t="s">
        <v>174</v>
      </c>
      <c r="BI5" s="28">
        <v>155</v>
      </c>
      <c r="BJ5" s="9">
        <v>145</v>
      </c>
      <c r="BL5" s="43">
        <v>1001</v>
      </c>
      <c r="BM5" s="44">
        <v>5000</v>
      </c>
      <c r="BN5" s="11">
        <v>100</v>
      </c>
      <c r="BP5" t="s">
        <v>18</v>
      </c>
      <c r="BQ5" s="38">
        <v>0.5</v>
      </c>
      <c r="BR5" s="38">
        <v>0.5</v>
      </c>
      <c r="BS5" s="202">
        <v>0</v>
      </c>
      <c r="BT5" s="202">
        <v>0</v>
      </c>
      <c r="BU5" s="38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7">
        <v>1000000</v>
      </c>
      <c r="AX6" s="41">
        <v>50000</v>
      </c>
      <c r="AY6" s="37">
        <v>100</v>
      </c>
      <c r="BA6" s="41">
        <v>50000</v>
      </c>
      <c r="BB6" s="37">
        <v>100</v>
      </c>
      <c r="BH6" s="25" t="s">
        <v>50</v>
      </c>
      <c r="BI6" s="29">
        <v>45</v>
      </c>
      <c r="BJ6" s="10">
        <v>35</v>
      </c>
      <c r="BL6" s="43">
        <v>5001</v>
      </c>
      <c r="BM6" s="44">
        <v>10000</v>
      </c>
      <c r="BN6" s="11">
        <v>150</v>
      </c>
      <c r="BP6" t="s">
        <v>19</v>
      </c>
      <c r="BQ6" s="38">
        <v>0.1</v>
      </c>
      <c r="BR6" s="38">
        <v>0.2</v>
      </c>
      <c r="BS6" s="38">
        <v>0.3</v>
      </c>
      <c r="BT6" s="38">
        <v>0.3</v>
      </c>
      <c r="BU6" s="38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6" t="s">
        <v>103</v>
      </c>
      <c r="BI7" s="30">
        <v>20</v>
      </c>
      <c r="BJ7" s="11">
        <v>10</v>
      </c>
      <c r="BL7" s="43">
        <v>10001</v>
      </c>
      <c r="BM7" s="44">
        <v>9999999</v>
      </c>
      <c r="BN7" s="11">
        <v>250</v>
      </c>
      <c r="BQ7" s="58"/>
      <c r="BR7" s="58"/>
      <c r="BS7" s="58"/>
      <c r="BT7" s="58"/>
      <c r="BU7" s="58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8"/>
      <c r="BR8" s="58"/>
      <c r="BS8" s="58"/>
      <c r="BT8" s="58"/>
      <c r="BU8" s="58"/>
    </row>
    <row r="9" spans="1:78" x14ac:dyDescent="0.3">
      <c r="C9" t="s">
        <v>114</v>
      </c>
      <c r="E9" s="275" t="s">
        <v>115</v>
      </c>
      <c r="F9" s="275"/>
      <c r="G9" s="275"/>
      <c r="H9" s="275"/>
      <c r="I9" s="275"/>
      <c r="J9" s="275"/>
      <c r="K9" s="275"/>
      <c r="L9" s="275"/>
      <c r="M9" s="275"/>
      <c r="N9" s="275"/>
      <c r="O9" s="275"/>
      <c r="AE9" s="39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39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3" t="s">
        <v>79</v>
      </c>
      <c r="BI9" s="27" t="s">
        <v>80</v>
      </c>
      <c r="BJ9" s="96" t="s">
        <v>81</v>
      </c>
    </row>
    <row r="10" spans="1:78" x14ac:dyDescent="0.3">
      <c r="C10" t="s">
        <v>117</v>
      </c>
      <c r="E10" s="21" t="s">
        <v>72</v>
      </c>
      <c r="F10" s="6" t="s">
        <v>73</v>
      </c>
      <c r="G10" s="239" t="s">
        <v>169</v>
      </c>
      <c r="H10" s="239" t="s">
        <v>170</v>
      </c>
      <c r="I10" s="239" t="s">
        <v>171</v>
      </c>
      <c r="J10" s="239" t="s">
        <v>172</v>
      </c>
      <c r="K10" s="239" t="s">
        <v>173</v>
      </c>
      <c r="L10" s="6" t="s">
        <v>15</v>
      </c>
      <c r="M10" s="6" t="s">
        <v>74</v>
      </c>
      <c r="N10" s="6" t="s">
        <v>75</v>
      </c>
      <c r="O10" s="6" t="s">
        <v>76</v>
      </c>
      <c r="AE10" s="39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39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8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39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39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4" t="s">
        <v>51</v>
      </c>
      <c r="BI11" s="28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39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39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4" t="s">
        <v>174</v>
      </c>
      <c r="BI12" s="28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39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39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5" t="s">
        <v>50</v>
      </c>
      <c r="BI13" s="29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39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39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6" t="s">
        <v>103</v>
      </c>
      <c r="BI14" s="28">
        <v>25</v>
      </c>
      <c r="BJ14" s="9">
        <v>15</v>
      </c>
    </row>
    <row r="15" spans="1:78" x14ac:dyDescent="0.3">
      <c r="A15" s="36" t="s">
        <v>69</v>
      </c>
      <c r="B15" s="36"/>
      <c r="C15" s="36" t="s">
        <v>70</v>
      </c>
      <c r="E15" s="2"/>
      <c r="F15" s="35"/>
      <c r="G15" s="35"/>
      <c r="H15" s="35"/>
      <c r="I15" s="35"/>
      <c r="J15" s="35"/>
      <c r="K15" s="35"/>
      <c r="L15" s="35"/>
      <c r="M15" s="35"/>
      <c r="N15" s="35"/>
      <c r="O15" s="35"/>
      <c r="AE15" s="39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39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6" t="s">
        <v>83</v>
      </c>
      <c r="B16" s="36"/>
      <c r="C16" s="36" t="s">
        <v>88</v>
      </c>
      <c r="AE16" s="39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39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6" t="s">
        <v>84</v>
      </c>
      <c r="B17" s="36"/>
      <c r="C17" s="36" t="s">
        <v>92</v>
      </c>
      <c r="E17" s="275" t="s">
        <v>102</v>
      </c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AE17" s="39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39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6" t="s">
        <v>85</v>
      </c>
      <c r="B18" s="36"/>
      <c r="C18" s="36" t="s">
        <v>95</v>
      </c>
      <c r="E18" s="21" t="s">
        <v>72</v>
      </c>
      <c r="F18" s="241" t="s">
        <v>73</v>
      </c>
      <c r="G18" s="239" t="s">
        <v>169</v>
      </c>
      <c r="H18" s="239" t="s">
        <v>170</v>
      </c>
      <c r="I18" s="239" t="s">
        <v>171</v>
      </c>
      <c r="J18" s="239" t="s">
        <v>172</v>
      </c>
      <c r="K18" s="239" t="s">
        <v>173</v>
      </c>
      <c r="L18" s="241" t="s">
        <v>15</v>
      </c>
      <c r="M18" s="241" t="s">
        <v>74</v>
      </c>
      <c r="N18" s="241" t="s">
        <v>75</v>
      </c>
      <c r="O18" s="6" t="s">
        <v>76</v>
      </c>
      <c r="AE18" s="39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39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6" t="s">
        <v>86</v>
      </c>
      <c r="B19" s="36"/>
      <c r="C19" s="36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39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39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6" t="s">
        <v>9</v>
      </c>
      <c r="B20" s="36"/>
      <c r="C20" s="36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39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39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6" t="s">
        <v>87</v>
      </c>
      <c r="B21" s="36"/>
      <c r="C21" s="36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0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0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6"/>
      <c r="B22" s="36"/>
      <c r="C22" s="36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0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0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6"/>
      <c r="B23" s="36"/>
      <c r="C23" s="36" t="s">
        <v>117</v>
      </c>
      <c r="AE23" s="40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0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6"/>
      <c r="B24" s="36"/>
      <c r="C24" s="36" t="s">
        <v>71</v>
      </c>
      <c r="AE24" s="40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0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6"/>
      <c r="B25" s="36"/>
      <c r="C25" s="36" t="s">
        <v>89</v>
      </c>
      <c r="E25" s="275" t="s">
        <v>118</v>
      </c>
      <c r="F25" s="275"/>
      <c r="G25" s="275"/>
      <c r="H25" s="275"/>
      <c r="I25" s="275"/>
      <c r="J25" s="275"/>
      <c r="K25" s="275"/>
      <c r="L25" s="275"/>
      <c r="M25" s="275"/>
      <c r="N25" s="275"/>
      <c r="O25" s="275"/>
    </row>
    <row r="26" spans="1:59" x14ac:dyDescent="0.3">
      <c r="A26" s="36"/>
      <c r="B26" s="36"/>
      <c r="C26" s="36" t="s">
        <v>93</v>
      </c>
      <c r="E26" s="21" t="s">
        <v>72</v>
      </c>
      <c r="F26" s="6" t="s">
        <v>73</v>
      </c>
      <c r="G26" s="239" t="s">
        <v>169</v>
      </c>
      <c r="H26" s="239" t="s">
        <v>170</v>
      </c>
      <c r="I26" s="239" t="s">
        <v>171</v>
      </c>
      <c r="J26" s="239" t="s">
        <v>172</v>
      </c>
      <c r="K26" s="239" t="s">
        <v>173</v>
      </c>
      <c r="L26" s="6" t="s">
        <v>15</v>
      </c>
      <c r="M26" s="6" t="s">
        <v>74</v>
      </c>
      <c r="N26" s="6" t="s">
        <v>75</v>
      </c>
      <c r="O26" s="6" t="s">
        <v>76</v>
      </c>
    </row>
    <row r="27" spans="1:59" x14ac:dyDescent="0.3">
      <c r="A27" s="36"/>
      <c r="B27" s="36"/>
      <c r="C27" s="36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6"/>
      <c r="B28" s="36"/>
      <c r="C28" s="36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6"/>
      <c r="B29" s="36"/>
      <c r="C29" s="36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6"/>
      <c r="B30" s="36"/>
      <c r="C30" s="36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39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39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39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39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39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39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39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39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39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39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39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39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39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39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0" t="s">
        <v>70</v>
      </c>
      <c r="B37" s="60" t="s">
        <v>70</v>
      </c>
      <c r="C37" s="60" t="s">
        <v>114</v>
      </c>
      <c r="D37" s="60" t="s">
        <v>70</v>
      </c>
      <c r="AE37" s="39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39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0" t="s">
        <v>88</v>
      </c>
      <c r="B38" s="60" t="s">
        <v>88</v>
      </c>
      <c r="D38" s="60" t="s">
        <v>88</v>
      </c>
      <c r="AE38" s="39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39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0" t="s">
        <v>92</v>
      </c>
      <c r="B39" s="60" t="s">
        <v>92</v>
      </c>
      <c r="D39" s="60" t="s">
        <v>92</v>
      </c>
      <c r="AE39" s="39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39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0" t="s">
        <v>95</v>
      </c>
      <c r="B40" s="60" t="s">
        <v>95</v>
      </c>
      <c r="D40" s="60" t="s">
        <v>95</v>
      </c>
      <c r="AE40" s="39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39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0" t="s">
        <v>98</v>
      </c>
      <c r="B41" s="60" t="s">
        <v>98</v>
      </c>
      <c r="D41" s="60" t="s">
        <v>98</v>
      </c>
      <c r="AE41" s="39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39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0" t="s">
        <v>11</v>
      </c>
      <c r="B42" s="60" t="s">
        <v>11</v>
      </c>
      <c r="D42" s="60" t="s">
        <v>11</v>
      </c>
      <c r="AE42" s="40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0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0" t="s">
        <v>104</v>
      </c>
      <c r="B43" s="60" t="s">
        <v>104</v>
      </c>
      <c r="D43" s="60" t="s">
        <v>104</v>
      </c>
      <c r="AE43" s="40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0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0" t="s">
        <v>71</v>
      </c>
      <c r="B44" s="60" t="s">
        <v>71</v>
      </c>
      <c r="D44" s="60" t="s">
        <v>114</v>
      </c>
      <c r="AE44" s="40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0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0" t="s">
        <v>89</v>
      </c>
      <c r="B45" s="60" t="s">
        <v>89</v>
      </c>
      <c r="D45" s="60" t="s">
        <v>117</v>
      </c>
      <c r="AE45" s="40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0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0" t="s">
        <v>93</v>
      </c>
      <c r="B46" s="60" t="s">
        <v>93</v>
      </c>
    </row>
    <row r="47" spans="1:48" x14ac:dyDescent="0.3">
      <c r="A47" s="60" t="s">
        <v>120</v>
      </c>
      <c r="B47" s="60" t="s">
        <v>120</v>
      </c>
    </row>
    <row r="48" spans="1:48" x14ac:dyDescent="0.3">
      <c r="A48" s="60" t="s">
        <v>101</v>
      </c>
      <c r="B48" s="60" t="s">
        <v>101</v>
      </c>
    </row>
    <row r="49" spans="1:4" x14ac:dyDescent="0.3">
      <c r="A49" s="60" t="s">
        <v>105</v>
      </c>
      <c r="B49" s="60" t="s">
        <v>105</v>
      </c>
    </row>
    <row r="50" spans="1:4" x14ac:dyDescent="0.3">
      <c r="B50" s="31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0" t="s">
        <v>70</v>
      </c>
      <c r="B54" s="60" t="s">
        <v>70</v>
      </c>
      <c r="C54" s="60" t="s">
        <v>70</v>
      </c>
      <c r="D54" s="62" t="s">
        <v>108</v>
      </c>
    </row>
    <row r="55" spans="1:4" x14ac:dyDescent="0.3">
      <c r="A55" s="60" t="s">
        <v>88</v>
      </c>
      <c r="B55" s="60" t="s">
        <v>88</v>
      </c>
      <c r="C55" s="60" t="s">
        <v>88</v>
      </c>
      <c r="D55" s="62" t="s">
        <v>110</v>
      </c>
    </row>
    <row r="56" spans="1:4" x14ac:dyDescent="0.3">
      <c r="A56" s="60" t="s">
        <v>92</v>
      </c>
      <c r="B56" s="60" t="s">
        <v>92</v>
      </c>
      <c r="C56" s="60" t="s">
        <v>92</v>
      </c>
      <c r="D56" s="62" t="s">
        <v>35</v>
      </c>
    </row>
    <row r="57" spans="1:4" x14ac:dyDescent="0.3">
      <c r="A57" s="60" t="s">
        <v>95</v>
      </c>
      <c r="B57" s="60" t="s">
        <v>95</v>
      </c>
      <c r="C57" s="60" t="s">
        <v>95</v>
      </c>
      <c r="D57" s="62" t="s">
        <v>111</v>
      </c>
    </row>
    <row r="58" spans="1:4" x14ac:dyDescent="0.3">
      <c r="A58" s="60" t="s">
        <v>98</v>
      </c>
      <c r="B58" s="60" t="s">
        <v>98</v>
      </c>
      <c r="C58" s="60" t="s">
        <v>98</v>
      </c>
    </row>
    <row r="59" spans="1:4" x14ac:dyDescent="0.3">
      <c r="A59" s="60" t="s">
        <v>11</v>
      </c>
      <c r="B59" s="60" t="s">
        <v>11</v>
      </c>
      <c r="C59" s="60" t="s">
        <v>11</v>
      </c>
    </row>
    <row r="60" spans="1:4" x14ac:dyDescent="0.3">
      <c r="A60" s="60" t="s">
        <v>104</v>
      </c>
      <c r="B60" s="60" t="s">
        <v>104</v>
      </c>
      <c r="C60" s="60" t="s">
        <v>104</v>
      </c>
    </row>
    <row r="61" spans="1:4" x14ac:dyDescent="0.3">
      <c r="A61" s="60" t="s">
        <v>71</v>
      </c>
      <c r="B61" s="60" t="s">
        <v>114</v>
      </c>
      <c r="C61" s="60" t="s">
        <v>114</v>
      </c>
    </row>
    <row r="62" spans="1:4" x14ac:dyDescent="0.3">
      <c r="A62" s="60" t="s">
        <v>89</v>
      </c>
      <c r="B62" s="60" t="s">
        <v>117</v>
      </c>
      <c r="C62" s="60" t="s">
        <v>117</v>
      </c>
    </row>
    <row r="63" spans="1:4" x14ac:dyDescent="0.3">
      <c r="A63" s="60" t="s">
        <v>93</v>
      </c>
      <c r="B63" s="60" t="s">
        <v>71</v>
      </c>
      <c r="C63" s="60" t="s">
        <v>71</v>
      </c>
    </row>
    <row r="64" spans="1:4" x14ac:dyDescent="0.3">
      <c r="A64" s="60" t="s">
        <v>120</v>
      </c>
      <c r="B64" s="60" t="s">
        <v>89</v>
      </c>
      <c r="C64" s="60" t="s">
        <v>89</v>
      </c>
    </row>
    <row r="65" spans="1:3" x14ac:dyDescent="0.3">
      <c r="A65" s="60" t="s">
        <v>101</v>
      </c>
      <c r="B65" s="60" t="s">
        <v>93</v>
      </c>
      <c r="C65" s="60" t="s">
        <v>93</v>
      </c>
    </row>
    <row r="66" spans="1:3" x14ac:dyDescent="0.3">
      <c r="A66" s="60" t="s">
        <v>105</v>
      </c>
      <c r="B66" s="60" t="s">
        <v>120</v>
      </c>
      <c r="C66" s="60" t="s">
        <v>120</v>
      </c>
    </row>
    <row r="67" spans="1:3" x14ac:dyDescent="0.3">
      <c r="B67" s="60" t="s">
        <v>99</v>
      </c>
      <c r="C67" s="60" t="s">
        <v>99</v>
      </c>
    </row>
    <row r="68" spans="1:3" x14ac:dyDescent="0.3">
      <c r="B68" s="60" t="s">
        <v>101</v>
      </c>
      <c r="C68" s="60" t="s">
        <v>101</v>
      </c>
    </row>
    <row r="69" spans="1:3" x14ac:dyDescent="0.3">
      <c r="B69" s="60" t="s">
        <v>105</v>
      </c>
      <c r="C69" s="60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75A0-06C7-40B5-83C8-7EDD17A20834}">
  <dimension ref="A1:CW7"/>
  <sheetViews>
    <sheetView tabSelected="1" topLeftCell="T1" workbookViewId="0">
      <selection activeCell="W10" sqref="W10"/>
    </sheetView>
  </sheetViews>
  <sheetFormatPr defaultRowHeight="14.4" x14ac:dyDescent="0.3"/>
  <cols>
    <col min="1" max="1" customWidth="true" width="8.77734375" collapsed="true"/>
    <col min="2" max="2" bestFit="true" customWidth="true" width="5.33203125" collapsed="true"/>
    <col min="3" max="3" customWidth="true" width="16.21875" collapsed="true"/>
    <col min="4" max="4" bestFit="true" customWidth="true" width="10.44140625" collapsed="true"/>
    <col min="5" max="5" bestFit="true" customWidth="true" width="14.21875" collapsed="true"/>
    <col min="6" max="8" bestFit="true" customWidth="true" width="10.21875" collapsed="true"/>
    <col min="9" max="9" bestFit="true" customWidth="true" width="10.33203125" collapsed="true"/>
    <col min="10" max="10" bestFit="true" customWidth="true" width="34.77734375" collapsed="true"/>
    <col min="11" max="11" bestFit="true" customWidth="true" width="6.5546875" collapsed="true"/>
    <col min="12" max="12" bestFit="true" customWidth="true" width="24.44140625" collapsed="true"/>
    <col min="13" max="13" bestFit="true" customWidth="true" width="12.88671875" collapsed="true"/>
    <col min="14" max="14" bestFit="true" customWidth="true" width="8.5546875" collapsed="true"/>
    <col min="15" max="15" bestFit="true" customWidth="true" width="12.88671875" collapsed="true"/>
    <col min="16" max="16" bestFit="true" customWidth="true" width="15.5546875" collapsed="true"/>
    <col min="17" max="17" bestFit="true" customWidth="true" width="16.77734375" collapsed="true"/>
    <col min="18" max="18" bestFit="true" customWidth="true" width="22.77734375" collapsed="true"/>
    <col min="19" max="19" bestFit="true" customWidth="true" width="12.44140625" collapsed="true"/>
    <col min="20" max="20" bestFit="true" customWidth="true" width="14.21875" collapsed="true"/>
    <col min="21" max="21" bestFit="true" customWidth="true" width="11.6640625" collapsed="true"/>
    <col min="22" max="22" bestFit="true" customWidth="true" width="12.77734375" collapsed="true"/>
    <col min="23" max="23" bestFit="true" customWidth="true" width="18.77734375" collapsed="true"/>
  </cols>
  <sheetData>
    <row r="1" spans="1:101" s="204" customFormat="1" ht="26.4" customHeight="1" thickBot="1" x14ac:dyDescent="0.35">
      <c r="A1" s="48" t="s">
        <v>6</v>
      </c>
      <c r="B1" s="49" t="s">
        <v>163</v>
      </c>
      <c r="C1" s="49" t="s">
        <v>10</v>
      </c>
      <c r="D1" s="49" t="s">
        <v>12</v>
      </c>
      <c r="E1" s="216" t="s">
        <v>175</v>
      </c>
      <c r="F1" s="216" t="s">
        <v>176</v>
      </c>
      <c r="G1" s="59" t="s">
        <v>177</v>
      </c>
      <c r="H1" s="59" t="s">
        <v>178</v>
      </c>
      <c r="I1" s="101" t="s">
        <v>179</v>
      </c>
      <c r="J1" s="49" t="s">
        <v>180</v>
      </c>
      <c r="K1" s="51" t="s">
        <v>181</v>
      </c>
      <c r="L1" s="216" t="s">
        <v>182</v>
      </c>
      <c r="M1" s="52" t="s">
        <v>183</v>
      </c>
      <c r="N1" s="246" t="s">
        <v>184</v>
      </c>
      <c r="O1" s="52" t="s">
        <v>39</v>
      </c>
      <c r="P1" s="50" t="s">
        <v>185</v>
      </c>
      <c r="Q1" s="50" t="s">
        <v>42</v>
      </c>
      <c r="R1" s="50" t="s">
        <v>43</v>
      </c>
      <c r="S1" s="51" t="s">
        <v>186</v>
      </c>
      <c r="T1" s="203" t="s">
        <v>20</v>
      </c>
      <c r="U1" s="107" t="s">
        <v>22</v>
      </c>
      <c r="V1" s="107" t="s">
        <v>46</v>
      </c>
      <c r="W1" s="107" t="s">
        <v>79</v>
      </c>
    </row>
    <row r="2" spans="1:101" s="204" customFormat="1" ht="26.4" customHeight="1" thickBot="1" x14ac:dyDescent="0.35">
      <c r="A2" s="206" t="s">
        <v>7</v>
      </c>
      <c r="B2" s="215" t="s">
        <v>83</v>
      </c>
      <c r="C2" s="207" t="s">
        <v>104</v>
      </c>
      <c r="D2" s="207" t="s">
        <v>167</v>
      </c>
      <c r="E2" s="237" t="n">
        <v>7.0</v>
      </c>
      <c r="F2" s="242" t="n">
        <v>700000.0</v>
      </c>
      <c r="G2" s="243" t="n">
        <v>70000.0</v>
      </c>
      <c r="H2" s="243" t="n">
        <v>7000.0</v>
      </c>
      <c r="I2" s="243" t="n">
        <v>700.0</v>
      </c>
      <c r="J2" s="244" t="s">
        <v>27</v>
      </c>
      <c r="K2" s="245" t="n">
        <v>5000.0</v>
      </c>
      <c r="L2" s="244" t="n">
        <v>800.0</v>
      </c>
      <c r="M2" s="244" t="n">
        <v>3.0</v>
      </c>
      <c r="N2" s="209" t="n">
        <v>0.0</v>
      </c>
      <c r="O2" s="208" t="s">
        <v>161</v>
      </c>
      <c r="P2" s="244" t="s">
        <v>27</v>
      </c>
      <c r="Q2" s="210" t="n">
        <v>0.0</v>
      </c>
      <c r="R2" s="210" t="s">
        <v>161</v>
      </c>
      <c r="S2" s="211"/>
      <c r="T2" s="212" t="s">
        <v>21</v>
      </c>
      <c r="U2" s="213" t="n">
        <v>0.0</v>
      </c>
      <c r="V2" s="214" t="s">
        <v>48</v>
      </c>
      <c r="W2" s="214" t="s">
        <v>50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ht="15" thickBot="1" x14ac:dyDescent="0.35">
      <c r="A3" s="71" t="s">
        <v>161</v>
      </c>
      <c r="B3" s="97" t="s">
        <v>161</v>
      </c>
      <c r="C3" s="74" t="s">
        <v>161</v>
      </c>
      <c r="D3" s="74" t="s">
        <v>161</v>
      </c>
      <c r="E3" s="74" t="s">
        <v>161</v>
      </c>
      <c r="F3" s="75" t="s">
        <v>161</v>
      </c>
      <c r="G3" s="94" t="s">
        <v>161</v>
      </c>
      <c r="H3" s="94" t="s">
        <v>161</v>
      </c>
      <c r="I3" s="94" t="s">
        <v>161</v>
      </c>
      <c r="J3" s="94" t="s">
        <v>161</v>
      </c>
      <c r="K3" t="s">
        <v>161</v>
      </c>
      <c r="L3" s="115" t="s">
        <v>161</v>
      </c>
      <c r="M3" s="71" t="s">
        <v>161</v>
      </c>
      <c r="N3" s="75" t="s">
        <v>161</v>
      </c>
      <c r="O3" s="86" t="s">
        <v>161</v>
      </c>
      <c r="P3" s="75" t="s">
        <v>161</v>
      </c>
      <c r="Q3" s="75" t="s">
        <v>161</v>
      </c>
      <c r="R3" s="81" t="s">
        <v>161</v>
      </c>
      <c r="S3" s="87" t="s">
        <v>161</v>
      </c>
      <c r="T3" s="205" t="s">
        <v>161</v>
      </c>
      <c r="U3" t="s">
        <v>161</v>
      </c>
      <c r="V3" s="111" t="s">
        <v>161</v>
      </c>
      <c r="W3" s="111" t="s">
        <v>161</v>
      </c>
      <c r="X3" t="s">
        <v>161</v>
      </c>
      <c r="Y3" t="s">
        <v>161</v>
      </c>
      <c r="Z3" t="s">
        <v>161</v>
      </c>
      <c r="AA3" t="s">
        <v>161</v>
      </c>
      <c r="AB3" t="s">
        <v>161</v>
      </c>
      <c r="AC3" t="s">
        <v>161</v>
      </c>
      <c r="AD3" t="s">
        <v>161</v>
      </c>
      <c r="AE3" t="s">
        <v>161</v>
      </c>
      <c r="AF3" t="s">
        <v>161</v>
      </c>
      <c r="AG3" t="s">
        <v>161</v>
      </c>
      <c r="AH3" t="s">
        <v>161</v>
      </c>
      <c r="AI3" t="s">
        <v>161</v>
      </c>
      <c r="AJ3" t="s">
        <v>161</v>
      </c>
      <c r="AK3" t="s">
        <v>161</v>
      </c>
      <c r="AL3" t="s">
        <v>161</v>
      </c>
      <c r="AM3" t="s">
        <v>161</v>
      </c>
      <c r="AN3" t="s">
        <v>161</v>
      </c>
      <c r="AO3" t="s">
        <v>161</v>
      </c>
      <c r="AP3" t="s">
        <v>161</v>
      </c>
      <c r="AQ3" t="s">
        <v>161</v>
      </c>
      <c r="AR3" t="s">
        <v>161</v>
      </c>
      <c r="AS3" t="s">
        <v>161</v>
      </c>
      <c r="AT3" t="s">
        <v>161</v>
      </c>
      <c r="AU3" t="s">
        <v>161</v>
      </c>
      <c r="AV3" t="s">
        <v>161</v>
      </c>
      <c r="AW3" t="s">
        <v>161</v>
      </c>
      <c r="AX3" t="s">
        <v>161</v>
      </c>
      <c r="AY3" t="s">
        <v>161</v>
      </c>
      <c r="AZ3" t="s">
        <v>161</v>
      </c>
      <c r="BA3" t="s">
        <v>161</v>
      </c>
      <c r="BB3" t="s">
        <v>161</v>
      </c>
      <c r="BC3" t="s">
        <v>161</v>
      </c>
      <c r="BD3" t="s">
        <v>161</v>
      </c>
      <c r="BE3" t="s">
        <v>161</v>
      </c>
      <c r="BF3" t="s">
        <v>161</v>
      </c>
      <c r="BG3" t="s">
        <v>161</v>
      </c>
      <c r="BH3" t="s">
        <v>161</v>
      </c>
      <c r="BI3" t="s">
        <v>161</v>
      </c>
      <c r="BJ3" t="s">
        <v>161</v>
      </c>
      <c r="BK3" t="s">
        <v>161</v>
      </c>
      <c r="BL3" t="s">
        <v>161</v>
      </c>
      <c r="BM3" t="s">
        <v>161</v>
      </c>
      <c r="BN3" t="s">
        <v>161</v>
      </c>
      <c r="BO3" t="s">
        <v>161</v>
      </c>
      <c r="BP3" t="s">
        <v>161</v>
      </c>
      <c r="BQ3" t="s">
        <v>161</v>
      </c>
      <c r="BR3" t="s">
        <v>161</v>
      </c>
      <c r="BS3" t="s">
        <v>161</v>
      </c>
      <c r="BT3" t="s">
        <v>161</v>
      </c>
      <c r="BU3" t="s">
        <v>161</v>
      </c>
      <c r="BV3" t="s">
        <v>161</v>
      </c>
      <c r="BW3" t="s">
        <v>161</v>
      </c>
      <c r="BX3" t="s">
        <v>161</v>
      </c>
      <c r="BY3" t="s">
        <v>161</v>
      </c>
      <c r="BZ3" t="s">
        <v>161</v>
      </c>
      <c r="CA3" t="s">
        <v>161</v>
      </c>
      <c r="CB3" t="s">
        <v>161</v>
      </c>
      <c r="CC3" t="s">
        <v>161</v>
      </c>
      <c r="CD3" t="s">
        <v>161</v>
      </c>
      <c r="CE3" t="s">
        <v>161</v>
      </c>
      <c r="CF3" t="s">
        <v>161</v>
      </c>
      <c r="CG3" t="s">
        <v>161</v>
      </c>
      <c r="CH3" t="s">
        <v>161</v>
      </c>
      <c r="CI3" t="s">
        <v>161</v>
      </c>
      <c r="CJ3" t="s">
        <v>161</v>
      </c>
      <c r="CK3" t="s">
        <v>161</v>
      </c>
      <c r="CL3" t="s">
        <v>161</v>
      </c>
      <c r="CM3" t="s">
        <v>161</v>
      </c>
      <c r="CN3" t="s">
        <v>161</v>
      </c>
      <c r="CO3" t="s">
        <v>161</v>
      </c>
      <c r="CP3" t="s">
        <v>161</v>
      </c>
      <c r="CQ3" t="s">
        <v>161</v>
      </c>
      <c r="CR3" t="s">
        <v>161</v>
      </c>
      <c r="CS3" t="s">
        <v>161</v>
      </c>
      <c r="CT3" t="s">
        <v>161</v>
      </c>
    </row>
    <row r="4" spans="1:101" x14ac:dyDescent="0.3">
      <c r="A4" t="s">
        <v>161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I4" t="s">
        <v>161</v>
      </c>
      <c r="J4" t="s">
        <v>161</v>
      </c>
      <c r="K4" t="s">
        <v>161</v>
      </c>
      <c r="L4" t="s">
        <v>161</v>
      </c>
      <c r="M4" t="s">
        <v>161</v>
      </c>
      <c r="N4" t="s">
        <v>161</v>
      </c>
      <c r="O4" t="s">
        <v>161</v>
      </c>
      <c r="P4" t="s">
        <v>161</v>
      </c>
      <c r="Q4" t="s">
        <v>161</v>
      </c>
      <c r="R4" t="s">
        <v>161</v>
      </c>
      <c r="S4" t="s">
        <v>161</v>
      </c>
      <c r="T4" t="s">
        <v>161</v>
      </c>
      <c r="U4" t="s">
        <v>161</v>
      </c>
      <c r="V4" t="s">
        <v>161</v>
      </c>
      <c r="W4" t="s">
        <v>161</v>
      </c>
      <c r="X4" t="s">
        <v>161</v>
      </c>
      <c r="Y4" t="s">
        <v>161</v>
      </c>
      <c r="Z4" t="s">
        <v>161</v>
      </c>
      <c r="AA4" t="s">
        <v>161</v>
      </c>
      <c r="AB4" t="s">
        <v>161</v>
      </c>
      <c r="AC4" t="s">
        <v>161</v>
      </c>
      <c r="AD4" t="s">
        <v>161</v>
      </c>
      <c r="AE4" t="s">
        <v>161</v>
      </c>
      <c r="AF4" t="s">
        <v>161</v>
      </c>
      <c r="AG4" t="s">
        <v>161</v>
      </c>
      <c r="AH4" t="s">
        <v>161</v>
      </c>
      <c r="AI4" t="s">
        <v>161</v>
      </c>
      <c r="AJ4" t="s">
        <v>161</v>
      </c>
      <c r="AK4" t="s">
        <v>161</v>
      </c>
      <c r="AL4" t="s">
        <v>161</v>
      </c>
      <c r="AM4" t="s">
        <v>161</v>
      </c>
      <c r="AN4" t="s">
        <v>161</v>
      </c>
      <c r="AO4" t="s">
        <v>161</v>
      </c>
      <c r="AP4" t="s">
        <v>161</v>
      </c>
      <c r="AQ4" t="s">
        <v>161</v>
      </c>
      <c r="AR4" t="s">
        <v>161</v>
      </c>
      <c r="AS4" t="s">
        <v>161</v>
      </c>
      <c r="AT4" t="s">
        <v>161</v>
      </c>
      <c r="AU4" t="s">
        <v>161</v>
      </c>
      <c r="AV4" t="s">
        <v>161</v>
      </c>
      <c r="AW4" t="s">
        <v>161</v>
      </c>
      <c r="AX4" t="s">
        <v>161</v>
      </c>
      <c r="AY4" t="s">
        <v>161</v>
      </c>
      <c r="AZ4" t="s">
        <v>161</v>
      </c>
      <c r="BA4" t="s">
        <v>161</v>
      </c>
      <c r="BB4" t="s">
        <v>161</v>
      </c>
      <c r="BC4" t="s">
        <v>161</v>
      </c>
      <c r="BD4" t="s">
        <v>161</v>
      </c>
      <c r="BE4" t="s">
        <v>161</v>
      </c>
      <c r="BF4" t="s">
        <v>161</v>
      </c>
      <c r="BG4" t="s">
        <v>161</v>
      </c>
      <c r="BH4" t="s">
        <v>161</v>
      </c>
      <c r="BI4" t="s">
        <v>161</v>
      </c>
      <c r="BJ4" t="s">
        <v>161</v>
      </c>
      <c r="BK4" t="s">
        <v>161</v>
      </c>
      <c r="BL4" t="s">
        <v>161</v>
      </c>
      <c r="BM4" t="s">
        <v>161</v>
      </c>
      <c r="BN4" t="s">
        <v>161</v>
      </c>
      <c r="BO4" t="s">
        <v>161</v>
      </c>
      <c r="BP4" t="s">
        <v>161</v>
      </c>
      <c r="BQ4" t="s">
        <v>161</v>
      </c>
      <c r="BR4" t="s">
        <v>161</v>
      </c>
      <c r="BS4" t="s">
        <v>161</v>
      </c>
      <c r="BT4" t="s">
        <v>161</v>
      </c>
      <c r="BU4" t="s">
        <v>161</v>
      </c>
      <c r="BV4" t="s">
        <v>161</v>
      </c>
      <c r="BW4" t="s">
        <v>161</v>
      </c>
      <c r="BX4" t="s">
        <v>161</v>
      </c>
      <c r="BY4" t="s">
        <v>161</v>
      </c>
      <c r="BZ4" t="s">
        <v>161</v>
      </c>
      <c r="CA4" t="s">
        <v>161</v>
      </c>
      <c r="CB4" t="s">
        <v>161</v>
      </c>
      <c r="CC4" t="s">
        <v>161</v>
      </c>
      <c r="CD4" t="s">
        <v>161</v>
      </c>
      <c r="CE4" t="s">
        <v>161</v>
      </c>
      <c r="CF4" t="s">
        <v>161</v>
      </c>
      <c r="CG4" t="s">
        <v>161</v>
      </c>
      <c r="CH4" t="s">
        <v>161</v>
      </c>
      <c r="CI4" t="s">
        <v>161</v>
      </c>
      <c r="CJ4" t="s">
        <v>161</v>
      </c>
      <c r="CK4" t="s">
        <v>161</v>
      </c>
      <c r="CL4" t="s">
        <v>161</v>
      </c>
      <c r="CM4" t="s">
        <v>161</v>
      </c>
      <c r="CN4" t="s">
        <v>161</v>
      </c>
      <c r="CO4" t="s">
        <v>161</v>
      </c>
      <c r="CP4" t="s">
        <v>161</v>
      </c>
      <c r="CQ4" t="s">
        <v>161</v>
      </c>
      <c r="CR4" t="s">
        <v>161</v>
      </c>
      <c r="CS4" t="s">
        <v>161</v>
      </c>
      <c r="CT4" t="s">
        <v>161</v>
      </c>
    </row>
    <row r="5" spans="1:101" x14ac:dyDescent="0.3">
      <c r="A5" t="n">
        <f>ROUND(Rater!F56,2)</f>
        <v>3119.0</v>
      </c>
    </row>
    <row r="6" spans="1:101" x14ac:dyDescent="0.3">
      <c r="A6" t="n">
        <f>ROUND(Rater!F64,2)</f>
        <v>193.57</v>
      </c>
      <c r="E6" t="s">
        <v>160</v>
      </c>
    </row>
    <row r="7" spans="1:101" x14ac:dyDescent="0.3">
      <c r="A7" t="n">
        <f>ROUND(Rater!F65,2)</f>
        <v>3312.57</v>
      </c>
    </row>
  </sheetData>
  <conditionalFormatting sqref="H3">
    <cfRule type="expression" dxfId="4" priority="2">
      <formula>OR(H1048566="DP1",H1048566="DP3")</formula>
    </cfRule>
  </conditionalFormatting>
  <conditionalFormatting sqref="F3">
    <cfRule type="expression" dxfId="3" priority="4">
      <formula>F1048568="HO4"</formula>
    </cfRule>
  </conditionalFormatting>
  <conditionalFormatting sqref="G3">
    <cfRule type="expression" dxfId="2" priority="3">
      <formula>OR(G1048567="DP1",G1048567="DP3",G1048567="HO4")</formula>
    </cfRule>
  </conditionalFormatting>
  <conditionalFormatting sqref="J3">
    <cfRule type="expression" dxfId="1" priority="5">
      <formula>OR(J1048565="DP1",J1048565="DP3")</formula>
    </cfRule>
  </conditionalFormatting>
  <conditionalFormatting sqref="I3">
    <cfRule type="expression" dxfId="0" priority="1">
      <formula>OR(I1048565="DP1",I1048565="DP3")</formula>
    </cfRule>
  </conditionalFormatting>
  <dataValidations count="1">
    <dataValidation type="list" allowBlank="1" showInputMessage="1" showErrorMessage="1" sqref="C3" xr:uid="{9AAD48D0-C15C-4488-90A1-64A17BCE0E08}">
      <formula1>IF(#REF!="HO1",_HO1,IF(#REF!="HO3",_HO3,IF(#REF!="HO4",_HO4,IF(#REF!="HO6",_HO6,IF(#REF!="HO8",_HO8,IF(#REF!="DP1",_DP1,IF(#REF!="DP3",_DP3)))))))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6AD85450-4491-4077-BFEF-BF057C4FC671}">
          <x14:formula1>
            <xm:f>Lookup!$F$2:$O$2</xm:f>
          </x14:formula1>
          <xm:sqref>E3</xm:sqref>
        </x14:dataValidation>
        <x14:dataValidation type="list" allowBlank="1" showInputMessage="1" showErrorMessage="1" xr:uid="{368E5009-10DB-46C5-B510-46A48D0B43C7}">
          <x14:formula1>
            <xm:f>Lookup!$E$3:$E$6</xm:f>
          </x14:formula1>
          <xm:sqref>D3</xm:sqref>
        </x14:dataValidation>
        <x14:dataValidation type="list" allowBlank="1" showInputMessage="1" showErrorMessage="1" xr:uid="{12340625-B52A-4B22-907F-BA0DF1E64FC1}">
          <x14:formula1>
            <xm:f>Lookup!$A$15:$A$21</xm:f>
          </x14:formula1>
          <xm:sqref>B3</xm:sqref>
        </x14:dataValidation>
        <x14:dataValidation type="list" allowBlank="1" showInputMessage="1" showErrorMessage="1" xr:uid="{A438C3DA-96D4-4671-A80F-0A453F5628AA}">
          <x14:formula1>
            <xm:f>IF(OR(M1048551="Owner - Builder Risk",M1048551="Owner - Building Under Reno",M1048551="Vacant",M1048551="Vacant - Builders Risk",M1048551="Vacant - Building Under Reno"),Lookup!$D$54,Lookup!$D$54:$D$57)</xm:f>
          </x14:formula1>
          <xm:sqref>M3</xm:sqref>
        </x14:dataValidation>
        <x14:dataValidation type="list" allowBlank="1" showInputMessage="1" showErrorMessage="1" xr:uid="{7D637AAB-F17D-462F-9628-7EBE5118F071}">
          <x14:formula1>
            <xm:f>Lookup!$AE$2:$AE$6</xm:f>
          </x14:formula1>
          <xm:sqref>N3</xm:sqref>
        </x14:dataValidation>
        <x14:dataValidation type="list" allowBlank="1" showInputMessage="1" showErrorMessage="1" xr:uid="{451BE96B-4267-43ED-BE87-D32326ED1D52}">
          <x14:formula1>
            <xm:f>IF(OR(S1048540="DP1",S1048540="DP3"),Lookup!$AY$9,Lookup!$BA$2:$BA$6)</xm:f>
          </x14:formula1>
          <xm:sqref>S3</xm:sqref>
        </x14:dataValidation>
        <x14:dataValidation type="list" allowBlank="1" showInputMessage="1" showErrorMessage="1" xr:uid="{870F7F6B-A6ED-4F86-BCCC-C24B1D4044D5}">
          <x14:formula1>
            <xm:f>IF(COUNTIF(TheftCoverage,R1048542),Lookup!$A$72:$A$73,Lookup!$A$74)</xm:f>
          </x14:formula1>
          <xm:sqref>R3</xm:sqref>
        </x14:dataValidation>
        <x14:dataValidation type="list" allowBlank="1" showInputMessage="1" showErrorMessage="1" xr:uid="{E3D6F0A3-4DC3-4593-B266-059DD5D7D967}">
          <x14:formula1>
            <xm:f>IF(OR(P1048543="HO1",P1048543="HO3",P1048543="HO6",P1048543="HO4",P1048543="HO8"),Lookup!$A$72:$A$73,Lookup!$A$74)</xm:f>
          </x14:formula1>
          <xm:sqref>P3</xm:sqref>
        </x14:dataValidation>
        <x14:dataValidation type="list" allowBlank="1" showInputMessage="1" showErrorMessage="1" xr:uid="{9B191D4F-9728-40C5-BFB3-85B1C6DFE736}">
          <x14:formula1>
            <xm:f>IF(O1048544="HO6",Lookup!$AX$2:$AX$6,Lookup!$AX$8)</xm:f>
          </x14:formula1>
          <xm:sqref>O3</xm:sqref>
        </x14:dataValidation>
        <x14:dataValidation type="list" allowBlank="1" showInputMessage="1" showErrorMessage="1" xr:uid="{635DEC6C-8425-4084-A04E-24B31D289FA2}">
          <x14:formula1>
            <xm:f>Lookup!$BG$21:$BG$23</xm:f>
          </x14:formula1>
          <xm:sqref>V3</xm:sqref>
        </x14:dataValidation>
        <x14:dataValidation type="list" allowBlank="1" showInputMessage="1" showErrorMessage="1" xr:uid="{E6CC50B1-6818-4233-BA68-50CAD52D9CC4}">
          <x14:formula1>
            <xm:f>IF($C$54=Lookup!$BG$21,Lookup!$BH$3:$BH$7,IF($C$54 = "Not Required",Lookup!$BG$24,Lookup!$BH$10:$BH$14))</xm:f>
          </x14:formula1>
          <xm:sqref>W3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Dhanashri Ugalmugale</cp:lastModifiedBy>
  <dcterms:modified xsi:type="dcterms:W3CDTF">2022-01-10T05:21:20Z</dcterms:modified>
</cp:coreProperties>
</file>