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<sst xmlns="http://schemas.openxmlformats.org/spreadsheetml/2006/main" count="728" uniqueCount="202">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</sst>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HO1</v>
      </c>
      <c r="D6" s="119"/>
      <c r="E6" s="159"/>
      <c r="F6" s="175"/>
      <c r="G6" s="126"/>
      <c r="H6" s="74" t="s">
        <v>8</v>
      </c>
      <c r="I6" s="233" t="str">
        <f>C6</f>
        <v>HO1</v>
      </c>
      <c r="J6" s="119"/>
      <c r="K6" s="159"/>
      <c r="L6" s="175"/>
      <c r="N6" s="74" t="s">
        <v>8</v>
      </c>
      <c r="O6" s="233" t="str">
        <f>C6</f>
        <v>HO1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/ Tenant - Builders Risk</v>
      </c>
      <c r="D7" s="119"/>
      <c r="E7" s="159"/>
      <c r="F7" s="176"/>
      <c r="G7" s="126"/>
      <c r="H7" s="74" t="s">
        <v>10</v>
      </c>
      <c r="I7" s="205" t="str">
        <f>C7</f>
        <v>Owner / Tenant - Builders Risk</v>
      </c>
      <c r="J7" s="119"/>
      <c r="K7" s="159"/>
      <c r="L7" s="176"/>
      <c r="N7" s="74" t="s">
        <v>10</v>
      </c>
      <c r="O7" s="205" t="str">
        <f>C7</f>
        <v>Owner / Tenant - Builders Risk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6 month</v>
      </c>
      <c r="D8" s="124"/>
      <c r="E8" s="159"/>
      <c r="F8" s="175"/>
      <c r="G8" s="126"/>
      <c r="H8" s="74" t="s">
        <v>12</v>
      </c>
      <c r="I8" s="205" t="str">
        <f>C8</f>
        <v>6 month</v>
      </c>
      <c r="J8" s="124"/>
      <c r="K8" s="159"/>
      <c r="L8" s="175"/>
      <c r="N8" s="74" t="s">
        <v>12</v>
      </c>
      <c r="O8" s="205" t="str">
        <f>C8</f>
        <v>6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10.0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320000.0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0.6</v>
      </c>
      <c r="F10" s="198" t="n">
        <f>ROUND(
IF(C6="HO4",0,
IF(OR(E14="",E14=0),ROUND(C10*(E10/100),0),(E14/100)*C10)),0)</f>
        <v>1920.0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23000.0</v>
      </c>
      <c r="D11" s="154" t="n">
        <f>ROUND(IF(OR(C6="DP1",C6="DP3",C6="HO4"),0,(((C11*100)/C10)/100-VLOOKUP(B11,Lookup!$BP$2:$BU$6,MATCH(C6,Lookup!$BP$2:$BU$2,0),FALSE))*C10),0)</f>
        <v>-9000.0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22000.0</v>
      </c>
      <c r="D12" s="155" t="n">
        <f>ROUND(IF(OR(C6="DP1",C6="DP3",C6="HO4"),0,(((C12*100)/C10)/100-VLOOKUP(B12,Lookup!$BP$2:$BU$6,MATCH(C6,Lookup!$BP$2:$BU$2,0),FALSE))*C10),0)</f>
        <v>-138000.0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21000.0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-11000.0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1920.0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-19.0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2500.0</v>
      </c>
      <c r="D20" s="119"/>
      <c r="E20" s="83" t="n">
        <f>VLOOKUP(C20,Lookup!$Q$2:$R$5,2,FALSE)</f>
        <v>-0.15</v>
      </c>
      <c r="F20" s="84" t="n">
        <f>ROUND(F15*(E20),0)</f>
        <v>-288.0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-0.16</v>
      </c>
      <c r="F21" s="193" t="n">
        <f>ROUND(F15*(E21),0)</f>
        <v>-307.0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1100.0</v>
      </c>
      <c r="D25" s="117"/>
      <c r="E25" s="85" t="n">
        <f>IF(C25&gt;25,(C25-25)*Lookup!$X$1,0)</f>
        <v>2150.0</v>
      </c>
      <c r="F25" s="86" t="n">
        <f>ROUND(E25,0)</f>
        <v>2150.0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2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500000.0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100.0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50000.0</v>
      </c>
      <c r="D38" s="89"/>
      <c r="E38" s="180"/>
      <c r="F38" s="195" t="n">
        <f>IF(OR(C6="DP1",C6="DP3"),0,VLOOKUP(C38,Lookup!$BA$2:$BB$6,2,FALSE))</f>
        <v>100.0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3963.0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1920.0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3.0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192.0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4155.0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4155.0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4155.0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Interior/Exterior</v>
      </c>
      <c r="D61" s="120"/>
      <c r="E61" s="134"/>
      <c r="F61" s="160" t="n">
        <f>IF($C$60=Lookup!$BG$21,VLOOKUP($C$61,Lookup!$BH$3:$BI$7,2,FALSE),IF($C$60 = "Not Required",0,VLOOKUP($C$61,Lookup!$BH$10:$BI$14,2,FALSE)))</f>
        <v>88.0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124.64999999999999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312.65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4467.65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69</v>
      </c>
      <c r="C2" s="225" t="s">
        <v>93</v>
      </c>
      <c r="D2" s="225" t="s">
        <v>173</v>
      </c>
      <c r="E2" s="235" t="n">
        <v>10.0</v>
      </c>
      <c r="F2" s="228" t="n">
        <v>320000.0</v>
      </c>
      <c r="G2" s="226" t="n">
        <v>23000.0</v>
      </c>
      <c r="H2" s="226" t="n">
        <v>22000.0</v>
      </c>
      <c r="I2" s="226" t="n">
        <v>21000.0</v>
      </c>
      <c r="J2" s="225" t="s">
        <v>21</v>
      </c>
      <c r="K2" s="229" t="n">
        <v>2500.0</v>
      </c>
      <c r="L2" s="225" t="n">
        <v>1100.0</v>
      </c>
      <c r="M2" s="225" t="n">
        <v>2.0</v>
      </c>
      <c r="N2" s="225" t="n">
        <v>500000.0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50000.0</v>
      </c>
      <c r="T2" s="225" t="s">
        <v>21</v>
      </c>
      <c r="U2" s="225" t="n">
        <v>3.0</v>
      </c>
      <c r="V2" s="225" t="s">
        <v>48</v>
      </c>
      <c r="W2" s="225" t="s">
        <v>51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4155.0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312.65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4467.65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