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<sst xmlns="http://schemas.openxmlformats.org/spreadsheetml/2006/main" count="838" uniqueCount="202">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</sst>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HO3</v>
      </c>
      <c r="D6" s="119"/>
      <c r="E6" s="159"/>
      <c r="F6" s="175"/>
      <c r="G6" s="126"/>
      <c r="H6" s="74" t="s">
        <v>8</v>
      </c>
      <c r="I6" s="233" t="str">
        <f>C6</f>
        <v>HO3</v>
      </c>
      <c r="J6" s="119"/>
      <c r="K6" s="159"/>
      <c r="L6" s="175"/>
      <c r="N6" s="74" t="s">
        <v>8</v>
      </c>
      <c r="O6" s="233" t="str">
        <f>C6</f>
        <v>HO3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Secondary</v>
      </c>
      <c r="D7" s="119"/>
      <c r="E7" s="159"/>
      <c r="F7" s="176"/>
      <c r="G7" s="126"/>
      <c r="H7" s="74" t="s">
        <v>10</v>
      </c>
      <c r="I7" s="205" t="str">
        <f>C7</f>
        <v>Owner / Tenant - Secondary</v>
      </c>
      <c r="J7" s="119"/>
      <c r="K7" s="159"/>
      <c r="L7" s="176"/>
      <c r="N7" s="74" t="s">
        <v>10</v>
      </c>
      <c r="O7" s="205" t="str">
        <f>C7</f>
        <v>Owner / Tenant - Secondary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6.0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200000.0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520.0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15000.0</v>
      </c>
      <c r="D11" s="154" t="n">
        <f>ROUND(IF(OR(C6="DP1",C6="DP3",C6="HO4"),0,(((C11*100)/C10)/100-VLOOKUP(B11,Lookup!$BP$2:$BU$6,MATCH(C6,Lookup!$BP$2:$BU$2,0),FALSE))*C10),0)</f>
        <v>-5000.0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14000.0</v>
      </c>
      <c r="D12" s="155" t="n">
        <f>ROUND(IF(OR(C6="DP1",C6="DP3",C6="HO4"),0,(((C12*100)/C10)/100-VLOOKUP(B12,Lookup!$BP$2:$BU$6,MATCH(C6,Lookup!$BP$2:$BU$2,0),FALSE))*C10),0)</f>
        <v>-86000.0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13000.0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-27000.0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520.0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-5.0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-78.0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-83.0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700.0</v>
      </c>
      <c r="D25" s="117"/>
      <c r="E25" s="85" t="n">
        <f>IF(C25&gt;25,(C25-25)*Lookup!$X$1,0)</f>
        <v>1350.0</v>
      </c>
      <c r="F25" s="86" t="n">
        <f>ROUND(E25,0)</f>
        <v>1350.0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150.0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150.0</v>
      </c>
      <c r="E30" s="105" t="n">
        <f>MAX(D29,D30)</f>
        <v>150.0</v>
      </c>
      <c r="F30" s="106" t="n">
        <f>IF(C32&lt;&gt;"","Resolve Error",ROUND(E30,0))</f>
        <v>150.0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str">
        <f>VLOOKUP(VALUE(Mappings!S2),Reference!G2:H6,2,FALSE)</f>
        <v>Excluded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1937.0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520.0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52.0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1989.0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1989.0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1989.0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59.669999999999995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314.67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2303.67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83</v>
      </c>
      <c r="C2" s="225" t="s">
        <v>11</v>
      </c>
      <c r="D2" s="225" t="s">
        <v>173</v>
      </c>
      <c r="E2" s="235" t="n">
        <v>6.0</v>
      </c>
      <c r="F2" s="228" t="n">
        <v>200000.0</v>
      </c>
      <c r="G2" s="226" t="n">
        <v>15000.0</v>
      </c>
      <c r="H2" s="226" t="n">
        <v>14000.0</v>
      </c>
      <c r="I2" s="226" t="n">
        <v>13000.0</v>
      </c>
      <c r="J2" s="225" t="s">
        <v>21</v>
      </c>
      <c r="K2" s="229" t="n">
        <v>2500.0</v>
      </c>
      <c r="L2" s="225" t="n">
        <v>700.0</v>
      </c>
      <c r="M2" s="225" t="n">
        <v>2.0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0.0</v>
      </c>
      <c r="T2" s="225" t="s">
        <v>21</v>
      </c>
      <c r="U2" s="225" t="n">
        <v>5.0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1989.0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314.67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2303.67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