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<sst xmlns="http://schemas.openxmlformats.org/spreadsheetml/2006/main" count="1058" uniqueCount="202">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</sst>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HO8</v>
      </c>
      <c r="D6" s="119"/>
      <c r="E6" s="159"/>
      <c r="F6" s="175"/>
      <c r="G6" s="126"/>
      <c r="H6" s="74" t="s">
        <v>8</v>
      </c>
      <c r="I6" s="233" t="str">
        <f>C6</f>
        <v>HO8</v>
      </c>
      <c r="J6" s="119"/>
      <c r="K6" s="159"/>
      <c r="L6" s="175"/>
      <c r="N6" s="74" t="s">
        <v>8</v>
      </c>
      <c r="O6" s="233" t="str">
        <f>C6</f>
        <v>HO8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Vacant - Building Under Reno</v>
      </c>
      <c r="D7" s="119"/>
      <c r="E7" s="159"/>
      <c r="F7" s="176"/>
      <c r="G7" s="126"/>
      <c r="H7" s="74" t="s">
        <v>10</v>
      </c>
      <c r="I7" s="205" t="str">
        <f>C7</f>
        <v>Vacant - Building Under Reno</v>
      </c>
      <c r="J7" s="119"/>
      <c r="K7" s="159"/>
      <c r="L7" s="176"/>
      <c r="N7" s="74" t="s">
        <v>10</v>
      </c>
      <c r="O7" s="205" t="str">
        <f>C7</f>
        <v>Vacant - Building Under Reno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3 month</v>
      </c>
      <c r="D8" s="124"/>
      <c r="E8" s="159"/>
      <c r="F8" s="175"/>
      <c r="G8" s="126"/>
      <c r="H8" s="74" t="s">
        <v>12</v>
      </c>
      <c r="I8" s="205" t="str">
        <f>C8</f>
        <v>3 month</v>
      </c>
      <c r="J8" s="124"/>
      <c r="K8" s="159"/>
      <c r="L8" s="175"/>
      <c r="N8" s="74" t="s">
        <v>12</v>
      </c>
      <c r="O8" s="205" t="str">
        <f>C8</f>
        <v>3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3.0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410000.0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0.24</v>
      </c>
      <c r="F10" s="198" t="n">
        <f>ROUND(
IF(C6="HO4",0,
IF(OR(E14="",E14=0),ROUND(C10*(E10/100),0),(E14/100)*C10)),0)</f>
        <v>984.0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29000.0</v>
      </c>
      <c r="D11" s="154" t="n">
        <f>ROUND(IF(OR(C6="DP1",C6="DP3",C6="HO4"),0,(((C11*100)/C10)/100-VLOOKUP(B11,Lookup!$BP$2:$BU$6,MATCH(C6,Lookup!$BP$2:$BU$2,0),FALSE))*C10),0)</f>
        <v>-12000.0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e">
        <f>ROUND(IF(OR(I6="DP1",I6="DP3",I6="HO4"),0,(((I11*100)/I10)/100-VLOOKUP(H11,Lookup!$BP$2:$BU$6,MATCH(I6,Lookup!$BP$2:$BU$2,0),FALSE))*I10),0)</f>
        <v>#DIV/0!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e">
        <f>ROUND(IF(OR(O6="DP1",O6="DP3",O6="HO4"),0,(((O11*100)/O10)/100-VLOOKUP(N11,Lookup!$BP$2:$BU$6,MATCH(O6,Lookup!$BP$2:$BU$2,0),FALSE))*O10),0)</f>
        <v>#DIV/0!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28000.0</v>
      </c>
      <c r="D12" s="155" t="n">
        <f>ROUND(IF(OR(C6="DP1",C6="DP3",C6="HO4"),0,(((C12*100)/C10)/100-VLOOKUP(B12,Lookup!$BP$2:$BU$6,MATCH(C6,Lookup!$BP$2:$BU$2,0),FALSE))*C10),0)</f>
        <v>-177000.0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e">
        <f>ROUND(IF(OR(I6="DP1",I6="DP3",I6="HO4"),0,(((I12*100)/I10)/100-VLOOKUP(H12,Lookup!$BP$2:$BU$6,MATCH(I6,Lookup!$BP$2:$BU$2,0),FALSE))*I10),0)</f>
        <v>#DIV/0!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e">
        <f>ROUND(IF(OR(O6="DP1",O6="DP3",O6="HO4"),0,(((O12*100)/O10)/100-VLOOKUP(N12,Lookup!$BP$2:$BU$6,MATCH(O6,Lookup!$BP$2:$BU$2,0),FALSE))*O10),0)</f>
        <v>#DIV/0!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27000.0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-14000.0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e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#DIV/0!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e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#DIV/0!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984.0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Yes</v>
      </c>
      <c r="D18" s="119"/>
      <c r="E18" s="83" t="n">
        <f>IF(C18="Yes",Lookup!$U$3,0)</f>
        <v>-0.05</v>
      </c>
      <c r="F18" s="84" t="n">
        <f>ROUND(F15*(E18),0)</f>
        <v>-49.0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Yes</v>
      </c>
      <c r="D19" s="119"/>
      <c r="E19" s="83" t="n">
        <f>IF(C19="Yes",Lookup!$U$4,0)</f>
        <v>-0.01</v>
      </c>
      <c r="F19" s="84" t="n">
        <f>ROUND(F15*(E19),0)</f>
        <v>-10.0</v>
      </c>
      <c r="G19" s="126"/>
      <c r="H19" s="51" t="s">
        <v>28</v>
      </c>
      <c r="I19" s="94" t="e">
        <f>IF(OR(J11&lt;0,J12&lt;0,J13&lt;0),"Yes","No")</f>
        <v>#DIV/0!</v>
      </c>
      <c r="J19" s="119"/>
      <c r="K19" s="83" t="e">
        <f>IF(I19="Yes",Lookup!$U$4,0)</f>
        <v>#DIV/0!</v>
      </c>
      <c r="L19" s="84" t="e">
        <f>ROUND(L15*(K19),0)</f>
        <v>#DIV/0!</v>
      </c>
      <c r="N19" s="51" t="s">
        <v>28</v>
      </c>
      <c r="O19" s="94" t="e">
        <f>IF(OR(P11&lt;0,P12&lt;0,P13&lt;0),"Yes","No")</f>
        <v>#DIV/0!</v>
      </c>
      <c r="P19" s="119"/>
      <c r="Q19" s="83" t="e">
        <f>IF(O19="Yes",Lookup!$U$4,0)</f>
        <v>#DIV/0!</v>
      </c>
      <c r="R19" s="84" t="e">
        <f>ROUND(R15*(Q19),0)</f>
        <v>#DIV/0!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1000.0</v>
      </c>
      <c r="D20" s="119"/>
      <c r="E20" s="83" t="n">
        <f>VLOOKUP(C20,Lookup!$Q$2:$R$5,2,FALSE)</f>
        <v>0.0</v>
      </c>
      <c r="F20" s="84" t="n">
        <f>ROUND(F15*(E20),0)</f>
        <v>0.0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-0.060000000000000005</v>
      </c>
      <c r="F21" s="193" t="n">
        <f>ROUND(F15*(E21),0)</f>
        <v>-59.0</v>
      </c>
      <c r="G21" s="126"/>
      <c r="H21" s="241" t="s">
        <v>30</v>
      </c>
      <c r="I21" s="242"/>
      <c r="J21" s="79"/>
      <c r="K21" s="192" t="e">
        <f>SUM(K17:K20)</f>
        <v>#DIV/0!</v>
      </c>
      <c r="L21" s="193" t="e">
        <f>ROUND(L15*(K21),0)</f>
        <v>#DIV/0!</v>
      </c>
      <c r="N21" s="241" t="s">
        <v>30</v>
      </c>
      <c r="O21" s="242"/>
      <c r="P21" s="79"/>
      <c r="Q21" s="192" t="e">
        <f>SUM(Q17:Q20)</f>
        <v>#DIV/0!</v>
      </c>
      <c r="R21" s="193" t="e">
        <f>ROUND(R15*(Q21),0)</f>
        <v>#DIV/0!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1400.0</v>
      </c>
      <c r="D25" s="117"/>
      <c r="E25" s="85" t="n">
        <f>IF(C25&gt;25,(C25-25)*Lookup!$X$1,0)</f>
        <v>2750.0</v>
      </c>
      <c r="F25" s="86" t="n">
        <f>ROUND(E25,0)</f>
        <v>2750.0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1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25.0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100.0</v>
      </c>
      <c r="E30" s="105" t="n">
        <f>MAX(D29,D30)</f>
        <v>100.0</v>
      </c>
      <c r="F30" s="106" t="n">
        <f>IF(C32&lt;&gt;"","Resolve Error",ROUND(E30,0))</f>
        <v>100.0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210.0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25000.0</v>
      </c>
      <c r="D38" s="89"/>
      <c r="E38" s="180"/>
      <c r="F38" s="195" t="n">
        <f>IF(OR(C6="DP1",C6="DP3"),0,VLOOKUP(C38,Lookup!$BA$2:$BB$6,2,FALSE))</f>
        <v>50.0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4035.0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984.0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0.0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Yes</v>
      </c>
      <c r="D51" s="188" t="n">
        <f>IF($C$46=0,Lookup!$U$1,0)</f>
        <v>-0.05</v>
      </c>
      <c r="E51" s="191"/>
      <c r="F51" s="184" t="n">
        <f>ROUND(C43*D51,0)</f>
        <v>-49.0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No</v>
      </c>
      <c r="D52" s="111" t="n">
        <f>IF($C$46&gt;0,10%,0)</f>
        <v>0.0</v>
      </c>
      <c r="E52" s="181"/>
      <c r="F52" s="185" t="n">
        <f>ROUND(C43*D52,0)</f>
        <v>0.0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3986.0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3986.0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3986.0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Mueller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Close Out</v>
      </c>
      <c r="D61" s="120"/>
      <c r="E61" s="134"/>
      <c r="F61" s="160" t="n">
        <f>IF($C$60=Lookup!$BG$21,VLOOKUP($C$61,Lookup!$BH$3:$BI$7,2,FALSE),IF($C$60 = "Not Required",0,VLOOKUP($C$61,Lookup!$BH$10:$BI$14,2,FALSE)))</f>
        <v>20.0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119.58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239.57999999999998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4225.58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86</v>
      </c>
      <c r="C2" s="225" t="s">
        <v>105</v>
      </c>
      <c r="D2" s="225" t="s">
        <v>172</v>
      </c>
      <c r="E2" s="235" t="n">
        <v>3.0</v>
      </c>
      <c r="F2" s="228" t="n">
        <v>410000.0</v>
      </c>
      <c r="G2" s="226" t="n">
        <v>29000.0</v>
      </c>
      <c r="H2" s="226" t="n">
        <v>28000.0</v>
      </c>
      <c r="I2" s="226" t="n">
        <v>27000.0</v>
      </c>
      <c r="J2" s="225" t="s">
        <v>27</v>
      </c>
      <c r="K2" s="229" t="n">
        <v>1000.0</v>
      </c>
      <c r="L2" s="225" t="n">
        <v>1400.0</v>
      </c>
      <c r="M2" s="225" t="n">
        <v>1.0</v>
      </c>
      <c r="N2" s="225" t="n">
        <v>100000.0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25000.0</v>
      </c>
      <c r="T2" s="225" t="s">
        <v>21</v>
      </c>
      <c r="U2" s="225" t="n">
        <v>0.0</v>
      </c>
      <c r="V2" s="225" t="s">
        <v>47</v>
      </c>
      <c r="W2" s="225" t="s">
        <v>103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3986.0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239.58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4225.58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