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<sst xmlns="http://schemas.openxmlformats.org/spreadsheetml/2006/main" count="1102" uniqueCount="202">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</sst>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DP1</v>
      </c>
      <c r="D6" s="119"/>
      <c r="E6" s="159"/>
      <c r="F6" s="175"/>
      <c r="G6" s="126"/>
      <c r="H6" s="74" t="s">
        <v>8</v>
      </c>
      <c r="I6" s="233" t="str">
        <f>C6</f>
        <v>DP1</v>
      </c>
      <c r="J6" s="119"/>
      <c r="K6" s="159"/>
      <c r="L6" s="175"/>
      <c r="N6" s="74" t="s">
        <v>8</v>
      </c>
      <c r="O6" s="233" t="str">
        <f>C6</f>
        <v>DP1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Primary</v>
      </c>
      <c r="D7" s="119"/>
      <c r="E7" s="159"/>
      <c r="F7" s="176"/>
      <c r="G7" s="126"/>
      <c r="H7" s="74" t="s">
        <v>10</v>
      </c>
      <c r="I7" s="205" t="str">
        <f>C7</f>
        <v>Owner / Tenant - Primary</v>
      </c>
      <c r="J7" s="119"/>
      <c r="K7" s="159"/>
      <c r="L7" s="176"/>
      <c r="N7" s="74" t="s">
        <v>10</v>
      </c>
      <c r="O7" s="205" t="str">
        <f>C7</f>
        <v>Owner / Tenant - Primary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12 month</v>
      </c>
      <c r="D8" s="124"/>
      <c r="E8" s="159"/>
      <c r="F8" s="175"/>
      <c r="G8" s="126"/>
      <c r="H8" s="74" t="s">
        <v>12</v>
      </c>
      <c r="I8" s="205" t="str">
        <f>C8</f>
        <v>12 month</v>
      </c>
      <c r="J8" s="124"/>
      <c r="K8" s="159"/>
      <c r="L8" s="175"/>
      <c r="N8" s="74" t="s">
        <v>12</v>
      </c>
      <c r="O8" s="205" t="str">
        <f>C8</f>
        <v>12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4.0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140000.0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0.45</v>
      </c>
      <c r="F10" s="198" t="n">
        <f>ROUND(
IF(C6="HO4",0,
IF(OR(E14="",E14=0),ROUND(C10*(E10/100),0),(E14/100)*C10)),0)</f>
        <v>630.0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11000.0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10000.0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9000.0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630.0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10000.0</v>
      </c>
      <c r="D20" s="119"/>
      <c r="E20" s="83" t="n">
        <f>VLOOKUP(C20,Lookup!$Q$2:$R$5,2,FALSE)</f>
        <v>-0.35</v>
      </c>
      <c r="F20" s="84" t="n">
        <f>ROUND(F15*(E20),0)</f>
        <v>-221.0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-0.35</v>
      </c>
      <c r="F21" s="193" t="n">
        <f>ROUND(F15*(E21),0)</f>
        <v>-221.0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500.0</v>
      </c>
      <c r="D25" s="117"/>
      <c r="E25" s="85" t="n">
        <f>IF(C25&gt;25,(C25-25)*Lookup!$X$1,0)</f>
        <v>950.0</v>
      </c>
      <c r="F25" s="86" t="n">
        <f>ROUND(E25,0)</f>
        <v>950.0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4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500000.0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375.0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375.0</v>
      </c>
      <c r="E30" s="105" t="n">
        <f>MAX(D29,D30)</f>
        <v>375.0</v>
      </c>
      <c r="F30" s="106" t="n">
        <f>IF(C32&lt;&gt;"","Resolve Error",ROUND(E30,0))</f>
        <v>375.0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25000.0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1734.0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630.0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3.0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63.0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1797.0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1797.0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1797.0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Close Out</v>
      </c>
      <c r="D61" s="120"/>
      <c r="E61" s="134"/>
      <c r="F61" s="160" t="n">
        <f>IF($C$60=Lookup!$BG$21,VLOOKUP($C$61,Lookup!$BH$3:$BI$7,2,FALSE),IF($C$60 = "Not Required",0,VLOOKUP($C$61,Lookup!$BH$10:$BI$14,2,FALSE)))</f>
        <v>20.0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53.91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173.91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1970.91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9</v>
      </c>
      <c r="C2" s="225" t="s">
        <v>95</v>
      </c>
      <c r="D2" s="225" t="s">
        <v>165</v>
      </c>
      <c r="E2" s="235" t="n">
        <v>4.0</v>
      </c>
      <c r="F2" s="228" t="n">
        <v>140000.0</v>
      </c>
      <c r="G2" s="226" t="n">
        <v>11000.0</v>
      </c>
      <c r="H2" s="226" t="n">
        <v>10000.0</v>
      </c>
      <c r="I2" s="226" t="n">
        <v>9000.0</v>
      </c>
      <c r="J2" s="225" t="s">
        <v>21</v>
      </c>
      <c r="K2" s="229" t="n">
        <v>10000.0</v>
      </c>
      <c r="L2" s="225" t="n">
        <v>500.0</v>
      </c>
      <c r="M2" s="225" t="n">
        <v>4.0</v>
      </c>
      <c r="N2" s="225" t="n">
        <v>500000.0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25000.0</v>
      </c>
      <c r="T2" s="225" t="s">
        <v>21</v>
      </c>
      <c r="U2" s="225" t="n">
        <v>3.0</v>
      </c>
      <c r="V2" s="225" t="s">
        <v>47</v>
      </c>
      <c r="W2" s="225" t="s">
        <v>103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1797.0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173.91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1970.91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