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autoCompressPictures="0"/>
  <mc:AlternateContent>
    <mc:Choice Requires="x15">
      <x15ac:absPath xmlns:x15ac="http://schemas.microsoft.com/office/spreadsheetml/2010/11/ac" url="C:\Users\Pratik Nishi\AutomationForRPS\NEEE\src\test\resources\Manual Rater\"/>
    </mc:Choice>
  </mc:AlternateContent>
  <xr:revisionPtr revIDLastSave="0" documentId="13_ncr:1_{AE9F8E9A-89DC-411B-AA68-E71EF84DA8FC}" xr6:coauthVersionLast="47" xr6:coauthVersionMax="47" xr10:uidLastSave="{00000000-0000-0000-0000-000000000000}"/>
  <bookViews>
    <workbookView xWindow="-108" yWindow="-108" windowWidth="23256" windowHeight="12576" tabRatio="563" activeTab="1" xr2:uid="{00000000-000D-0000-FFFF-FFFF00000000}"/>
  </bookViews>
  <sheets>
    <sheet name="General" sheetId="13" r:id="rId1"/>
    <sheet name="Rater" sheetId="11" r:id="rId2"/>
    <sheet name="Reference" sheetId="17" r:id="rId3"/>
    <sheet name="Lookup" sheetId="12" r:id="rId4"/>
    <sheet name="Mappings" sheetId="15" r:id="rId5"/>
  </sheets>
  <externalReferences>
    <externalReference r:id="rId6"/>
  </externalReferences>
  <definedNames>
    <definedName name="_DP1" localSheetId="4">[1]Lookup!$B$54:$B$69</definedName>
    <definedName name="_DP1" localSheetId="2">[1]Lookup!$B$54:$B$69</definedName>
    <definedName name="_DP1">Lookup!$B$54:$B$69</definedName>
    <definedName name="_DP3" localSheetId="4">[1]Lookup!$C$54:$C$69</definedName>
    <definedName name="_DP3" localSheetId="2">[1]Lookup!$C$54:$C$69</definedName>
    <definedName name="_DP3">Lookup!$C$54:$C$69</definedName>
    <definedName name="_HO1" localSheetId="4">[1]Lookup!$A$37:$A$49</definedName>
    <definedName name="_HO1" localSheetId="2">[1]Lookup!$A$37:$A$49</definedName>
    <definedName name="_HO1">Lookup!$A$37:$A$49</definedName>
    <definedName name="_HO3" localSheetId="4">[1]Lookup!$B$37:$B$49</definedName>
    <definedName name="_HO3" localSheetId="2">[1]Lookup!$B$37:$B$49</definedName>
    <definedName name="_HO3">Lookup!$B$37:$B$49</definedName>
    <definedName name="_HO4" localSheetId="4">[1]Lookup!$C$37</definedName>
    <definedName name="_HO4" localSheetId="2">[1]Lookup!$C$37</definedName>
    <definedName name="_HO4">Lookup!$C$37</definedName>
    <definedName name="_HO6" localSheetId="4">[1]Lookup!$D$37:$D$45</definedName>
    <definedName name="_HO6" localSheetId="2">[1]Lookup!$D$37:$D$45</definedName>
    <definedName name="_HO6">Lookup!$D$37:$D$45</definedName>
    <definedName name="_HO8" localSheetId="4">[1]Lookup!$A$54:$A$66</definedName>
    <definedName name="_HO8" localSheetId="2">[1]Lookup!$A$54:$A$66</definedName>
    <definedName name="_HO8">Lookup!$A$54:$A$66</definedName>
    <definedName name="Form_1" localSheetId="4">[1]Lookup!$A$2:$A$6</definedName>
    <definedName name="Form_1" localSheetId="2">[1]Lookup!$A$2:$A$6</definedName>
    <definedName name="Form_1">Lookup!$A$2:$A$6</definedName>
    <definedName name="Form_2" localSheetId="4">[1]Lookup!$B$2:$B$3</definedName>
    <definedName name="Form_2" localSheetId="2">[1]Lookup!$B$2:$B$3</definedName>
    <definedName name="Form_2">Lookup!$B$2:$B$3</definedName>
    <definedName name="Liab">Rater!$D$46:$D$50</definedName>
    <definedName name="LiabilityCheck" localSheetId="4">[1]Lookup!$B$85:$B$88</definedName>
    <definedName name="LiabilityCheck" localSheetId="2">[1]Lookup!$B$85:$B$88</definedName>
    <definedName name="LiabilityCheck">Lookup!$B$85:$B$88</definedName>
    <definedName name="LiabilityType">Lookup!$B$81:$B$88</definedName>
    <definedName name="Occupancy_1" localSheetId="4">[1]Lookup!$C$2:$C$10</definedName>
    <definedName name="Occupancy_1" localSheetId="2">[1]Lookup!$C$2:$C$10</definedName>
    <definedName name="Occupancy_1">Lookup!$C$2:$C$10</definedName>
    <definedName name="Occupancy_2" localSheetId="4">[1]Lookup!$D$2:$D$8</definedName>
    <definedName name="Occupancy_2" localSheetId="2">[1]Lookup!$D$2:$D$8</definedName>
    <definedName name="Occupancy_2">Lookup!$D$2:$D$8</definedName>
    <definedName name="Table1">Lookup!$AG$9:$AO$24</definedName>
    <definedName name="TheftCoverage" localSheetId="4">[1]Lookup!$A$81:$A$86</definedName>
    <definedName name="TheftCoverage" localSheetId="2">[1]Lookup!$A$81:$A$86</definedName>
    <definedName name="TheftCoverage">Lookup!$A$81:$A$86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1" l="1"/>
  <c r="E10" i="11"/>
  <c r="C9" i="11"/>
  <c r="C61" i="11"/>
  <c r="C60" i="11"/>
  <c r="O38" i="11"/>
  <c r="I38" i="11"/>
  <c r="C38" i="11"/>
  <c r="C29" i="11"/>
  <c r="C28" i="11"/>
  <c r="O9" i="11"/>
  <c r="I9" i="11"/>
  <c r="O20" i="11"/>
  <c r="I20" i="11"/>
  <c r="C20" i="11"/>
  <c r="I10" i="11"/>
  <c r="O35" i="11"/>
  <c r="O25" i="11"/>
  <c r="O18" i="11"/>
  <c r="O13" i="11"/>
  <c r="O12" i="11"/>
  <c r="O11" i="11"/>
  <c r="O10" i="11"/>
  <c r="I35" i="11"/>
  <c r="I25" i="11"/>
  <c r="I18" i="11"/>
  <c r="I13" i="11"/>
  <c r="I12" i="11"/>
  <c r="I11" i="11"/>
  <c r="C6" i="11" l="1"/>
  <c r="I6" i="11" s="1"/>
  <c r="C46" i="11"/>
  <c r="C51" i="11" s="1"/>
  <c r="C44" i="11"/>
  <c r="D44" i="11" s="1"/>
  <c r="C36" i="11"/>
  <c r="C35" i="11"/>
  <c r="C30" i="11"/>
  <c r="C25" i="11"/>
  <c r="E25" i="11" s="1"/>
  <c r="F25" i="11" s="1"/>
  <c r="E20" i="11"/>
  <c r="C18" i="11"/>
  <c r="E18" i="11" s="1"/>
  <c r="C13" i="11"/>
  <c r="C12" i="11"/>
  <c r="C11" i="11"/>
  <c r="C10" i="11"/>
  <c r="C8" i="11"/>
  <c r="O8" i="11" s="1"/>
  <c r="C7" i="11"/>
  <c r="I7" i="11" s="1"/>
  <c r="C5" i="11"/>
  <c r="C3" i="11"/>
  <c r="B43" i="11"/>
  <c r="B55" i="11"/>
  <c r="D58" i="11"/>
  <c r="O5" i="11" l="1"/>
  <c r="I5" i="11"/>
  <c r="C32" i="11"/>
  <c r="O7" i="11"/>
  <c r="I8" i="11"/>
  <c r="D13" i="11"/>
  <c r="O6" i="11"/>
  <c r="F34" i="11"/>
  <c r="F36" i="11"/>
  <c r="F35" i="11"/>
  <c r="C17" i="11"/>
  <c r="E17" i="11" s="1"/>
  <c r="F38" i="11"/>
  <c r="F61" i="11"/>
  <c r="C52" i="11"/>
  <c r="D52" i="11"/>
  <c r="D51" i="11"/>
  <c r="D29" i="11"/>
  <c r="C31" i="11"/>
  <c r="D12" i="11"/>
  <c r="D11" i="11"/>
  <c r="D30" i="11"/>
  <c r="F10" i="11"/>
  <c r="E30" i="11" l="1"/>
  <c r="F30" i="11" s="1"/>
  <c r="C19" i="11"/>
  <c r="E19" i="11" s="1"/>
  <c r="E21" i="11" s="1"/>
  <c r="F11" i="11"/>
  <c r="F12" i="11"/>
  <c r="F13" i="11"/>
  <c r="F15" i="11" l="1"/>
  <c r="F17" i="11" l="1"/>
  <c r="F20" i="11"/>
  <c r="F19" i="11"/>
  <c r="F18" i="11"/>
  <c r="F21" i="11"/>
  <c r="F37" i="11"/>
  <c r="F40" i="11" l="1"/>
  <c r="R38" i="11"/>
  <c r="R35" i="11"/>
  <c r="R34" i="11"/>
  <c r="Q25" i="11"/>
  <c r="R25" i="11" s="1"/>
  <c r="Q20" i="11"/>
  <c r="Q18" i="11"/>
  <c r="O17" i="11"/>
  <c r="Q17" i="11" s="1"/>
  <c r="P13" i="11"/>
  <c r="P12" i="11"/>
  <c r="P11" i="11"/>
  <c r="Q10" i="11"/>
  <c r="R10" i="11" s="1"/>
  <c r="L38" i="11"/>
  <c r="L35" i="11"/>
  <c r="L34" i="11"/>
  <c r="K25" i="11"/>
  <c r="L25" i="11" s="1"/>
  <c r="K20" i="11"/>
  <c r="K18" i="11"/>
  <c r="I17" i="11"/>
  <c r="K17" i="11" s="1"/>
  <c r="J13" i="11"/>
  <c r="J12" i="11"/>
  <c r="J11" i="11"/>
  <c r="K10" i="11"/>
  <c r="L10" i="11" s="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O19" i="11" l="1"/>
  <c r="Q19" i="11" s="1"/>
  <c r="Q21" i="11" s="1"/>
  <c r="I19" i="11"/>
  <c r="K19" i="11" s="1"/>
  <c r="K21" i="11" s="1"/>
  <c r="R11" i="11"/>
  <c r="R12" i="11"/>
  <c r="R13" i="11"/>
  <c r="L13" i="11"/>
  <c r="L12" i="11"/>
  <c r="L11" i="11"/>
  <c r="R15" i="11" l="1"/>
  <c r="C43" i="11" l="1"/>
  <c r="R37" i="11"/>
  <c r="R21" i="11"/>
  <c r="L37" i="11"/>
  <c r="L19" i="11"/>
  <c r="R18" i="11"/>
  <c r="L17" i="11"/>
  <c r="L21" i="11"/>
  <c r="L40" i="11" s="1"/>
  <c r="R17" i="11"/>
  <c r="L18" i="11"/>
  <c r="L20" i="11"/>
  <c r="R19" i="11"/>
  <c r="R20" i="11"/>
  <c r="AT44" i="12"/>
  <c r="AT45" i="12"/>
  <c r="AG44" i="12"/>
  <c r="AG45" i="12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R40" i="11" l="1"/>
  <c r="F52" i="11"/>
  <c r="F44" i="11"/>
  <c r="F51" i="11"/>
  <c r="F55" i="11" l="1"/>
  <c r="F56" i="11" s="1"/>
  <c r="A5" i="15" s="1"/>
  <c r="E59" i="11" l="1"/>
  <c r="F59" i="11" s="1"/>
  <c r="F63" i="11" s="1"/>
  <c r="F62" i="11" l="1"/>
  <c r="F65" i="11" s="1"/>
  <c r="A7" i="15" s="1"/>
  <c r="F64" i="11" l="1"/>
  <c r="A6" i="15" s="1"/>
</calcChain>
</file>

<file path=xl/sharedStrings.xml><?xml version="1.0" encoding="utf-8"?>
<sst xmlns="http://schemas.openxmlformats.org/spreadsheetml/2006/main" count="1201" uniqueCount="202">
  <si>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</si>
  <si>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</si>
  <si>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</si>
  <si>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</si>
  <si>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</si>
  <si>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</si>
  <si>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</si>
  <si>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</si>
  <si>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</si>
  <si>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</si>
  <si>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</si>
  <si>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</si>
  <si>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</si>
  <si>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</si>
  <si>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</si>
  <si>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</si>
  <si>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</si>
  <si>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</si>
  <si>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</si>
  <si>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</si>
  <si>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</si>
  <si>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</si>
  <si>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</si>
  <si>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</si>
  <si>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</si>
  <si>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</si>
  <si>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</si>
  <si>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</si>
  <si>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</si>
  <si>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</si>
  <si>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</si>
  <si>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</si>
  <si>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</si>
  <si>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</si>
  <si>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</si>
  <si>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</si>
  <si>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</si>
  <si>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</si>
  <si>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</si>
  <si>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</si>
  <si>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</si>
  <si>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</si>
  <si>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</si>
  <si>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</si>
  <si>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</si>
  <si>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</si>
  <si>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</si>
  <si>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</si>
  <si>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</si>
  <si>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</si>
  <si>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</si>
  <si>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</si>
  <si>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</si>
  <si>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</si>
  <si>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</si>
  <si>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</si>
  <si>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</si>
  <si>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</si>
  <si>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</si>
  <si>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</si>
  <si>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</si>
  <si>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</si>
  <si>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</si>
  <si>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</si>
  <si>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</si>
  <si>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</si>
  <si>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</si>
  <si>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</si>
  <si>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</si>
  <si>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</si>
  <si>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</si>
  <si>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</si>
  <si>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</si>
  <si>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</si>
  <si>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</si>
  <si>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</si>
  <si>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</si>
  <si>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</si>
  <si>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</si>
  <si>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</si>
  <si>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</si>
  <si>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</si>
  <si>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</si>
  <si>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</si>
  <si>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</si>
  <si>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</si>
  <si>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</si>
  <si>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</si>
  <si>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</si>
  <si>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</si>
  <si>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</si>
  <si>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</si>
  <si>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</si>
  <si>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</si>
  <si>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</si>
  <si>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</si>
  <si>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</si>
  <si>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</si>
  <si>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</si>
  <si>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</si>
  <si>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</si>
  <si>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</si>
  <si>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</si>
  <si>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</si>
  <si>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</si>
  <si>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</si>
  <si>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</si>
  <si>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</si>
  <si>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</si>
  <si>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</si>
  <si>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</si>
  <si>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</si>
  <si>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</si>
  <si>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</si>
  <si>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</si>
  <si>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</si>
  <si>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</si>
  <si>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</si>
  <si>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</si>
  <si>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</si>
  <si>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</si>
  <si>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</si>
  <si>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</si>
  <si>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</si>
  <si>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</si>
  <si>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</si>
  <si>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</si>
  <si>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</si>
  <si>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</si>
  <si>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</si>
  <si>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</si>
  <si>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</si>
  <si>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</si>
  <si>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</si>
  <si>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</si>
  <si>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</si>
  <si>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</si>
  <si>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</si>
  <si>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</si>
  <si>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</si>
  <si>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</si>
  <si>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</si>
  <si>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</si>
  <si>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</si>
  <si>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</si>
  <si>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</si>
  <si>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</si>
  <si>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</si>
  <si>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</si>
  <si>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</si>
  <si>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</si>
  <si>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</si>
  <si>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</si>
  <si>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</si>
  <si>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</si>
  <si>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</si>
  <si>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</si>
  <si>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</si>
  <si>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</si>
  <si>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</si>
  <si>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INPUT Location 2</t>
  </si>
  <si>
    <t>INPUT Location 3</t>
  </si>
  <si>
    <t>Form Type</t>
  </si>
  <si>
    <t>Prot Class</t>
  </si>
  <si>
    <t>No Of Acres</t>
  </si>
  <si>
    <t>12 Months</t>
  </si>
  <si>
    <t>2</t>
  </si>
  <si>
    <t>3</t>
  </si>
  <si>
    <t>4</t>
  </si>
  <si>
    <t>5</t>
  </si>
  <si>
    <t>6</t>
  </si>
  <si>
    <t>Cov E</t>
  </si>
  <si>
    <t>3 Months</t>
  </si>
  <si>
    <t>6 Months</t>
  </si>
  <si>
    <t>9 Months</t>
  </si>
  <si>
    <t>Prot Class2</t>
  </si>
  <si>
    <t>Coverage A2</t>
  </si>
  <si>
    <t>Coverage B2</t>
  </si>
  <si>
    <t>Coverage C2</t>
  </si>
  <si>
    <t>Coverage D2</t>
  </si>
  <si>
    <t>Central Station Burglar and/or Fire Credit2</t>
  </si>
  <si>
    <t>AOP2</t>
  </si>
  <si>
    <t>No Of Acres2</t>
  </si>
  <si>
    <t>RC on Coverage C2</t>
  </si>
  <si>
    <t>Water Backup2</t>
  </si>
  <si>
    <t>Prot Class3</t>
  </si>
  <si>
    <t>Coverage A3</t>
  </si>
  <si>
    <t>Coverage B3</t>
  </si>
  <si>
    <t>Coverage C3</t>
  </si>
  <si>
    <t>Coverage D3</t>
  </si>
  <si>
    <t>Central Station Burglar and/or Fire Credit3</t>
  </si>
  <si>
    <t>AOP3</t>
  </si>
  <si>
    <t>No Of Acres3</t>
  </si>
  <si>
    <t>RC on Coverage C3</t>
  </si>
  <si>
    <t>Water Backup3</t>
  </si>
  <si>
    <t/>
  </si>
  <si>
    <t>Coverage A1</t>
  </si>
  <si>
    <t>Coverage B1</t>
  </si>
  <si>
    <t>Coverage C1</t>
  </si>
  <si>
    <t>Coverage D1</t>
  </si>
  <si>
    <t>High value reports up to $4M</t>
  </si>
  <si>
    <t>RC on Coverage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</si>
</sst>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4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8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5" fontId="0" fillId="0" borderId="1" xfId="1" applyNumberFormat="1" applyFont="1" applyBorder="1" applyAlignment="1">
      <alignment horizontal="center"/>
    </xf>
    <xf numFmtId="5" fontId="2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5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8" fontId="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6" fontId="4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 wrapText="1"/>
    </xf>
    <xf numFmtId="5" fontId="2" fillId="0" borderId="1" xfId="1" applyNumberFormat="1" applyFont="1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9" fontId="0" fillId="0" borderId="0" xfId="0" applyNumberFormat="1"/>
    <xf numFmtId="6" fontId="6" fillId="0" borderId="0" xfId="0" applyNumberFormat="1" applyFont="1" applyFill="1" applyBorder="1" applyAlignment="1" applyProtection="1"/>
    <xf numFmtId="6" fontId="5" fillId="0" borderId="0" xfId="0" applyNumberFormat="1" applyFont="1" applyBorder="1" applyAlignment="1"/>
    <xf numFmtId="165" fontId="0" fillId="0" borderId="0" xfId="1" applyNumberFormat="1" applyFont="1"/>
    <xf numFmtId="0" fontId="0" fillId="0" borderId="0" xfId="0" applyNumberFormat="1" applyAlignment="1">
      <alignment horizontal="left"/>
    </xf>
    <xf numFmtId="6" fontId="0" fillId="0" borderId="1" xfId="0" applyNumberFormat="1" applyBorder="1"/>
    <xf numFmtId="165" fontId="0" fillId="0" borderId="1" xfId="0" applyNumberFormat="1" applyBorder="1"/>
    <xf numFmtId="0" fontId="3" fillId="0" borderId="15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7" xfId="0" applyFont="1" applyFill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27" xfId="0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6" fontId="0" fillId="0" borderId="0" xfId="0" applyNumberFormat="1"/>
    <xf numFmtId="0" fontId="3" fillId="0" borderId="28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7" xfId="0" applyFont="1" applyBorder="1" applyAlignment="1">
      <alignment vertical="top"/>
    </xf>
    <xf numFmtId="0" fontId="3" fillId="4" borderId="26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5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5" fontId="10" fillId="0" borderId="17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5" fontId="10" fillId="0" borderId="0" xfId="0" applyNumberFormat="1" applyFont="1" applyBorder="1" applyAlignment="1">
      <alignment vertical="top"/>
    </xf>
    <xf numFmtId="0" fontId="10" fillId="2" borderId="20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5" fontId="10" fillId="0" borderId="19" xfId="0" applyNumberFormat="1" applyFont="1" applyBorder="1" applyAlignment="1">
      <alignment vertical="top"/>
    </xf>
    <xf numFmtId="164" fontId="3" fillId="0" borderId="23" xfId="1" applyNumberFormat="1" applyFont="1" applyBorder="1" applyAlignment="1">
      <alignment horizontal="center" vertical="top"/>
    </xf>
    <xf numFmtId="165" fontId="10" fillId="0" borderId="24" xfId="0" applyNumberFormat="1" applyFont="1" applyBorder="1" applyAlignment="1">
      <alignment vertical="top"/>
    </xf>
    <xf numFmtId="165" fontId="3" fillId="4" borderId="26" xfId="0" applyNumberFormat="1" applyFont="1" applyFill="1" applyBorder="1" applyAlignment="1">
      <alignment horizontal="left" vertical="top"/>
    </xf>
    <xf numFmtId="165" fontId="3" fillId="4" borderId="21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5" fontId="10" fillId="0" borderId="25" xfId="0" applyNumberFormat="1" applyFont="1" applyBorder="1" applyAlignment="1">
      <alignment vertical="top"/>
    </xf>
    <xf numFmtId="164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6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5" fontId="3" fillId="4" borderId="5" xfId="0" applyNumberFormat="1" applyFont="1" applyFill="1" applyBorder="1" applyAlignment="1">
      <alignment horizontal="left" vertical="top"/>
    </xf>
    <xf numFmtId="165" fontId="3" fillId="8" borderId="2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5" fontId="23" fillId="0" borderId="18" xfId="1" applyNumberFormat="1" applyFont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 wrapText="1"/>
    </xf>
    <xf numFmtId="9" fontId="3" fillId="5" borderId="16" xfId="0" applyNumberFormat="1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vertical="top"/>
    </xf>
    <xf numFmtId="165" fontId="5" fillId="0" borderId="33" xfId="1" applyNumberFormat="1" applyFont="1" applyBorder="1" applyAlignment="1">
      <alignment horizontal="center" vertical="top"/>
    </xf>
    <xf numFmtId="165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 wrapText="1"/>
    </xf>
    <xf numFmtId="0" fontId="10" fillId="0" borderId="34" xfId="0" applyFont="1" applyFill="1" applyBorder="1" applyAlignment="1">
      <alignment vertical="top" wrapText="1"/>
    </xf>
    <xf numFmtId="0" fontId="0" fillId="8" borderId="18" xfId="0" applyFill="1" applyBorder="1" applyAlignment="1">
      <alignment vertical="top"/>
    </xf>
    <xf numFmtId="9" fontId="3" fillId="0" borderId="18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0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vertical="top" wrapText="1"/>
    </xf>
    <xf numFmtId="0" fontId="3" fillId="4" borderId="23" xfId="0" applyFont="1" applyFill="1" applyBorder="1" applyAlignment="1">
      <alignment horizontal="left" vertical="top"/>
    </xf>
    <xf numFmtId="0" fontId="3" fillId="0" borderId="23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5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5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5" fontId="3" fillId="5" borderId="0" xfId="0" applyNumberFormat="1" applyFont="1" applyFill="1" applyBorder="1" applyAlignment="1">
      <alignment horizontal="left" vertical="top"/>
    </xf>
    <xf numFmtId="165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5" fontId="11" fillId="5" borderId="0" xfId="0" applyNumberFormat="1" applyFont="1" applyFill="1" applyBorder="1" applyAlignment="1">
      <alignment vertical="top"/>
    </xf>
    <xf numFmtId="165" fontId="10" fillId="0" borderId="35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5" fontId="3" fillId="5" borderId="8" xfId="0" applyNumberFormat="1" applyFont="1" applyFill="1" applyBorder="1" applyAlignment="1">
      <alignment vertical="top"/>
    </xf>
    <xf numFmtId="165" fontId="3" fillId="5" borderId="0" xfId="1" applyNumberFormat="1" applyFont="1" applyFill="1" applyBorder="1" applyAlignment="1">
      <alignment horizontal="center" vertical="top"/>
    </xf>
    <xf numFmtId="165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1" xfId="0" applyFill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0" fillId="3" borderId="2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4" fontId="3" fillId="5" borderId="0" xfId="0" applyNumberFormat="1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164" fontId="3" fillId="5" borderId="17" xfId="0" applyNumberFormat="1" applyFont="1" applyFill="1" applyBorder="1" applyAlignment="1">
      <alignment vertical="top"/>
    </xf>
    <xf numFmtId="0" fontId="3" fillId="0" borderId="36" xfId="0" applyFont="1" applyFill="1" applyBorder="1" applyAlignment="1">
      <alignment vertical="top"/>
    </xf>
    <xf numFmtId="0" fontId="3" fillId="4" borderId="37" xfId="0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165" fontId="10" fillId="0" borderId="39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5" fontId="3" fillId="0" borderId="40" xfId="0" applyNumberFormat="1" applyFont="1" applyFill="1" applyBorder="1" applyAlignment="1">
      <alignment vertical="top"/>
    </xf>
    <xf numFmtId="0" fontId="3" fillId="4" borderId="37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2" xfId="0" applyFill="1" applyBorder="1" applyAlignment="1">
      <alignment vertical="top"/>
    </xf>
    <xf numFmtId="164" fontId="0" fillId="5" borderId="42" xfId="0" applyNumberFormat="1" applyFill="1" applyBorder="1" applyAlignment="1">
      <alignment vertical="top"/>
    </xf>
    <xf numFmtId="0" fontId="0" fillId="0" borderId="42" xfId="0" applyBorder="1" applyAlignment="1">
      <alignment vertical="top"/>
    </xf>
    <xf numFmtId="165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3" fillId="0" borderId="27" xfId="0" applyNumberFormat="1" applyFont="1" applyFill="1" applyBorder="1" applyAlignment="1">
      <alignment vertical="center"/>
    </xf>
    <xf numFmtId="0" fontId="3" fillId="5" borderId="42" xfId="0" applyNumberFormat="1" applyFont="1" applyFill="1" applyBorder="1" applyAlignment="1">
      <alignment vertical="center"/>
    </xf>
    <xf numFmtId="164" fontId="3" fillId="0" borderId="28" xfId="0" applyNumberFormat="1" applyFont="1" applyFill="1" applyBorder="1" applyAlignment="1">
      <alignment vertical="center"/>
    </xf>
    <xf numFmtId="164" fontId="3" fillId="0" borderId="29" xfId="0" applyNumberFormat="1" applyFont="1" applyFill="1" applyBorder="1" applyAlignment="1">
      <alignment vertical="center"/>
    </xf>
    <xf numFmtId="9" fontId="3" fillId="0" borderId="38" xfId="0" applyNumberFormat="1" applyFont="1" applyFill="1" applyBorder="1" applyAlignment="1">
      <alignment vertical="top"/>
    </xf>
    <xf numFmtId="165" fontId="21" fillId="2" borderId="32" xfId="0" applyNumberFormat="1" applyFont="1" applyFill="1" applyBorder="1" applyAlignment="1">
      <alignment vertical="top" wrapText="1"/>
    </xf>
    <xf numFmtId="9" fontId="3" fillId="0" borderId="32" xfId="0" applyNumberFormat="1" applyFont="1" applyFill="1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9" fontId="3" fillId="9" borderId="18" xfId="0" applyNumberFormat="1" applyFont="1" applyFill="1" applyBorder="1" applyAlignment="1">
      <alignment horizontal="center" vertical="top"/>
    </xf>
    <xf numFmtId="165" fontId="10" fillId="9" borderId="19" xfId="0" applyNumberFormat="1" applyFont="1" applyFill="1" applyBorder="1" applyAlignment="1">
      <alignment vertical="top"/>
    </xf>
    <xf numFmtId="165" fontId="3" fillId="0" borderId="16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0" fillId="5" borderId="20" xfId="0" applyFill="1" applyBorder="1" applyAlignment="1">
      <alignment vertical="top"/>
    </xf>
    <xf numFmtId="165" fontId="10" fillId="5" borderId="28" xfId="0" applyNumberFormat="1" applyFont="1" applyFill="1" applyBorder="1" applyAlignment="1">
      <alignment vertical="center"/>
    </xf>
    <xf numFmtId="165" fontId="10" fillId="5" borderId="29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1" xfId="0" applyFont="1" applyFill="1" applyBorder="1" applyAlignment="1">
      <alignment horizontal="left" vertical="top"/>
    </xf>
    <xf numFmtId="0" fontId="11" fillId="10" borderId="0" xfId="0" applyFont="1" applyFill="1"/>
    <xf numFmtId="0" fontId="0" fillId="11" borderId="0" xfId="0" applyFill="1"/>
    <xf numFmtId="164" fontId="0" fillId="5" borderId="10" xfId="0" applyNumberFormat="1" applyFill="1" applyBorder="1" applyAlignment="1">
      <alignment vertical="top"/>
    </xf>
    <xf numFmtId="0" fontId="3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9" xfId="0" quotePrefix="1" applyBorder="1"/>
    <xf numFmtId="0" fontId="0" fillId="0" borderId="46" xfId="0" applyBorder="1"/>
    <xf numFmtId="0" fontId="0" fillId="0" borderId="8" xfId="0" applyBorder="1"/>
    <xf numFmtId="165" fontId="4" fillId="0" borderId="8" xfId="0" applyNumberFormat="1" applyFont="1" applyBorder="1" applyAlignment="1">
      <alignment wrapText="1"/>
    </xf>
    <xf numFmtId="0" fontId="0" fillId="0" borderId="0" xfId="0" quotePrefix="1"/>
    <xf numFmtId="165" fontId="0" fillId="0" borderId="10" xfId="0" applyNumberFormat="1" applyBorder="1"/>
    <xf numFmtId="165" fontId="0" fillId="0" borderId="10" xfId="1" applyNumberFormat="1" applyFont="1" applyBorder="1"/>
    <xf numFmtId="165" fontId="4" fillId="0" borderId="10" xfId="0" applyNumberFormat="1" applyFont="1" applyBorder="1" applyAlignment="1">
      <alignment wrapText="1"/>
    </xf>
    <xf numFmtId="0" fontId="0" fillId="0" borderId="11" xfId="0" applyBorder="1"/>
    <xf numFmtId="0" fontId="0" fillId="0" borderId="31" xfId="0" applyBorder="1"/>
    <xf numFmtId="0" fontId="0" fillId="0" borderId="12" xfId="0" applyBorder="1"/>
    <xf numFmtId="165" fontId="4" fillId="0" borderId="31" xfId="0" applyNumberFormat="1" applyFont="1" applyBorder="1" applyAlignment="1">
      <alignment wrapText="1"/>
    </xf>
    <xf numFmtId="0" fontId="0" fillId="0" borderId="11" xfId="0" quotePrefix="1" applyBorder="1"/>
    <xf numFmtId="165" fontId="0" fillId="0" borderId="31" xfId="0" applyNumberFormat="1" applyBorder="1"/>
    <xf numFmtId="165" fontId="0" fillId="0" borderId="31" xfId="1" applyNumberFormat="1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/>
    <xf numFmtId="3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9" borderId="1" xfId="0" applyFont="1" applyFill="1" applyBorder="1"/>
    <xf numFmtId="0" fontId="3" fillId="0" borderId="1" xfId="0" applyFont="1" applyBorder="1" applyAlignment="1">
      <alignment horizontal="left" vertical="top" wrapText="1"/>
    </xf>
    <xf numFmtId="49" fontId="0" fillId="11" borderId="0" xfId="0" applyNumberFormat="1" applyFill="1"/>
    <xf numFmtId="0" fontId="0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left" vertical="top"/>
    </xf>
    <xf numFmtId="1" fontId="3" fillId="4" borderId="4" xfId="0" applyNumberFormat="1" applyFont="1" applyFill="1" applyBorder="1" applyAlignment="1">
      <alignment horizontal="left" vertical="top"/>
    </xf>
    <xf numFmtId="3" fontId="0" fillId="0" borderId="1" xfId="0" quotePrefix="1" applyNumberFormat="1" applyFont="1" applyBorder="1" applyAlignment="1">
      <alignment vertical="top" wrapText="1"/>
    </xf>
    <xf numFmtId="0" fontId="5" fillId="0" borderId="1" xfId="0" applyNumberFormat="1" applyFont="1" applyBorder="1" applyAlignment="1">
      <alignment horizontal="center"/>
    </xf>
    <xf numFmtId="165" fontId="3" fillId="9" borderId="22" xfId="0" applyNumberFormat="1" applyFont="1" applyFill="1" applyBorder="1" applyAlignment="1">
      <alignment horizontal="center" vertical="top"/>
    </xf>
    <xf numFmtId="165" fontId="3" fillId="9" borderId="24" xfId="0" applyNumberFormat="1" applyFont="1" applyFill="1" applyBorder="1" applyAlignment="1">
      <alignment horizontal="center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21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0" xfId="0" applyFont="1" applyFill="1" applyBorder="1" applyAlignment="1">
      <alignment horizontal="left" vertical="top"/>
    </xf>
    <xf numFmtId="165" fontId="3" fillId="9" borderId="13" xfId="0" applyNumberFormat="1" applyFont="1" applyFill="1" applyBorder="1" applyAlignment="1">
      <alignment horizontal="center" vertical="top"/>
    </xf>
    <xf numFmtId="165" fontId="3" fillId="9" borderId="30" xfId="0" applyNumberFormat="1" applyFont="1" applyFill="1" applyBorder="1" applyAlignment="1">
      <alignment horizontal="center" vertical="top"/>
    </xf>
    <xf numFmtId="165" fontId="11" fillId="0" borderId="50" xfId="0" applyNumberFormat="1" applyFont="1" applyFill="1" applyBorder="1" applyAlignment="1">
      <alignment horizontal="right" vertical="center"/>
    </xf>
    <xf numFmtId="165" fontId="11" fillId="0" borderId="14" xfId="0" applyNumberFormat="1" applyFont="1" applyFill="1" applyBorder="1" applyAlignment="1">
      <alignment horizontal="right" vertical="center"/>
    </xf>
    <xf numFmtId="165" fontId="11" fillId="0" borderId="30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49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0" fontId="3" fillId="0" borderId="48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5" borderId="48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0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45" xfId="0" applyFont="1" applyFill="1" applyBorder="1" applyAlignment="1">
      <alignment horizontal="left" vertical="top"/>
    </xf>
    <xf numFmtId="0" fontId="3" fillId="0" borderId="47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left"/>
    </xf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9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NEEE-Manual%20Rater_V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ater"/>
      <sheetName val="Reference"/>
      <sheetName val="Lookup"/>
      <sheetName val="Mappings"/>
    </sheetNames>
    <sheetDataSet>
      <sheetData sheetId="0"/>
      <sheetData sheetId="1"/>
      <sheetData sheetId="2"/>
      <sheetData sheetId="3">
        <row r="2">
          <cell r="A2" t="str">
            <v>HO1</v>
          </cell>
          <cell r="B2" t="str">
            <v>DP1</v>
          </cell>
          <cell r="C2" t="str">
            <v>Owner - Primary</v>
          </cell>
          <cell r="D2" t="str">
            <v>Owner - Builder Risk</v>
          </cell>
        </row>
        <row r="3">
          <cell r="A3" t="str">
            <v>HO3</v>
          </cell>
          <cell r="B3" t="str">
            <v>DP3</v>
          </cell>
          <cell r="C3" t="str">
            <v>Owner - Seasonal</v>
          </cell>
          <cell r="D3" t="str">
            <v>Owner - Building Under Reno</v>
          </cell>
        </row>
        <row r="4">
          <cell r="A4" t="str">
            <v>HO4</v>
          </cell>
          <cell r="C4" t="str">
            <v>Owner - Secondary</v>
          </cell>
          <cell r="D4" t="str">
            <v>Owner / Tenant - Builders Risk</v>
          </cell>
        </row>
        <row r="5">
          <cell r="A5" t="str">
            <v>HO6</v>
          </cell>
          <cell r="C5" t="str">
            <v>Owner / Tenant - Primary</v>
          </cell>
          <cell r="D5" t="str">
            <v>Owner / Tenant - Building Under Reno</v>
          </cell>
        </row>
        <row r="6">
          <cell r="A6" t="str">
            <v>HO8</v>
          </cell>
          <cell r="C6" t="str">
            <v>Owner / Tenant - Seasonal</v>
          </cell>
          <cell r="D6" t="str">
            <v>Vacant</v>
          </cell>
        </row>
        <row r="7">
          <cell r="C7" t="str">
            <v>Owner / Tenant - Secondary</v>
          </cell>
          <cell r="D7" t="str">
            <v>Vacant - Builders Risk</v>
          </cell>
        </row>
        <row r="8">
          <cell r="C8" t="str">
            <v>Owner / Tenant - Short-Term Rental</v>
          </cell>
          <cell r="D8" t="str">
            <v>Vacant - Building Under Reno</v>
          </cell>
        </row>
        <row r="9">
          <cell r="C9" t="str">
            <v>Tenant - Primary</v>
          </cell>
        </row>
        <row r="10">
          <cell r="C10" t="str">
            <v>Tenant - Short-Term Rental</v>
          </cell>
        </row>
        <row r="37">
          <cell r="A37" t="str">
            <v>Owner - Primary</v>
          </cell>
          <cell r="B37" t="str">
            <v>Owner - Primary</v>
          </cell>
          <cell r="C37" t="str">
            <v>Tenant - Primary</v>
          </cell>
          <cell r="D37" t="str">
            <v>Owner - Primary</v>
          </cell>
        </row>
        <row r="38">
          <cell r="A38" t="str">
            <v>Owner - Seasonal</v>
          </cell>
          <cell r="B38" t="str">
            <v>Owner - Seasonal</v>
          </cell>
          <cell r="D38" t="str">
            <v>Owner - Seasonal</v>
          </cell>
        </row>
        <row r="39">
          <cell r="A39" t="str">
            <v>Owner - Secondary</v>
          </cell>
          <cell r="B39" t="str">
            <v>Owner - Secondary</v>
          </cell>
          <cell r="D39" t="str">
            <v>Owner - Secondary</v>
          </cell>
        </row>
        <row r="40">
          <cell r="A40" t="str">
            <v>Owner / Tenant - Primary</v>
          </cell>
          <cell r="B40" t="str">
            <v>Owner / Tenant - Primary</v>
          </cell>
          <cell r="D40" t="str">
            <v>Owner / Tenant - Primary</v>
          </cell>
        </row>
        <row r="41">
          <cell r="A41" t="str">
            <v>Owner / Tenant - Seasonal</v>
          </cell>
          <cell r="B41" t="str">
            <v>Owner / Tenant - Seasonal</v>
          </cell>
          <cell r="D41" t="str">
            <v>Owner / Tenant - Seasonal</v>
          </cell>
        </row>
        <row r="42">
          <cell r="A42" t="str">
            <v>Owner / Tenant - Secondary</v>
          </cell>
          <cell r="B42" t="str">
            <v>Owner / Tenant - Secondary</v>
          </cell>
          <cell r="D42" t="str">
            <v>Owner / Tenant - Secondary</v>
          </cell>
        </row>
        <row r="43">
          <cell r="A43" t="str">
            <v>Owner / Tenant - Short-Term Rental</v>
          </cell>
          <cell r="B43" t="str">
            <v>Owner / Tenant - Short-Term Rental</v>
          </cell>
          <cell r="D43" t="str">
            <v>Owner / Tenant - Short-Term Rental</v>
          </cell>
        </row>
        <row r="44">
          <cell r="A44" t="str">
            <v>Owner - Builder Risk</v>
          </cell>
          <cell r="B44" t="str">
            <v>Owner - Builder Risk</v>
          </cell>
          <cell r="D44" t="str">
            <v>Tenant - Primary</v>
          </cell>
        </row>
        <row r="45">
          <cell r="A45" t="str">
            <v>Owner - Building Under Reno</v>
          </cell>
          <cell r="B45" t="str">
            <v>Owner - Building Under Reno</v>
          </cell>
          <cell r="D45" t="str">
            <v>Tenant - Short-Term Rental</v>
          </cell>
        </row>
        <row r="46">
          <cell r="A46" t="str">
            <v>Owner / Tenant - Builders Risk</v>
          </cell>
          <cell r="B46" t="str">
            <v>Owner / Tenant - Builders Risk</v>
          </cell>
        </row>
        <row r="47">
          <cell r="A47" t="str">
            <v>Owner / Tenant - Building Under Reno</v>
          </cell>
          <cell r="B47" t="str">
            <v>Owner / Tenant - Building Under Reno</v>
          </cell>
        </row>
        <row r="48">
          <cell r="A48" t="str">
            <v>Vacant - Builders Risk</v>
          </cell>
          <cell r="B48" t="str">
            <v>Vacant - Builders Risk</v>
          </cell>
        </row>
        <row r="49">
          <cell r="A49" t="str">
            <v>Vacant - Building Under Reno</v>
          </cell>
          <cell r="B49" t="str">
            <v>Vacant - Building Under Reno</v>
          </cell>
        </row>
        <row r="54">
          <cell r="A54" t="str">
            <v>Owner - Primary</v>
          </cell>
          <cell r="B54" t="str">
            <v>Owner - Primary</v>
          </cell>
          <cell r="C54" t="str">
            <v>Owner - Primary</v>
          </cell>
        </row>
        <row r="55">
          <cell r="A55" t="str">
            <v>Owner - Seasonal</v>
          </cell>
          <cell r="B55" t="str">
            <v>Owner - Seasonal</v>
          </cell>
          <cell r="C55" t="str">
            <v>Owner - Seasonal</v>
          </cell>
        </row>
        <row r="56">
          <cell r="A56" t="str">
            <v>Owner - Secondary</v>
          </cell>
          <cell r="B56" t="str">
            <v>Owner - Secondary</v>
          </cell>
          <cell r="C56" t="str">
            <v>Owner - Secondary</v>
          </cell>
        </row>
        <row r="57">
          <cell r="A57" t="str">
            <v>Owner / Tenant - Primary</v>
          </cell>
          <cell r="B57" t="str">
            <v>Owner / Tenant - Primary</v>
          </cell>
          <cell r="C57" t="str">
            <v>Owner / Tenant - Primary</v>
          </cell>
        </row>
        <row r="58">
          <cell r="A58" t="str">
            <v>Owner / Tenant - Seasonal</v>
          </cell>
          <cell r="B58" t="str">
            <v>Owner / Tenant - Seasonal</v>
          </cell>
          <cell r="C58" t="str">
            <v>Owner / Tenant - Seasonal</v>
          </cell>
        </row>
        <row r="59">
          <cell r="A59" t="str">
            <v>Owner / Tenant - Secondary</v>
          </cell>
          <cell r="B59" t="str">
            <v>Owner / Tenant - Secondary</v>
          </cell>
          <cell r="C59" t="str">
            <v>Owner / Tenant - Secondary</v>
          </cell>
        </row>
        <row r="60">
          <cell r="A60" t="str">
            <v>Owner / Tenant - Short-Term Rental</v>
          </cell>
          <cell r="B60" t="str">
            <v>Owner / Tenant - Short-Term Rental</v>
          </cell>
          <cell r="C60" t="str">
            <v>Owner / Tenant - Short-Term Rental</v>
          </cell>
        </row>
        <row r="61">
          <cell r="A61" t="str">
            <v>Owner - Builder Risk</v>
          </cell>
          <cell r="B61" t="str">
            <v>Tenant - Primary</v>
          </cell>
          <cell r="C61" t="str">
            <v>Tenant - Primary</v>
          </cell>
        </row>
        <row r="62">
          <cell r="A62" t="str">
            <v>Owner - Building Under Reno</v>
          </cell>
          <cell r="B62" t="str">
            <v>Tenant - Short-Term Rental</v>
          </cell>
          <cell r="C62" t="str">
            <v>Tenant - Short-Term Rental</v>
          </cell>
        </row>
        <row r="63">
          <cell r="A63" t="str">
            <v>Owner / Tenant - Builders Risk</v>
          </cell>
          <cell r="B63" t="str">
            <v>Owner - Builder Risk</v>
          </cell>
          <cell r="C63" t="str">
            <v>Owner - Builder Risk</v>
          </cell>
        </row>
        <row r="64">
          <cell r="A64" t="str">
            <v>Owner / Tenant - Building Under Reno</v>
          </cell>
          <cell r="B64" t="str">
            <v>Owner - Building Under Reno</v>
          </cell>
          <cell r="C64" t="str">
            <v>Owner - Building Under Reno</v>
          </cell>
        </row>
        <row r="65">
          <cell r="A65" t="str">
            <v>Vacant - Builders Risk</v>
          </cell>
          <cell r="B65" t="str">
            <v>Owner / Tenant - Builders Risk</v>
          </cell>
          <cell r="C65" t="str">
            <v>Owner / Tenant - Builders Risk</v>
          </cell>
        </row>
        <row r="66">
          <cell r="A66" t="str">
            <v>Vacant - Building Under Reno</v>
          </cell>
          <cell r="B66" t="str">
            <v>Owner / Tenant - Building Under Reno</v>
          </cell>
          <cell r="C66" t="str">
            <v>Owner / Tenant - Building Under Reno</v>
          </cell>
        </row>
        <row r="67">
          <cell r="B67" t="str">
            <v>Vacant</v>
          </cell>
          <cell r="C67" t="str">
            <v>Vacant</v>
          </cell>
        </row>
        <row r="68">
          <cell r="B68" t="str">
            <v>Vacant - Builders Risk</v>
          </cell>
          <cell r="C68" t="str">
            <v>Vacant - Builders Risk</v>
          </cell>
        </row>
        <row r="69">
          <cell r="B69" t="str">
            <v>Vacant - Building Under Reno</v>
          </cell>
          <cell r="C69" t="str">
            <v>Vacant - Building Under Reno</v>
          </cell>
        </row>
        <row r="81">
          <cell r="A81" t="str">
            <v>Owner - Builder Risk</v>
          </cell>
        </row>
        <row r="82">
          <cell r="A82" t="str">
            <v>Owner - Building Under Reno</v>
          </cell>
        </row>
        <row r="83">
          <cell r="A83" t="str">
            <v>Owner / Tenant - Builders Risk</v>
          </cell>
        </row>
        <row r="84">
          <cell r="A84" t="str">
            <v>Owner / Tenant - Building Under Reno</v>
          </cell>
        </row>
        <row r="85">
          <cell r="A85" t="str">
            <v>Vacant - Builders Risk</v>
          </cell>
          <cell r="B85" t="str">
            <v>Animal Liability</v>
          </cell>
        </row>
        <row r="86">
          <cell r="A86" t="str">
            <v>Vacant - Building Under Reno</v>
          </cell>
          <cell r="B86" t="str">
            <v>Slip and Fall</v>
          </cell>
        </row>
        <row r="87">
          <cell r="B87" t="str">
            <v>Property Damage to others</v>
          </cell>
        </row>
        <row r="88">
          <cell r="B88" t="str">
            <v>All other liability claim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topLeftCell="A46" workbookViewId="0">
      <selection activeCell="K59" sqref="K59"/>
    </sheetView>
  </sheetViews>
  <sheetFormatPr defaultRowHeight="14.4" x14ac:dyDescent="0.3"/>
  <sheetData>
    <row r="5" spans="1:3" x14ac:dyDescent="0.3">
      <c r="A5">
        <v>1</v>
      </c>
      <c r="B5" t="s">
        <v>135</v>
      </c>
    </row>
    <row r="6" spans="1:3" x14ac:dyDescent="0.3">
      <c r="A6">
        <v>2</v>
      </c>
      <c r="B6" t="s">
        <v>136</v>
      </c>
    </row>
    <row r="7" spans="1:3" x14ac:dyDescent="0.3">
      <c r="A7">
        <v>3</v>
      </c>
      <c r="B7" t="s">
        <v>137</v>
      </c>
    </row>
    <row r="8" spans="1:3" x14ac:dyDescent="0.3">
      <c r="A8">
        <v>4</v>
      </c>
      <c r="B8" t="s">
        <v>138</v>
      </c>
    </row>
    <row r="11" spans="1:3" x14ac:dyDescent="0.3">
      <c r="B11" t="s">
        <v>154</v>
      </c>
    </row>
    <row r="12" spans="1:3" x14ac:dyDescent="0.3">
      <c r="B12">
        <v>1</v>
      </c>
      <c r="C12" t="s">
        <v>147</v>
      </c>
    </row>
    <row r="13" spans="1:3" x14ac:dyDescent="0.3">
      <c r="B13">
        <v>2</v>
      </c>
      <c r="C13" t="s">
        <v>148</v>
      </c>
    </row>
    <row r="14" spans="1:3" x14ac:dyDescent="0.3">
      <c r="B14">
        <v>3</v>
      </c>
      <c r="C14" t="s">
        <v>149</v>
      </c>
    </row>
    <row r="15" spans="1:3" x14ac:dyDescent="0.3">
      <c r="B15">
        <v>4</v>
      </c>
      <c r="C15" t="s">
        <v>150</v>
      </c>
    </row>
    <row r="16" spans="1:3" x14ac:dyDescent="0.3">
      <c r="B16">
        <v>5</v>
      </c>
      <c r="C16" t="s">
        <v>151</v>
      </c>
    </row>
    <row r="17" spans="3:3" x14ac:dyDescent="0.3">
      <c r="C17" s="200" t="s">
        <v>10</v>
      </c>
    </row>
    <row r="18" spans="3:3" x14ac:dyDescent="0.3">
      <c r="C18" s="200" t="s">
        <v>152</v>
      </c>
    </row>
    <row r="19" spans="3:3" x14ac:dyDescent="0.3">
      <c r="C19" s="200" t="s">
        <v>70</v>
      </c>
    </row>
    <row r="20" spans="3:3" x14ac:dyDescent="0.3">
      <c r="C20" s="200" t="s">
        <v>153</v>
      </c>
    </row>
    <row r="21" spans="3:3" x14ac:dyDescent="0.3">
      <c r="C21" s="200" t="s">
        <v>88</v>
      </c>
    </row>
    <row r="22" spans="3:3" x14ac:dyDescent="0.3">
      <c r="C22" s="200" t="s">
        <v>153</v>
      </c>
    </row>
    <row r="23" spans="3:3" x14ac:dyDescent="0.3">
      <c r="C23" s="200" t="s">
        <v>92</v>
      </c>
    </row>
    <row r="24" spans="3:3" x14ac:dyDescent="0.3">
      <c r="C24" s="200" t="s">
        <v>153</v>
      </c>
    </row>
    <row r="25" spans="3:3" x14ac:dyDescent="0.3">
      <c r="C25" s="200" t="s">
        <v>95</v>
      </c>
    </row>
    <row r="26" spans="3:3" x14ac:dyDescent="0.3">
      <c r="C26" s="200" t="s">
        <v>153</v>
      </c>
    </row>
    <row r="27" spans="3:3" x14ac:dyDescent="0.3">
      <c r="C27" s="200" t="s">
        <v>98</v>
      </c>
    </row>
    <row r="28" spans="3:3" x14ac:dyDescent="0.3">
      <c r="C28" s="200" t="s">
        <v>153</v>
      </c>
    </row>
    <row r="29" spans="3:3" x14ac:dyDescent="0.3">
      <c r="C29" s="200" t="s">
        <v>11</v>
      </c>
    </row>
    <row r="30" spans="3:3" x14ac:dyDescent="0.3">
      <c r="C30" s="200" t="s">
        <v>153</v>
      </c>
    </row>
    <row r="31" spans="3:3" x14ac:dyDescent="0.3">
      <c r="C31" s="200" t="s">
        <v>104</v>
      </c>
    </row>
    <row r="32" spans="3:3" x14ac:dyDescent="0.3">
      <c r="C32" s="200" t="s">
        <v>153</v>
      </c>
    </row>
    <row r="33" spans="3:3" x14ac:dyDescent="0.3">
      <c r="C33" s="200" t="s">
        <v>114</v>
      </c>
    </row>
    <row r="34" spans="3:3" x14ac:dyDescent="0.3">
      <c r="C34" s="200" t="s">
        <v>153</v>
      </c>
    </row>
    <row r="35" spans="3:3" x14ac:dyDescent="0.3">
      <c r="C35" s="200" t="s">
        <v>117</v>
      </c>
    </row>
    <row r="36" spans="3:3" x14ac:dyDescent="0.3">
      <c r="C36" s="200" t="s">
        <v>153</v>
      </c>
    </row>
    <row r="37" spans="3:3" x14ac:dyDescent="0.3">
      <c r="C37" s="200" t="s">
        <v>71</v>
      </c>
    </row>
    <row r="38" spans="3:3" x14ac:dyDescent="0.3">
      <c r="C38" s="201">
        <v>1</v>
      </c>
    </row>
    <row r="39" spans="3:3" x14ac:dyDescent="0.3">
      <c r="C39" s="200" t="s">
        <v>89</v>
      </c>
    </row>
    <row r="40" spans="3:3" x14ac:dyDescent="0.3">
      <c r="C40" s="201">
        <v>1</v>
      </c>
    </row>
    <row r="41" spans="3:3" x14ac:dyDescent="0.3">
      <c r="C41" s="200" t="s">
        <v>93</v>
      </c>
    </row>
    <row r="42" spans="3:3" x14ac:dyDescent="0.3">
      <c r="C42" s="200" t="s">
        <v>153</v>
      </c>
    </row>
    <row r="43" spans="3:3" x14ac:dyDescent="0.3">
      <c r="C43" s="200" t="s">
        <v>120</v>
      </c>
    </row>
    <row r="44" spans="3:3" x14ac:dyDescent="0.3">
      <c r="C44" s="200" t="s">
        <v>153</v>
      </c>
    </row>
    <row r="45" spans="3:3" x14ac:dyDescent="0.3">
      <c r="C45" s="200" t="s">
        <v>99</v>
      </c>
    </row>
    <row r="46" spans="3:3" x14ac:dyDescent="0.3">
      <c r="C46" s="201">
        <v>1</v>
      </c>
    </row>
    <row r="47" spans="3:3" x14ac:dyDescent="0.3">
      <c r="C47" s="200" t="s">
        <v>101</v>
      </c>
    </row>
    <row r="48" spans="3:3" x14ac:dyDescent="0.3">
      <c r="C48" s="201">
        <v>1</v>
      </c>
    </row>
    <row r="49" spans="2:3" x14ac:dyDescent="0.3">
      <c r="C49" s="200" t="s">
        <v>105</v>
      </c>
    </row>
    <row r="50" spans="2:3" x14ac:dyDescent="0.3">
      <c r="C50" s="201">
        <v>1</v>
      </c>
    </row>
    <row r="52" spans="2:3" x14ac:dyDescent="0.3">
      <c r="B52" t="s">
        <v>155</v>
      </c>
    </row>
    <row r="53" spans="2:3" x14ac:dyDescent="0.3">
      <c r="B53">
        <v>1</v>
      </c>
      <c r="C53" t="s">
        <v>159</v>
      </c>
    </row>
    <row r="54" spans="2:3" x14ac:dyDescent="0.3">
      <c r="B54">
        <v>2</v>
      </c>
      <c r="C54" t="s">
        <v>156</v>
      </c>
    </row>
    <row r="55" spans="2:3" x14ac:dyDescent="0.3">
      <c r="C55" t="s">
        <v>157</v>
      </c>
    </row>
    <row r="56" spans="2:3" x14ac:dyDescent="0.3">
      <c r="C56" t="s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R75"/>
  <sheetViews>
    <sheetView tabSelected="1" topLeftCell="A43" zoomScaleNormal="100" workbookViewId="0">
      <selection activeCell="H62" sqref="H62"/>
    </sheetView>
  </sheetViews>
  <sheetFormatPr defaultColWidth="9.109375" defaultRowHeight="14.4" x14ac:dyDescent="0.3"/>
  <cols>
    <col min="1" max="1" style="119" width="9.109375" collapsed="true"/>
    <col min="2" max="2" bestFit="true" customWidth="true" style="64" width="32.88671875" collapsed="true"/>
    <col min="3" max="3" bestFit="true" customWidth="true" style="65" width="27.44140625" collapsed="true"/>
    <col min="4" max="4" bestFit="true" customWidth="true" style="65" width="20.44140625" collapsed="true"/>
    <col min="5" max="5" customWidth="true" style="66" width="13.88671875" collapsed="true"/>
    <col min="6" max="6" bestFit="true" customWidth="true" style="65" width="14.33203125" collapsed="true"/>
    <col min="7" max="7" customWidth="true" style="65" width="10.33203125" collapsed="true"/>
    <col min="8" max="8" bestFit="true" customWidth="true" style="34" width="32.88671875" collapsed="true"/>
    <col min="9" max="9" bestFit="true" customWidth="true" style="34" width="27.44140625" collapsed="true"/>
    <col min="10" max="10" bestFit="true" customWidth="true" style="34" width="20.44140625" collapsed="true"/>
    <col min="11" max="11" customWidth="true" style="34" width="13.88671875" collapsed="true"/>
    <col min="12" max="12" bestFit="true" customWidth="true" style="34" width="14.33203125" collapsed="true"/>
    <col min="13" max="13" customWidth="true" style="34" width="8.6640625" collapsed="true"/>
    <col min="14" max="14" bestFit="true" customWidth="true" style="34" width="32.88671875" collapsed="true"/>
    <col min="15" max="15" bestFit="true" customWidth="true" style="34" width="27.44140625" collapsed="true"/>
    <col min="16" max="16" bestFit="true" customWidth="true" style="34" width="20.44140625" collapsed="true"/>
    <col min="17" max="17" customWidth="true" style="34" width="13.88671875" collapsed="true"/>
    <col min="18" max="18" bestFit="true" customWidth="true" style="34" width="14.33203125" collapsed="true"/>
    <col min="19" max="19" customWidth="true" style="34" width="8.6640625" collapsed="true"/>
    <col min="20" max="20" customWidth="true" style="34" width="26.5546875" collapsed="true"/>
    <col min="21" max="21" bestFit="true" customWidth="true" style="34" width="27.44140625" collapsed="true"/>
    <col min="22" max="22" bestFit="true" customWidth="true" style="34" width="20.44140625" collapsed="true"/>
    <col min="23" max="23" customWidth="true" style="34" width="13.88671875" collapsed="true"/>
    <col min="24" max="24" bestFit="true" customWidth="true" style="34" width="14.33203125" collapsed="true"/>
    <col min="25" max="25" customWidth="true" style="34" width="8.6640625" collapsed="true"/>
    <col min="26" max="26" customWidth="true" style="34" width="26.5546875" collapsed="true"/>
    <col min="27" max="27" bestFit="true" customWidth="true" style="34" width="27.44140625" collapsed="true"/>
    <col min="28" max="28" bestFit="true" customWidth="true" style="34" width="20.44140625" collapsed="true"/>
    <col min="29" max="29" customWidth="true" style="65" width="13.88671875" collapsed="true"/>
    <col min="30" max="30" bestFit="true" customWidth="true" style="65" width="14.33203125" collapsed="true"/>
    <col min="31" max="31" style="65" width="9.109375" collapsed="true"/>
    <col min="32" max="32" customWidth="true" style="65" width="26.5546875" collapsed="true"/>
    <col min="33" max="33" bestFit="true" customWidth="true" style="65" width="27.44140625" collapsed="true"/>
    <col min="34" max="34" bestFit="true" customWidth="true" style="65" width="20.44140625" collapsed="true"/>
    <col min="35" max="35" customWidth="true" style="65" width="13.88671875" collapsed="true"/>
    <col min="36" max="36" bestFit="true" customWidth="true" style="65" width="14.33203125" collapsed="true"/>
    <col min="37" max="37" style="65" width="9.109375" collapsed="true"/>
    <col min="38" max="38" customWidth="true" style="65" width="26.5546875" collapsed="true"/>
    <col min="39" max="39" bestFit="true" customWidth="true" style="65" width="27.44140625" collapsed="true"/>
    <col min="40" max="40" bestFit="true" customWidth="true" style="65" width="20.44140625" collapsed="true"/>
    <col min="41" max="41" customWidth="true" style="65" width="13.88671875" collapsed="true"/>
    <col min="42" max="42" bestFit="true" customWidth="true" style="65" width="14.33203125" collapsed="true"/>
    <col min="43" max="43" style="65" width="9.109375" collapsed="true"/>
    <col min="44" max="44" customWidth="true" style="65" width="26.5546875" collapsed="true"/>
    <col min="45" max="45" bestFit="true" customWidth="true" style="65" width="27.44140625" collapsed="true"/>
    <col min="46" max="46" bestFit="true" customWidth="true" style="65" width="20.44140625" collapsed="true"/>
    <col min="47" max="47" customWidth="true" style="65" width="13.88671875" collapsed="true"/>
    <col min="48" max="48" bestFit="true" customWidth="true" style="65" width="14.33203125" collapsed="true"/>
    <col min="49" max="49" style="65" width="9.109375" collapsed="true"/>
    <col min="50" max="50" customWidth="true" style="65" width="26.5546875" collapsed="true"/>
    <col min="51" max="51" bestFit="true" customWidth="true" style="65" width="27.44140625" collapsed="true"/>
    <col min="52" max="52" bestFit="true" customWidth="true" style="65" width="20.44140625" collapsed="true"/>
    <col min="53" max="53" customWidth="true" style="65" width="13.88671875" collapsed="true"/>
    <col min="54" max="54" bestFit="true" customWidth="true" style="65" width="14.33203125" collapsed="true"/>
    <col min="55" max="55" style="65" width="9.109375" collapsed="true"/>
    <col min="56" max="56" customWidth="true" style="65" width="26.5546875" collapsed="true"/>
    <col min="57" max="57" bestFit="true" customWidth="true" style="65" width="27.44140625" collapsed="true"/>
    <col min="58" max="58" bestFit="true" customWidth="true" style="65" width="20.44140625" collapsed="true"/>
    <col min="59" max="59" customWidth="true" style="65" width="13.88671875" collapsed="true"/>
    <col min="60" max="60" bestFit="true" customWidth="true" style="65" width="14.33203125" collapsed="true"/>
    <col min="61" max="16384" style="65" width="9.109375" collapsed="true"/>
  </cols>
  <sheetData>
    <row r="1" spans="1:18" ht="21.6" thickBot="1" x14ac:dyDescent="0.35">
      <c r="B1" s="179" t="s">
        <v>0</v>
      </c>
      <c r="C1" s="67">
        <v>3</v>
      </c>
      <c r="D1" s="123"/>
      <c r="E1" s="125"/>
      <c r="F1" s="123"/>
      <c r="G1" s="119"/>
    </row>
    <row r="2" spans="1:18" ht="15" thickBot="1" x14ac:dyDescent="0.35">
      <c r="A2" s="146"/>
      <c r="B2" s="119"/>
      <c r="D2" s="119"/>
      <c r="E2" s="119"/>
      <c r="F2" s="119"/>
      <c r="G2" s="126"/>
    </row>
    <row r="3" spans="1:18" customFormat="1" ht="24" customHeight="1" thickBot="1" x14ac:dyDescent="0.4">
      <c r="A3" s="146"/>
      <c r="B3" s="120" t="s">
        <v>1</v>
      </c>
      <c r="C3" s="92" t="str">
        <f>"INPUT "&amp; "Location " &amp; 1</f>
        <v>INPUT Location 1</v>
      </c>
      <c r="D3" s="122"/>
      <c r="E3" s="159"/>
      <c r="F3" s="119"/>
      <c r="G3" s="126"/>
      <c r="I3" s="204" t="s">
        <v>160</v>
      </c>
      <c r="O3" s="204" t="s">
        <v>161</v>
      </c>
    </row>
    <row r="4" spans="1:18" customFormat="1" ht="16.5" customHeight="1" thickBot="1" x14ac:dyDescent="0.35">
      <c r="A4" s="146"/>
      <c r="B4" s="47" t="s">
        <v>2</v>
      </c>
      <c r="C4" s="68"/>
      <c r="D4" s="69" t="s">
        <v>3</v>
      </c>
      <c r="E4" s="174" t="s">
        <v>4</v>
      </c>
      <c r="F4" s="70" t="s">
        <v>5</v>
      </c>
      <c r="G4" s="126"/>
      <c r="H4" s="47" t="s">
        <v>2</v>
      </c>
      <c r="I4" s="68"/>
      <c r="J4" s="69" t="s">
        <v>3</v>
      </c>
      <c r="K4" s="174" t="s">
        <v>4</v>
      </c>
      <c r="L4" s="70" t="s">
        <v>5</v>
      </c>
      <c r="N4" s="47" t="s">
        <v>2</v>
      </c>
      <c r="O4" s="68"/>
      <c r="P4" s="69" t="s">
        <v>3</v>
      </c>
      <c r="Q4" s="174" t="s">
        <v>4</v>
      </c>
      <c r="R4" s="70" t="s">
        <v>5</v>
      </c>
    </row>
    <row r="5" spans="1:18" customFormat="1" x14ac:dyDescent="0.3">
      <c r="A5" s="146"/>
      <c r="B5" s="71" t="s">
        <v>6</v>
      </c>
      <c r="C5" s="72" t="str">
        <f>Mappings!A2</f>
        <v>VT</v>
      </c>
      <c r="D5" s="123"/>
      <c r="E5" s="125"/>
      <c r="F5" s="197"/>
      <c r="G5" s="126"/>
      <c r="H5" s="71" t="s">
        <v>6</v>
      </c>
      <c r="I5" s="72" t="str">
        <f>C5</f>
        <v>VT</v>
      </c>
      <c r="J5" s="123"/>
      <c r="K5" s="125"/>
      <c r="L5" s="197"/>
      <c r="N5" s="71" t="s">
        <v>6</v>
      </c>
      <c r="O5" s="72" t="str">
        <f>C5</f>
        <v>VT</v>
      </c>
      <c r="P5" s="123"/>
      <c r="Q5" s="125"/>
      <c r="R5" s="197"/>
    </row>
    <row r="6" spans="1:18" customFormat="1" x14ac:dyDescent="0.3">
      <c r="A6" s="146"/>
      <c r="B6" s="74" t="s">
        <v>8</v>
      </c>
      <c r="C6" s="98" t="str">
        <f>Mappings!B2</f>
        <v>DP1</v>
      </c>
      <c r="D6" s="119"/>
      <c r="E6" s="159"/>
      <c r="F6" s="175"/>
      <c r="G6" s="126"/>
      <c r="H6" s="74" t="s">
        <v>8</v>
      </c>
      <c r="I6" s="233" t="str">
        <f>C6</f>
        <v>DP1</v>
      </c>
      <c r="J6" s="119"/>
      <c r="K6" s="159"/>
      <c r="L6" s="175"/>
      <c r="N6" s="74" t="s">
        <v>8</v>
      </c>
      <c r="O6" s="233" t="str">
        <f>C6</f>
        <v>DP1</v>
      </c>
      <c r="P6" s="119"/>
      <c r="Q6" s="159"/>
      <c r="R6" s="175"/>
    </row>
    <row r="7" spans="1:18" customFormat="1" x14ac:dyDescent="0.3">
      <c r="A7" s="146"/>
      <c r="B7" s="74" t="s">
        <v>10</v>
      </c>
      <c r="C7" s="75" t="str">
        <f>Mappings!C2</f>
        <v>Owner / Tenant - Building Under Reno</v>
      </c>
      <c r="D7" s="119"/>
      <c r="E7" s="159"/>
      <c r="F7" s="176"/>
      <c r="G7" s="126"/>
      <c r="H7" s="74" t="s">
        <v>10</v>
      </c>
      <c r="I7" s="205" t="str">
        <f>C7</f>
        <v>Owner / Tenant - Building Under Reno</v>
      </c>
      <c r="J7" s="119"/>
      <c r="K7" s="159"/>
      <c r="L7" s="176"/>
      <c r="N7" s="74" t="s">
        <v>10</v>
      </c>
      <c r="O7" s="205" t="str">
        <f>C7</f>
        <v>Owner / Tenant - Building Under Reno</v>
      </c>
      <c r="P7" s="119"/>
      <c r="Q7" s="159"/>
      <c r="R7" s="176"/>
    </row>
    <row r="8" spans="1:18" customFormat="1" x14ac:dyDescent="0.3">
      <c r="A8" s="146"/>
      <c r="B8" s="74" t="s">
        <v>12</v>
      </c>
      <c r="C8" s="75" t="str">
        <f>VLOOKUP(Mappings!D2,Reference!A2:B5,2,FALSE)</f>
        <v>3 month</v>
      </c>
      <c r="D8" s="124"/>
      <c r="E8" s="159"/>
      <c r="F8" s="175"/>
      <c r="G8" s="126"/>
      <c r="H8" s="74" t="s">
        <v>12</v>
      </c>
      <c r="I8" s="205" t="str">
        <f>C8</f>
        <v>3 month</v>
      </c>
      <c r="J8" s="124"/>
      <c r="K8" s="159"/>
      <c r="L8" s="175"/>
      <c r="N8" s="74" t="s">
        <v>12</v>
      </c>
      <c r="O8" s="205" t="str">
        <f>C8</f>
        <v>3 month</v>
      </c>
      <c r="P8" s="124"/>
      <c r="Q8" s="159"/>
      <c r="R8" s="175"/>
    </row>
    <row r="9" spans="1:18" customFormat="1" x14ac:dyDescent="0.3">
      <c r="A9" s="146"/>
      <c r="B9" s="74" t="s">
        <v>14</v>
      </c>
      <c r="C9" s="236" t="n">
        <f>Mappings!E2</f>
        <v>3.0</v>
      </c>
      <c r="D9" s="119"/>
      <c r="E9" s="159"/>
      <c r="F9" s="175"/>
      <c r="G9" s="126"/>
      <c r="H9" s="74" t="s">
        <v>14</v>
      </c>
      <c r="I9" s="75" t="n">
        <f>VALUE(Mappings!X2)</f>
        <v>0.0</v>
      </c>
      <c r="J9" s="119"/>
      <c r="K9" s="159"/>
      <c r="L9" s="175"/>
      <c r="N9" s="74" t="s">
        <v>14</v>
      </c>
      <c r="O9" s="75" t="n">
        <f>VALUE(Mappings!AI2)</f>
        <v>0.0</v>
      </c>
      <c r="P9" s="119"/>
      <c r="Q9" s="159"/>
      <c r="R9" s="175"/>
    </row>
    <row r="10" spans="1:18" customFormat="1" ht="15.6" x14ac:dyDescent="0.3">
      <c r="A10" s="146"/>
      <c r="B10" s="74" t="s">
        <v>16</v>
      </c>
      <c r="C10" s="76" t="n">
        <f>Mappings!F2</f>
        <v>410000.0</v>
      </c>
      <c r="D10" s="77"/>
      <c r="E10" s="171" t="n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0.24</v>
      </c>
      <c r="F10" s="198" t="n">
        <f>ROUND(
IF(C6="HO4",0,
IF(OR(E14="",E14=0),ROUND(C10*(E10/100),0),(E14/100)*C10)),0)</f>
        <v>984.0</v>
      </c>
      <c r="G10" s="126"/>
      <c r="H10" s="74" t="s">
        <v>16</v>
      </c>
      <c r="I10" s="76" t="n">
        <f>Mappings!Y2</f>
        <v>0.0</v>
      </c>
      <c r="J10" s="77"/>
      <c r="K10" s="171" t="e">
        <f>IF(AND(COUNTIF(Form_1,I6),COUNTIF(Occupancy_1,I7)),VLOOKUP(I8,Lookup!$E$2:$O$6,MATCH(I9,Lookup!$E$2:$O$2,0),FALSE),
IF(AND(COUNTIF(Form_2,I6),COUNTIF(Occupancy_1,I7)),VLOOKUP(I8,Lookup!$E$10:$O$14,MATCH(I9,Lookup!$E$10:$O$10,0),FALSE),
IF(AND(COUNTIF(Form_1,I6),COUNTIF(Occupancy_2,I7)),VLOOKUP(I8,Lookup!$E$18:$O$22,MATCH(I9,Lookup!$E$18:$O$18,0),FALSE),
IF(AND(COUNTIF(Form_2,I6),COUNTIF(Occupancy_2,I7)),VLOOKUP(I8,Lookup!$E$26:$O$30,MATCH(I9,Lookup!$E$26:$O$26,0),FALSE),"Mis Match"))))</f>
        <v>#REF!</v>
      </c>
      <c r="L10" s="198" t="e">
        <f>ROUND(
IF(I6="HO4",0,
IF(OR(K14="",K14=0),ROUND(I10*(K10/100),0),(K14/100)*I10)),0)</f>
        <v>#REF!</v>
      </c>
      <c r="N10" s="74" t="s">
        <v>16</v>
      </c>
      <c r="O10" s="76" t="n">
        <f>Mappings!AJ2</f>
        <v>0.0</v>
      </c>
      <c r="P10" s="77"/>
      <c r="Q10" s="171" t="e">
        <f>IF(AND(COUNTIF(Form_1,O6),COUNTIF(Occupancy_1,O7)),VLOOKUP(O8,Lookup!$E$2:$O$6,MATCH(O9,Lookup!$E$2:$O$2,0),FALSE),
IF(AND(COUNTIF(Form_2,O6),COUNTIF(Occupancy_1,O7)),VLOOKUP(O8,Lookup!$E$10:$O$14,MATCH(O9,Lookup!$E$10:$O$10,0),FALSE),
IF(AND(COUNTIF(Form_1,O6),COUNTIF(Occupancy_2,O7)),VLOOKUP(O8,Lookup!$E$18:$O$22,MATCH(O9,Lookup!$E$18:$O$18,0),FALSE),
IF(AND(COUNTIF(Form_2,O6),COUNTIF(Occupancy_2,O7)),VLOOKUP(O8,Lookup!$E$26:$O$30,MATCH(O9,Lookup!$E$26:$O$26,0),FALSE),"Mis Match"))))</f>
        <v>#REF!</v>
      </c>
      <c r="R10" s="198" t="e">
        <f>ROUND(
IF(O6="HO4",0,
IF(OR(Q14="",Q14=0),ROUND(O10*(Q10/100),0),(Q14/100)*O10)),0)</f>
        <v>#REF!</v>
      </c>
    </row>
    <row r="11" spans="1:18" customFormat="1" ht="15" customHeight="1" x14ac:dyDescent="0.3">
      <c r="A11" s="146"/>
      <c r="B11" s="60" t="s">
        <v>17</v>
      </c>
      <c r="C11" s="95" t="n">
        <f>Mappings!G2</f>
        <v>29000.0</v>
      </c>
      <c r="D11" s="154" t="n">
        <f>ROUND(IF(OR(C6="DP1",C6="DP3",C6="HO4"),0,(((C11*100)/C10)/100-VLOOKUP(B11,Lookup!$BP$2:$BU$6,MATCH(C6,Lookup!$BP$2:$BU$2,0),FALSE))*C10),0)</f>
        <v>0.0</v>
      </c>
      <c r="E11" s="171"/>
      <c r="F11" s="198" t="n">
        <f xml:space="preserve">
IF(OR(C6="HO4"),0,
IF(AND(OR(E14="",E14=0),SUMIF(D11,"&gt;0")),ROUND(D11*(E10/100),0),
IF(SUMIF(D11,"&gt;0"),(E14/100)*D11,0)))</f>
        <v>0.0</v>
      </c>
      <c r="G11" s="147"/>
      <c r="H11" s="60" t="s">
        <v>17</v>
      </c>
      <c r="I11" s="95" t="n">
        <f>Mappings!Z2</f>
        <v>0.0</v>
      </c>
      <c r="J11" s="154" t="n">
        <f>ROUND(IF(OR(I6="DP1",I6="DP3",I6="HO4"),0,(((I11*100)/I10)/100-VLOOKUP(H11,Lookup!$BP$2:$BU$6,MATCH(I6,Lookup!$BP$2:$BU$2,0),FALSE))*I10),0)</f>
        <v>0.0</v>
      </c>
      <c r="K11" s="171"/>
      <c r="L11" s="198" t="n">
        <f xml:space="preserve">
IF(OR(I6="HO4"),0,
IF(AND(OR(K14="",K14=0),SUMIF(J11,"&gt;0")),ROUND(J11*(K10/100),0),
IF(SUMIF(J11,"&gt;0"),(K14/100)*J11,0)))</f>
        <v>0.0</v>
      </c>
      <c r="N11" s="60" t="s">
        <v>17</v>
      </c>
      <c r="O11" s="95" t="n">
        <f>Mappings!AK2</f>
        <v>0.0</v>
      </c>
      <c r="P11" s="154" t="n">
        <f>ROUND(IF(OR(O6="DP1",O6="DP3",O6="HO4"),0,(((O11*100)/O10)/100-VLOOKUP(N11,Lookup!$BP$2:$BU$6,MATCH(O6,Lookup!$BP$2:$BU$2,0),FALSE))*O10),0)</f>
        <v>0.0</v>
      </c>
      <c r="Q11" s="171"/>
      <c r="R11" s="198" t="n">
        <f xml:space="preserve">
IF(OR(O6="HO4"),0,
IF(AND(OR(Q14="",Q14=0),SUMIF(P11,"&gt;0")),ROUND(P11*(Q10/100),0),
IF(SUMIF(P11,"&gt;0"),(Q14/100)*P11,0)))</f>
        <v>0.0</v>
      </c>
    </row>
    <row r="12" spans="1:18" customFormat="1" ht="15" customHeight="1" x14ac:dyDescent="0.3">
      <c r="A12" s="146"/>
      <c r="B12" s="60" t="s">
        <v>18</v>
      </c>
      <c r="C12" s="95" t="n">
        <f>Mappings!H2</f>
        <v>28000.0</v>
      </c>
      <c r="D12" s="155" t="n">
        <f>ROUND(IF(OR(C6="DP1",C6="DP3",C6="HO4"),0,(((C12*100)/C10)/100-VLOOKUP(B12,Lookup!$BP$2:$BU$6,MATCH(C6,Lookup!$BP$2:$BU$2,0),FALSE))*C10),0)</f>
        <v>0.0</v>
      </c>
      <c r="E12" s="171"/>
      <c r="F12" s="198" t="n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0.0</v>
      </c>
      <c r="G12" s="148"/>
      <c r="H12" s="60" t="s">
        <v>18</v>
      </c>
      <c r="I12" s="95" t="n">
        <f>Mappings!AA2</f>
        <v>0.0</v>
      </c>
      <c r="J12" s="155" t="n">
        <f>ROUND(IF(OR(I6="DP1",I6="DP3",I6="HO4"),0,(((I12*100)/I10)/100-VLOOKUP(H12,Lookup!$BP$2:$BU$6,MATCH(I6,Lookup!$BP$2:$BU$2,0),FALSE))*I10),0)</f>
        <v>0.0</v>
      </c>
      <c r="K12" s="171"/>
      <c r="L12" s="198" t="n">
        <f xml:space="preserve">
IF(AND(I6="HO4",OR(K14="",K14=0)),I12*K10/100,IF(AND(I6="HO4",COUNTIF(K14,"&gt;0")),I12*K14/100,
IF(AND(I6&lt;&gt;"HO4",OR(K14="",K14=0),COUNTIF(J12,"&gt;0")),J12*K10/100,IF(AND(COUNTIF(K14,"&gt;0"),COUNTIF(J12,"&gt;0")),J12*K14/100,0))))</f>
        <v>0.0</v>
      </c>
      <c r="N12" s="60" t="s">
        <v>18</v>
      </c>
      <c r="O12" s="95" t="n">
        <f>Mappings!AL2</f>
        <v>0.0</v>
      </c>
      <c r="P12" s="155" t="n">
        <f>ROUND(IF(OR(O6="DP1",O6="DP3",O6="HO4"),0,(((O12*100)/O10)/100-VLOOKUP(N12,Lookup!$BP$2:$BU$6,MATCH(O6,Lookup!$BP$2:$BU$2,0),FALSE))*O10),0)</f>
        <v>0.0</v>
      </c>
      <c r="Q12" s="171"/>
      <c r="R12" s="198" t="n">
        <f xml:space="preserve">
IF(AND(O6="HO4",OR(Q14="",Q14=0)),O12*Q10/100,IF(AND(O6="HO4",COUNTIF(Q14,"&gt;0")),O12*Q14/100,
IF(AND(O6&lt;&gt;"HO4",OR(Q14="",Q14=0),COUNTIF(P12,"&gt;0")),P12*Q10/100,IF(AND(COUNTIF(Q14,"&gt;0"),COUNTIF(P12,"&gt;0")),P12*Q14/100,0))))</f>
        <v>0.0</v>
      </c>
    </row>
    <row r="13" spans="1:18" customFormat="1" ht="15" customHeight="1" thickBot="1" x14ac:dyDescent="0.35">
      <c r="A13" s="146"/>
      <c r="B13" s="102" t="s">
        <v>19</v>
      </c>
      <c r="C13" s="95" t="n">
        <f>Mappings!I2</f>
        <v>27000.0</v>
      </c>
      <c r="D13" s="168" t="n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0.0</v>
      </c>
      <c r="E13" s="172"/>
      <c r="F13" s="199" t="n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0.0</v>
      </c>
      <c r="G13" s="148"/>
      <c r="H13" s="102" t="s">
        <v>19</v>
      </c>
      <c r="I13" s="95" t="n">
        <f>Mappings!AB2</f>
        <v>0.0</v>
      </c>
      <c r="J13" s="168" t="n">
        <f>ROUND(IF(OR(I6="DP1",I6="DP3"),0,IF(OR(I6="HO1",I6="HO3",I6="HO8"),(((I13*100)/I10)/100-VLOOKUP(H13,Lookup!$BP$2:$BU$6,MATCH(I6,Lookup!$BP$2:$BU$2,0),FALSE))*I10,IF(OR(I6="HO4",I6="HO6"),(((I13*100)/I12)/100-VLOOKUP(H13,Lookup!$BP$2:$BU$6,MATCH(I6,Lookup!$BP$2:$BU$2,0),FALSE))*I12))),0)</f>
        <v>0.0</v>
      </c>
      <c r="K13" s="172"/>
      <c r="L13" s="199" t="n">
        <f xml:space="preserve">
IF(AND(I6="HO4",OR(K14="",K14=0),COUNTIF(J13,"&gt;0")),J13*K10/100,IF(AND(I6="HO4",COUNTIF(K14,"&gt;0")),J13*K14/100,
IF(AND(I6&lt;&gt;"HO4",OR(K14="",K14=0),COUNTIF(J13,"&gt;0")),J13*K10/100,IF(AND(COUNTIF(K14,"&gt;0"),COUNTIF(J13,"&gt;0")),J13*K14/100,0))))</f>
        <v>0.0</v>
      </c>
      <c r="N13" s="102" t="s">
        <v>19</v>
      </c>
      <c r="O13" s="95" t="n">
        <f>Mappings!AM2</f>
        <v>0.0</v>
      </c>
      <c r="P13" s="168" t="n">
        <f>ROUND(IF(OR(O6="DP1",O6="DP3"),0,IF(OR(O6="HO1",O6="HO3",O6="HO8"),(((O13*100)/O10)/100-VLOOKUP(N13,Lookup!$BP$2:$BU$6,MATCH(O6,Lookup!$BP$2:$BU$2,0),FALSE))*O10,IF(OR(O6="HO4",O6="HO6"),(((O13*100)/O12)/100-VLOOKUP(N13,Lookup!$BP$2:$BU$6,MATCH(O6,Lookup!$BP$2:$BU$2,0),FALSE))*O12))),0)</f>
        <v>0.0</v>
      </c>
      <c r="Q13" s="172"/>
      <c r="R13" s="199" t="n">
        <f xml:space="preserve">
IF(AND(O6="HO4",OR(Q14="",Q14=0),COUNTIF(P13,"&gt;0")),P13*Q10/100,IF(AND(O6="HO4",COUNTIF(Q14,"&gt;0")),P13*Q14/100,
IF(AND(O6&lt;&gt;"HO4",OR(Q14="",Q14=0),COUNTIF(P13,"&gt;0")),P13*Q10/100,IF(AND(COUNTIF(Q14,"&gt;0"),COUNTIF(P13,"&gt;0")),P13*Q14/100,0))))</f>
        <v>0.0</v>
      </c>
    </row>
    <row r="14" spans="1:18" customFormat="1" ht="15.75" customHeight="1" thickBot="1" x14ac:dyDescent="0.35">
      <c r="A14" s="146"/>
      <c r="B14" s="120"/>
      <c r="C14" s="246" t="s">
        <v>142</v>
      </c>
      <c r="D14" s="247"/>
      <c r="E14" s="173">
        <v>0</v>
      </c>
      <c r="F14" s="177"/>
      <c r="G14" s="148"/>
      <c r="H14" s="120"/>
      <c r="I14" s="239" t="s">
        <v>142</v>
      </c>
      <c r="J14" s="240"/>
      <c r="K14" s="173">
        <v>0</v>
      </c>
      <c r="L14" s="177"/>
      <c r="N14" s="120"/>
      <c r="O14" s="239" t="s">
        <v>142</v>
      </c>
      <c r="P14" s="240"/>
      <c r="Q14" s="173">
        <v>0</v>
      </c>
      <c r="R14" s="177"/>
    </row>
    <row r="15" spans="1:18" customFormat="1" ht="16.2" thickBot="1" x14ac:dyDescent="0.35">
      <c r="A15" s="146"/>
      <c r="B15" s="120"/>
      <c r="C15" s="119"/>
      <c r="D15" s="119"/>
      <c r="E15" s="159"/>
      <c r="F15" s="178" t="n">
        <f>SUM(F10:F13)</f>
        <v>984.0</v>
      </c>
      <c r="G15" s="126"/>
      <c r="H15" s="120"/>
      <c r="I15" s="119"/>
      <c r="J15" s="119"/>
      <c r="K15" s="159"/>
      <c r="L15" s="178" t="n">
        <f>IFERROR(SUM(L10:L13),0)</f>
        <v>0.0</v>
      </c>
      <c r="N15" s="120"/>
      <c r="O15" s="119"/>
      <c r="P15" s="119"/>
      <c r="Q15" s="159"/>
      <c r="R15" s="178" t="n">
        <f>IFERROR(SUM(R10:R13),0)</f>
        <v>0.0</v>
      </c>
    </row>
    <row r="16" spans="1:18" customFormat="1" ht="16.2" thickBot="1" x14ac:dyDescent="0.35">
      <c r="A16" s="146"/>
      <c r="B16" s="81" t="s">
        <v>23</v>
      </c>
      <c r="C16" s="120"/>
      <c r="D16" s="119"/>
      <c r="E16" s="159"/>
      <c r="F16" s="65"/>
      <c r="G16" s="126"/>
      <c r="H16" s="81" t="s">
        <v>23</v>
      </c>
      <c r="I16" s="120"/>
      <c r="J16" s="119"/>
      <c r="K16" s="159"/>
      <c r="L16" s="65"/>
      <c r="N16" s="81" t="s">
        <v>23</v>
      </c>
      <c r="O16" s="120"/>
      <c r="P16" s="119"/>
      <c r="Q16" s="159"/>
      <c r="R16" s="65"/>
    </row>
    <row r="17" spans="1:18" customFormat="1" ht="16.2" thickBot="1" x14ac:dyDescent="0.35">
      <c r="A17" s="146"/>
      <c r="B17" s="49" t="s">
        <v>25</v>
      </c>
      <c r="C17" s="93" t="str">
        <f>IF(AND(AND(C6&lt;&gt;"HO4",C6&lt;&gt;"HO6"),C10&gt;500000),"Yes","No")</f>
        <v>No</v>
      </c>
      <c r="D17" s="73"/>
      <c r="E17" s="103" t="n">
        <f>IF(C17="Yes",Lookup!$U$2,0)</f>
        <v>0.0</v>
      </c>
      <c r="F17" s="84" t="n">
        <f>ROUND(F15*(E17),0)</f>
        <v>0.0</v>
      </c>
      <c r="G17" s="126"/>
      <c r="H17" s="49" t="s">
        <v>25</v>
      </c>
      <c r="I17" s="93" t="str">
        <f>IF(AND(AND(I6&lt;&gt;"HO4",I6&lt;&gt;"HO6"),I10&gt;500000),"Yes","No")</f>
        <v>No</v>
      </c>
      <c r="J17" s="73"/>
      <c r="K17" s="103" t="n">
        <f>IF(I17="Yes",Lookup!$U$2,0)</f>
        <v>0.0</v>
      </c>
      <c r="L17" s="84" t="n">
        <f>ROUND(L15*(K17),0)</f>
        <v>0.0</v>
      </c>
      <c r="N17" s="49" t="s">
        <v>25</v>
      </c>
      <c r="O17" s="93" t="str">
        <f>IF(AND(AND(O6&lt;&gt;"HO4",O6&lt;&gt;"HO6"),O10&gt;500000),"Yes","No")</f>
        <v>No</v>
      </c>
      <c r="P17" s="73"/>
      <c r="Q17" s="103" t="n">
        <f>IF(O17="Yes",Lookup!$U$2,0)</f>
        <v>0.0</v>
      </c>
      <c r="R17" s="84" t="n">
        <f>ROUND(R15*(Q17),0)</f>
        <v>0.0</v>
      </c>
    </row>
    <row r="18" spans="1:18" customFormat="1" ht="29.4" thickBot="1" x14ac:dyDescent="0.35">
      <c r="A18" s="146"/>
      <c r="B18" s="50" t="s">
        <v>26</v>
      </c>
      <c r="C18" s="82" t="str">
        <f>Mappings!J2</f>
        <v>Yes</v>
      </c>
      <c r="D18" s="119"/>
      <c r="E18" s="83" t="n">
        <f>IF(C18="Yes",Lookup!$U$3,0)</f>
        <v>-0.05</v>
      </c>
      <c r="F18" s="84" t="n">
        <f>ROUND(F15*(E18),0)</f>
        <v>-49.0</v>
      </c>
      <c r="G18" s="126"/>
      <c r="H18" s="50" t="s">
        <v>26</v>
      </c>
      <c r="I18" s="82" t="n">
        <f>Mappings!AC2</f>
        <v>0.0</v>
      </c>
      <c r="J18" s="119"/>
      <c r="K18" s="83" t="n">
        <f>IF(I18="Yes",Lookup!$U$3,0)</f>
        <v>0.0</v>
      </c>
      <c r="L18" s="84" t="n">
        <f>ROUND(L15*(K18),0)</f>
        <v>0.0</v>
      </c>
      <c r="N18" s="50" t="s">
        <v>26</v>
      </c>
      <c r="O18" s="82" t="n">
        <f>Mappings!AN2</f>
        <v>0.0</v>
      </c>
      <c r="P18" s="119"/>
      <c r="Q18" s="83" t="n">
        <f>IF(O18="Yes",Lookup!$U$3,0)</f>
        <v>0.0</v>
      </c>
      <c r="R18" s="84" t="n">
        <f>ROUND(R15*(Q18),0)</f>
        <v>0.0</v>
      </c>
    </row>
    <row r="19" spans="1:18" customFormat="1" ht="29.4" thickBot="1" x14ac:dyDescent="0.35">
      <c r="A19" s="146"/>
      <c r="B19" s="51" t="s">
        <v>28</v>
      </c>
      <c r="C19" s="94" t="str">
        <f>IF(OR(D11&lt;0,D12&lt;0,D13&lt;0),"Yes","No")</f>
        <v>No</v>
      </c>
      <c r="D19" s="119"/>
      <c r="E19" s="83" t="n">
        <f>IF(C19="Yes",Lookup!$U$4,0)</f>
        <v>0.0</v>
      </c>
      <c r="F19" s="84" t="n">
        <f>ROUND(F15*(E19),0)</f>
        <v>0.0</v>
      </c>
      <c r="G19" s="126"/>
      <c r="H19" s="51" t="s">
        <v>28</v>
      </c>
      <c r="I19" s="94" t="str">
        <f>IF(OR(J11&lt;0,J12&lt;0,J13&lt;0),"Yes","No")</f>
        <v>No</v>
      </c>
      <c r="J19" s="119"/>
      <c r="K19" s="83" t="n">
        <f>IF(I19="Yes",Lookup!$U$4,0)</f>
        <v>0.0</v>
      </c>
      <c r="L19" s="84" t="n">
        <f>ROUND(L15*(K19),0)</f>
        <v>0.0</v>
      </c>
      <c r="N19" s="51" t="s">
        <v>28</v>
      </c>
      <c r="O19" s="94" t="str">
        <f>IF(OR(P11&lt;0,P12&lt;0,P13&lt;0),"Yes","No")</f>
        <v>No</v>
      </c>
      <c r="P19" s="119"/>
      <c r="Q19" s="83" t="n">
        <f>IF(O19="Yes",Lookup!$U$4,0)</f>
        <v>0.0</v>
      </c>
      <c r="R19" s="84" t="n">
        <f>ROUND(R15*(Q19),0)</f>
        <v>0.0</v>
      </c>
    </row>
    <row r="20" spans="1:18" customFormat="1" ht="16.2" thickBot="1" x14ac:dyDescent="0.35">
      <c r="A20" s="146"/>
      <c r="B20" s="52" t="s">
        <v>29</v>
      </c>
      <c r="C20" s="76" t="n">
        <f>VLOOKUP(VALUE(Mappings!K2),Reference!I2:J5,2,FALSE)</f>
        <v>1000.0</v>
      </c>
      <c r="D20" s="119"/>
      <c r="E20" s="83" t="n">
        <f>VLOOKUP(C20,Lookup!$Q$2:$R$5,2,FALSE)</f>
        <v>0.0</v>
      </c>
      <c r="F20" s="84" t="n">
        <f>ROUND(F15*(E20),0)</f>
        <v>0.0</v>
      </c>
      <c r="G20" s="126"/>
      <c r="H20" s="52" t="s">
        <v>29</v>
      </c>
      <c r="I20" s="76" t="e">
        <f>VLOOKUP(VALUE(Mappings!AD2),Reference!I2:J5,2,FALSE)</f>
        <v>#N/A</v>
      </c>
      <c r="J20" s="119"/>
      <c r="K20" s="83" t="e">
        <f>VLOOKUP(I20,Lookup!$Q$2:$R$5,2,FALSE)</f>
        <v>#N/A</v>
      </c>
      <c r="L20" s="84" t="e">
        <f>ROUND(L15*(K20),0)</f>
        <v>#N/A</v>
      </c>
      <c r="N20" s="52" t="s">
        <v>29</v>
      </c>
      <c r="O20" s="76" t="e">
        <f>VLOOKUP(VALUE(Mappings!AO2),Reference!I2:J5,2,FALSE)</f>
        <v>#N/A</v>
      </c>
      <c r="P20" s="119"/>
      <c r="Q20" s="83" t="e">
        <f>VLOOKUP(O20,Lookup!$Q$2:$R$5,2,FALSE)</f>
        <v>#N/A</v>
      </c>
      <c r="R20" s="84" t="e">
        <f>ROUND(R15*(Q20),0)</f>
        <v>#N/A</v>
      </c>
    </row>
    <row r="21" spans="1:18" customFormat="1" ht="16.5" customHeight="1" thickBot="1" x14ac:dyDescent="0.35">
      <c r="A21" s="146"/>
      <c r="B21" s="241" t="s">
        <v>30</v>
      </c>
      <c r="C21" s="252"/>
      <c r="D21" s="79"/>
      <c r="E21" s="192" t="n">
        <f>SUM(E17:E20)</f>
        <v>-0.05</v>
      </c>
      <c r="F21" s="193" t="n">
        <f>ROUND(F15*(E21),0)</f>
        <v>-49.0</v>
      </c>
      <c r="G21" s="126"/>
      <c r="H21" s="241" t="s">
        <v>30</v>
      </c>
      <c r="I21" s="242"/>
      <c r="J21" s="79"/>
      <c r="K21" s="192" t="e">
        <f>SUM(K17:K20)</f>
        <v>#N/A</v>
      </c>
      <c r="L21" s="193" t="e">
        <f>ROUND(L15*(K21),0)</f>
        <v>#N/A</v>
      </c>
      <c r="N21" s="241" t="s">
        <v>30</v>
      </c>
      <c r="O21" s="242"/>
      <c r="P21" s="79"/>
      <c r="Q21" s="192" t="e">
        <f>SUM(Q17:Q20)</f>
        <v>#N/A</v>
      </c>
      <c r="R21" s="193" t="e">
        <f>ROUND(R15*(Q21),0)</f>
        <v>#N/A</v>
      </c>
    </row>
    <row r="22" spans="1:18" customFormat="1" ht="15.6" x14ac:dyDescent="0.3">
      <c r="A22" s="146"/>
      <c r="B22" s="127"/>
      <c r="C22" s="127"/>
      <c r="D22" s="119"/>
      <c r="E22" s="128"/>
      <c r="F22" s="129"/>
      <c r="G22" s="126"/>
      <c r="H22" s="127"/>
      <c r="I22" s="127"/>
      <c r="J22" s="119"/>
      <c r="K22" s="128"/>
      <c r="L22" s="129"/>
      <c r="N22" s="127"/>
      <c r="O22" s="127"/>
      <c r="P22" s="119"/>
      <c r="Q22" s="128"/>
      <c r="R22" s="129"/>
    </row>
    <row r="23" spans="1:18" customFormat="1" ht="15" thickBot="1" x14ac:dyDescent="0.35">
      <c r="A23" s="146"/>
      <c r="B23" s="120"/>
      <c r="C23" s="119"/>
      <c r="D23" s="119"/>
      <c r="E23" s="159"/>
      <c r="F23" s="119"/>
      <c r="G23" s="126"/>
      <c r="H23" s="120"/>
      <c r="I23" s="119"/>
      <c r="J23" s="119"/>
      <c r="K23" s="159"/>
      <c r="L23" s="119"/>
      <c r="N23" s="120"/>
      <c r="O23" s="119"/>
      <c r="P23" s="119"/>
      <c r="Q23" s="159"/>
      <c r="R23" s="119"/>
    </row>
    <row r="24" spans="1:18" customFormat="1" ht="16.2" thickBot="1" x14ac:dyDescent="0.35">
      <c r="A24" s="146"/>
      <c r="B24" s="113" t="s">
        <v>31</v>
      </c>
      <c r="C24" s="119"/>
      <c r="D24" s="119"/>
      <c r="E24" s="159"/>
      <c r="F24" s="119"/>
      <c r="G24" s="126"/>
      <c r="H24" s="113" t="s">
        <v>31</v>
      </c>
      <c r="I24" s="119"/>
      <c r="J24" s="119"/>
      <c r="K24" s="159"/>
      <c r="L24" s="119"/>
      <c r="N24" s="113" t="s">
        <v>31</v>
      </c>
      <c r="O24" s="119"/>
      <c r="P24" s="119"/>
      <c r="Q24" s="159"/>
      <c r="R24" s="119"/>
    </row>
    <row r="25" spans="1:18" customFormat="1" ht="19.5" customHeight="1" thickBot="1" x14ac:dyDescent="0.35">
      <c r="A25" s="146"/>
      <c r="B25" s="115" t="s">
        <v>32</v>
      </c>
      <c r="C25" s="116" t="n">
        <f>Mappings!L2</f>
        <v>1400.0</v>
      </c>
      <c r="D25" s="117"/>
      <c r="E25" s="85" t="n">
        <f>IF(C25&gt;25,(C25-25)*Lookup!$X$1,0)</f>
        <v>2750.0</v>
      </c>
      <c r="F25" s="86" t="n">
        <f>ROUND(E25,0)</f>
        <v>2750.0</v>
      </c>
      <c r="G25" s="126"/>
      <c r="H25" s="115" t="s">
        <v>32</v>
      </c>
      <c r="I25" s="116" t="n">
        <f>Mappings!AE2</f>
        <v>0.0</v>
      </c>
      <c r="J25" s="117"/>
      <c r="K25" s="85" t="n">
        <f>IF(I25&gt;25,(I25-25)*Lookup!$X$1,0)</f>
        <v>0.0</v>
      </c>
      <c r="L25" s="86" t="n">
        <f>ROUND(K25,0)</f>
        <v>0.0</v>
      </c>
      <c r="N25" s="115" t="s">
        <v>32</v>
      </c>
      <c r="O25" s="116" t="n">
        <f>Mappings!AP2</f>
        <v>0.0</v>
      </c>
      <c r="P25" s="117"/>
      <c r="Q25" s="85" t="n">
        <f>IF(O25&gt;25,(O25-25)*Lookup!$X$1,0)</f>
        <v>0.0</v>
      </c>
      <c r="R25" s="86" t="n">
        <f>ROUND(Q25,0)</f>
        <v>0.0</v>
      </c>
    </row>
    <row r="26" spans="1:18" customFormat="1" x14ac:dyDescent="0.3">
      <c r="A26" s="146"/>
      <c r="B26" s="120"/>
      <c r="C26" s="130"/>
      <c r="D26" s="119"/>
      <c r="E26" s="159"/>
      <c r="F26" s="119"/>
      <c r="G26" s="126"/>
    </row>
    <row r="27" spans="1:18" customFormat="1" ht="15" thickBot="1" x14ac:dyDescent="0.35">
      <c r="A27" s="146"/>
      <c r="B27" s="131"/>
      <c r="C27" s="130"/>
      <c r="D27" s="119"/>
      <c r="E27" s="132"/>
      <c r="F27" s="124"/>
      <c r="G27" s="126"/>
    </row>
    <row r="28" spans="1:18" customFormat="1" x14ac:dyDescent="0.3">
      <c r="A28" s="146"/>
      <c r="B28" s="53" t="s">
        <v>34</v>
      </c>
      <c r="C28" s="72" t="str">
        <f>VLOOKUP(VALUE(Mappings!M2),Reference!C2:D5,2,FALSE)</f>
        <v>1 Family</v>
      </c>
      <c r="D28" s="140"/>
      <c r="E28" s="142"/>
      <c r="F28" s="143"/>
      <c r="G28" s="126"/>
    </row>
    <row r="29" spans="1:18" customFormat="1" ht="15" thickBot="1" x14ac:dyDescent="0.35">
      <c r="A29" s="146"/>
      <c r="B29" s="54" t="s">
        <v>36</v>
      </c>
      <c r="C29" s="76" t="n">
        <f>VLOOKUP(VALUE(Mappings!N2),Reference!E2:F6,2,FALSE)</f>
        <v>100000.0</v>
      </c>
      <c r="D29" s="145" t="n">
        <f><![CDATA[IF(C29="Excluded",0,IF(AND(COUNTIF(Form_1,C6),COUNTIF(Occupancy_1,C7)),VLOOKUP(C29&"-"&C8,Lookup!$AG$8:$AO$24,MATCH(C28,Lookup!$AG$8:$AO$8,0),FALSE),
IF(AND(COUNTIF(Form_2,C6),COUNTIF(Occupancy_1,C7)),VLOOKUP(C29&"-"&C8,Lookup!$AG$29:$AO$45,MATCH(C28,Lookup!$AG$29:$AO$29,0),FALSE),
IF(AND(COUNTIF(Form_1,C6),COUNTIF(Occupancy_2,C7)),VLOOKUP(C29&"-"&C8,Lookup!$AT$8:$AV$24,2,FALSE),
IF(AND(COUNTIF(Form_2,C6),COUNTIF(Occupancy_2,C7)),VLOOKUP(C29&"-"&C8,Lookup!$AT$29:$AV$45,2,FALSE),"Mismatch")))))]]></f>
        <v>25.0</v>
      </c>
      <c r="E29" s="144"/>
      <c r="F29" s="141"/>
      <c r="G29" s="126"/>
    </row>
    <row r="30" spans="1:18" customFormat="1" ht="16.2" thickBot="1" x14ac:dyDescent="0.35">
      <c r="A30" s="146"/>
      <c r="B30" s="58" t="s">
        <v>37</v>
      </c>
      <c r="C30" s="96" t="n">
        <f>IF(C29="Excluded","Excluded",5000)</f>
        <v>5000.0</v>
      </c>
      <c r="D30" s="101" t="n">
        <f><![CDATA[IF(C29="Excluded",0,IF(AND(COUNTIF(Form_1,C6),COUNTIF(Occupancy_1,C7)),VLOOKUP(C29&"-"&C8,Lookup!$AG$8:$AO$24,MATCH(C28,Lookup!$AG$8:$AO$8,0)+1,FALSE),
IF(AND(COUNTIF(Form_2,C6),COUNTIF(Occupancy_1,C7)),VLOOKUP(C29&"-"&C8,Lookup!$AG$29:$AO$45,MATCH(C28,Lookup!$AG$29:$AO$29,0)+1,FALSE),
IF(AND(COUNTIF(Form_1,C6),COUNTIF(Occupancy_2,C7)),VLOOKUP(C29&"-"&C8,Lookup!$AT$8:$AV$24,3,FALSE),
IF(AND(COUNTIF(Form_2,C6),COUNTIF(Occupancy_2,C7)),VLOOKUP(C29&"-"&C8,Lookup!$AT$29:$AV$45,3,FALSE),"Mis Match")))))]]></f>
        <v>100.0</v>
      </c>
      <c r="E30" s="105" t="n">
        <f>MAX(D29,D30)</f>
        <v>100.0</v>
      </c>
      <c r="F30" s="106" t="n">
        <f>IF(C32&lt;&gt;"","Resolve Error",ROUND(E30,0))</f>
        <v>100.0</v>
      </c>
      <c r="G30" s="147"/>
    </row>
    <row r="31" spans="1:18" customFormat="1" x14ac:dyDescent="0.3">
      <c r="A31" s="146"/>
      <c r="B31" s="120"/>
      <c r="C31" s="253" t="str">
        <f>IF(C29="Excluded","Medical Payment is not allowed, when personal liability limit is None/Excluded","")</f>
        <v/>
      </c>
      <c r="D31" s="253"/>
      <c r="E31" s="253"/>
      <c r="F31" s="253"/>
      <c r="G31" s="126"/>
    </row>
    <row r="32" spans="1:18" customFormat="1" ht="15" thickBot="1" x14ac:dyDescent="0.35">
      <c r="A32" s="146"/>
      <c r="B32" s="120"/>
      <c r="C32" s="251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51"/>
      <c r="E32" s="251"/>
      <c r="F32" s="251"/>
      <c r="G32" s="126"/>
    </row>
    <row r="33" spans="1:18" customFormat="1" ht="16.2" thickBot="1" x14ac:dyDescent="0.35">
      <c r="A33" s="146"/>
      <c r="B33" s="48" t="s">
        <v>38</v>
      </c>
      <c r="C33" s="119"/>
      <c r="D33" s="119"/>
      <c r="E33" s="159"/>
      <c r="F33" s="119"/>
      <c r="G33" s="126"/>
      <c r="H33" s="48" t="s">
        <v>38</v>
      </c>
      <c r="I33" s="119"/>
      <c r="J33" s="119"/>
      <c r="K33" s="159"/>
      <c r="L33" s="119"/>
      <c r="N33" s="48" t="s">
        <v>38</v>
      </c>
      <c r="O33" s="119"/>
      <c r="P33" s="119"/>
      <c r="Q33" s="159"/>
      <c r="R33" s="119"/>
    </row>
    <row r="34" spans="1:18" customFormat="1" x14ac:dyDescent="0.3">
      <c r="A34" s="146"/>
      <c r="B34" s="55" t="s">
        <v>39</v>
      </c>
      <c r="C34" s="87">
        <v>1000</v>
      </c>
      <c r="D34" s="140"/>
      <c r="E34" s="180"/>
      <c r="F34" s="194" t="n">
        <f>IF(C6="HO6",VLOOKUP(C34,Lookup!$AX$2:$AY$6,2,FALSE),0)</f>
        <v>0.0</v>
      </c>
      <c r="G34" s="126"/>
      <c r="H34" s="55" t="s">
        <v>39</v>
      </c>
      <c r="I34" s="87">
        <v>1000</v>
      </c>
      <c r="J34" s="140"/>
      <c r="K34" s="180"/>
      <c r="L34" s="194" t="n">
        <f>IF(I6="HO6",VLOOKUP(I34,Lookup!$AX$2:$AY$6,2,FALSE),0)</f>
        <v>0.0</v>
      </c>
      <c r="N34" s="55" t="s">
        <v>39</v>
      </c>
      <c r="O34" s="87">
        <v>1000</v>
      </c>
      <c r="P34" s="140"/>
      <c r="Q34" s="180"/>
      <c r="R34" s="194" t="n">
        <f>IF(O6="HO6",VLOOKUP(O34,Lookup!$AX$2:$AY$6,2,FALSE),0)</f>
        <v>0.0</v>
      </c>
    </row>
    <row r="35" spans="1:18" customFormat="1" x14ac:dyDescent="0.3">
      <c r="A35" s="146"/>
      <c r="B35" s="56" t="s">
        <v>40</v>
      </c>
      <c r="C35" s="76" t="str">
        <f>Mappings!P2</f>
        <v>Yes</v>
      </c>
      <c r="D35" s="120"/>
      <c r="E35" s="180"/>
      <c r="F35" s="195" t="n">
        <f>IF(OR(C6="HO1",C6="HO3",C6="HO6",C6="DP1",C6="DP3"),0,IF(AND(OR(C6="HO4",C6="HO8"),C35="Yes"),ROUND(C12*0.0075,0),0))</f>
        <v>0.0</v>
      </c>
      <c r="G35" s="126"/>
      <c r="H35" s="56" t="s">
        <v>40</v>
      </c>
      <c r="I35" s="76" t="n">
        <f>Mappings!AF2</f>
        <v>0.0</v>
      </c>
      <c r="J35" s="120"/>
      <c r="K35" s="180"/>
      <c r="L35" s="195" t="n">
        <f>IF(OR(I6="HO1",I6="HO3",I6="HO6",I6="DP1",I6="DP3"),0,IF(AND(OR(I6="HO4",I6="HO8"),I35="Yes"),ROUND(I12*0.0075,0),0))</f>
        <v>0.0</v>
      </c>
      <c r="N35" s="56" t="s">
        <v>40</v>
      </c>
      <c r="O35" s="76" t="n">
        <f>Mappings!AQ2</f>
        <v>0.0</v>
      </c>
      <c r="P35" s="120"/>
      <c r="Q35" s="180"/>
      <c r="R35" s="195" t="n">
        <f>IF(OR(O6="HO1",O6="HO3",O6="HO6",O6="DP1",O6="DP3"),0,IF(AND(OR(O6="HO4",O6="HO8"),O35="Yes"),ROUND(O12*0.0075,0),0))</f>
        <v>0.0</v>
      </c>
    </row>
    <row r="36" spans="1:18" customFormat="1" x14ac:dyDescent="0.3">
      <c r="A36" s="146"/>
      <c r="B36" s="56" t="s">
        <v>42</v>
      </c>
      <c r="C36" s="76" t="n">
        <f>Mappings!Q2</f>
        <v>0.0</v>
      </c>
      <c r="D36" s="120"/>
      <c r="E36" s="180"/>
      <c r="F36" s="195" t="n">
        <f>IF(OR(C6="DP1",C6="DP3"),0,ROUND(C36*0.01,0))</f>
        <v>0.0</v>
      </c>
      <c r="G36" s="126"/>
    </row>
    <row r="37" spans="1:18" customFormat="1" x14ac:dyDescent="0.3">
      <c r="A37" s="146"/>
      <c r="B37" s="56" t="s">
        <v>43</v>
      </c>
      <c r="C37" s="82" t="s">
        <v>41</v>
      </c>
      <c r="D37" s="120"/>
      <c r="E37" s="180"/>
      <c r="F37" s="196" t="n">
        <f>IF(C37="Yes",ROUND(0.05*F15,0),0)</f>
        <v>0.0</v>
      </c>
      <c r="G37" s="126"/>
      <c r="H37" s="56" t="s">
        <v>43</v>
      </c>
      <c r="I37" s="82" t="s">
        <v>41</v>
      </c>
      <c r="J37" s="120"/>
      <c r="K37" s="180"/>
      <c r="L37" s="196" t="n">
        <f>IF(I37="Yes",ROUND(0.05*L15,0),0)</f>
        <v>0.0</v>
      </c>
      <c r="N37" s="56" t="s">
        <v>43</v>
      </c>
      <c r="O37" s="82" t="s">
        <v>41</v>
      </c>
      <c r="P37" s="120"/>
      <c r="Q37" s="180"/>
      <c r="R37" s="196" t="n">
        <f>IF(O37="Yes",ROUND(0.05*R15,0),0)</f>
        <v>0.0</v>
      </c>
    </row>
    <row r="38" spans="1:18" customFormat="1" ht="15" thickBot="1" x14ac:dyDescent="0.35">
      <c r="A38" s="146"/>
      <c r="B38" s="57" t="s">
        <v>44</v>
      </c>
      <c r="C38" s="88" t="n">
        <f>VLOOKUP(VALUE(Mappings!S2),Reference!G2:H6,2,FALSE)</f>
        <v>25000.0</v>
      </c>
      <c r="D38" s="89"/>
      <c r="E38" s="180"/>
      <c r="F38" s="195" t="n">
        <f>IF(OR(C6="DP1",C6="DP3"),0,VLOOKUP(C38,Lookup!$BA$2:$BB$6,2,FALSE))</f>
        <v>0.0</v>
      </c>
      <c r="G38" s="126"/>
      <c r="H38" s="57" t="s">
        <v>44</v>
      </c>
      <c r="I38" s="88" t="str">
        <f>VLOOKUP(VALUE(Mappings!AG2),Reference!G2:H6,2,FALSE)</f>
        <v>Excluded</v>
      </c>
      <c r="J38" s="89"/>
      <c r="K38" s="180"/>
      <c r="L38" s="195" t="n">
        <f>IF(OR(I6="DP1",I6="DP3"),0,VLOOKUP(I38,Lookup!$BA$2:$BB$6,2,FALSE))</f>
        <v>0.0</v>
      </c>
      <c r="N38" s="57" t="s">
        <v>44</v>
      </c>
      <c r="O38" s="88" t="str">
        <f>VLOOKUP(VALUE(Mappings!AR2),Reference!G2:H6,2,FALSE)</f>
        <v>Excluded</v>
      </c>
      <c r="P38" s="89"/>
      <c r="Q38" s="180"/>
      <c r="R38" s="195" t="n">
        <f>IF(OR(O6="DP1",O6="DP3"),0,VLOOKUP(O38,Lookup!$BA$2:$BB$6,2,FALSE))</f>
        <v>0.0</v>
      </c>
    </row>
    <row r="39" spans="1:18" customFormat="1" ht="16.2" thickBot="1" x14ac:dyDescent="0.35">
      <c r="A39" s="146"/>
      <c r="B39" s="120"/>
      <c r="C39" s="133"/>
      <c r="D39" s="120"/>
      <c r="E39" s="134"/>
      <c r="F39" s="129"/>
      <c r="G39" s="126"/>
      <c r="H39" s="120"/>
      <c r="I39" s="133"/>
      <c r="J39" s="120"/>
      <c r="K39" s="134"/>
      <c r="L39" s="129"/>
      <c r="N39" s="120"/>
      <c r="O39" s="133"/>
      <c r="P39" s="120"/>
      <c r="Q39" s="134"/>
      <c r="R39" s="129"/>
    </row>
    <row r="40" spans="1:18" customFormat="1" ht="18.600000000000001" thickBot="1" x14ac:dyDescent="0.35">
      <c r="A40" s="146"/>
      <c r="B40" s="243" t="s">
        <v>133</v>
      </c>
      <c r="C40" s="244"/>
      <c r="D40" s="244"/>
      <c r="E40" s="245"/>
      <c r="F40" s="104" t="n">
        <f>IFERROR(F15+F21+F25+F30+SUM(F34:F38),0)</f>
        <v>3785.0</v>
      </c>
      <c r="G40" s="126"/>
      <c r="H40" s="243" t="s">
        <v>133</v>
      </c>
      <c r="I40" s="244"/>
      <c r="J40" s="244"/>
      <c r="K40" s="245"/>
      <c r="L40" s="104" t="n">
        <f>IFERROR(L15+L21+L25+L30+SUM(L34:L38),0)</f>
        <v>0.0</v>
      </c>
      <c r="N40" s="243" t="s">
        <v>133</v>
      </c>
      <c r="O40" s="244"/>
      <c r="P40" s="244"/>
      <c r="Q40" s="245"/>
      <c r="R40" s="104" t="n">
        <f>IFERROR(R15+R21+R25+R30+SUM(R34:R38),0)</f>
        <v>0.0</v>
      </c>
    </row>
    <row r="41" spans="1:18" customFormat="1" ht="18.600000000000001" thickBot="1" x14ac:dyDescent="0.35">
      <c r="A41" s="146"/>
      <c r="B41" s="135"/>
      <c r="C41" s="135"/>
      <c r="D41" s="135"/>
      <c r="E41" s="135"/>
      <c r="F41" s="136"/>
      <c r="G41" s="126"/>
    </row>
    <row r="42" spans="1:18" customFormat="1" ht="16.2" thickBot="1" x14ac:dyDescent="0.35">
      <c r="A42" s="146"/>
      <c r="B42" s="156" t="s">
        <v>134</v>
      </c>
      <c r="C42" s="133"/>
      <c r="D42" s="120"/>
      <c r="E42" s="134"/>
      <c r="F42" s="129"/>
      <c r="G42" s="126"/>
    </row>
    <row r="43" spans="1:18" customFormat="1" ht="15.75" customHeight="1" thickBot="1" x14ac:dyDescent="0.35">
      <c r="A43" s="146"/>
      <c r="B43" s="163" t="str">
        <f>"Total Base Premium (Locations:  "&amp;C1&amp;")"</f>
        <v>Total Base Premium (Locations:  3)</v>
      </c>
      <c r="C43" s="248" t="n">
        <f>SUM(15:15)</f>
        <v>984.0</v>
      </c>
      <c r="D43" s="249"/>
      <c r="E43" s="249"/>
      <c r="F43" s="250"/>
      <c r="G43" s="126"/>
    </row>
    <row r="44" spans="1:18" customFormat="1" ht="15.75" customHeight="1" x14ac:dyDescent="0.3">
      <c r="A44" s="146"/>
      <c r="B44" s="161" t="s">
        <v>20</v>
      </c>
      <c r="C44" s="162" t="str">
        <f>Mappings!T2</f>
        <v>No</v>
      </c>
      <c r="D44" s="186" t="n">
        <f>IF(C44="Yes", Lookup!$AA$1,0)</f>
        <v>0.0</v>
      </c>
      <c r="E44" s="189"/>
      <c r="F44" s="182" t="n">
        <f>ROUND(C43*D44,0)</f>
        <v>0.0</v>
      </c>
      <c r="G44" s="126"/>
    </row>
    <row r="45" spans="1:18" customFormat="1" ht="15.75" customHeight="1" x14ac:dyDescent="0.3">
      <c r="A45" s="146"/>
      <c r="B45" s="138"/>
      <c r="C45" s="139"/>
      <c r="D45" s="187" t="s">
        <v>122</v>
      </c>
      <c r="E45" s="190"/>
      <c r="F45" s="183"/>
      <c r="G45" s="126"/>
    </row>
    <row r="46" spans="1:18" customFormat="1" ht="15.75" customHeight="1" x14ac:dyDescent="0.3">
      <c r="A46" s="146"/>
      <c r="B46" s="46" t="s">
        <v>22</v>
      </c>
      <c r="C46" s="114" t="n">
        <f>Mappings!U2</f>
        <v>0.0</v>
      </c>
      <c r="D46" s="157"/>
      <c r="E46" s="190"/>
      <c r="F46" s="183"/>
      <c r="G46" s="126"/>
    </row>
    <row r="47" spans="1:18" customFormat="1" ht="15" customHeight="1" x14ac:dyDescent="0.3">
      <c r="A47" s="146"/>
      <c r="B47" s="138"/>
      <c r="C47" s="135"/>
      <c r="D47" s="157"/>
      <c r="E47" s="190"/>
      <c r="F47" s="183"/>
      <c r="G47" s="126"/>
      <c r="H47" s="118"/>
    </row>
    <row r="48" spans="1:18" customFormat="1" ht="15" customHeight="1" x14ac:dyDescent="0.3">
      <c r="A48" s="146"/>
      <c r="B48" s="138"/>
      <c r="C48" s="135"/>
      <c r="D48" s="157"/>
      <c r="E48" s="190"/>
      <c r="F48" s="183"/>
      <c r="G48" s="126"/>
    </row>
    <row r="49" spans="1:13" customFormat="1" ht="15" customHeight="1" x14ac:dyDescent="0.3">
      <c r="A49" s="146"/>
      <c r="B49" s="138"/>
      <c r="C49" s="135"/>
      <c r="D49" s="157"/>
      <c r="E49" s="190"/>
      <c r="F49" s="183"/>
      <c r="G49" s="126"/>
    </row>
    <row r="50" spans="1:13" customFormat="1" ht="15" customHeight="1" x14ac:dyDescent="0.3">
      <c r="A50" s="146"/>
      <c r="B50" s="138"/>
      <c r="C50" s="135"/>
      <c r="D50" s="157"/>
      <c r="E50" s="190"/>
      <c r="F50" s="183"/>
      <c r="G50" s="126"/>
    </row>
    <row r="51" spans="1:13" customFormat="1" ht="15.75" customHeight="1" thickBot="1" x14ac:dyDescent="0.35">
      <c r="A51" s="146"/>
      <c r="B51" s="108" t="s">
        <v>24</v>
      </c>
      <c r="C51" s="107" t="str">
        <f>IF($C$46=0,"Yes","No")</f>
        <v>Yes</v>
      </c>
      <c r="D51" s="188" t="n">
        <f>IF($C$46=0,Lookup!$U$1,0)</f>
        <v>-0.05</v>
      </c>
      <c r="E51" s="191"/>
      <c r="F51" s="184" t="n">
        <f>ROUND(C43*D51,0)</f>
        <v>-49.0</v>
      </c>
      <c r="G51" s="126"/>
    </row>
    <row r="52" spans="1:13" customFormat="1" ht="16.2" thickBot="1" x14ac:dyDescent="0.35">
      <c r="A52" s="146"/>
      <c r="B52" s="109" t="s">
        <v>33</v>
      </c>
      <c r="C52" s="110" t="str">
        <f>IF($C$46&gt;0,"Yes","No")</f>
        <v>No</v>
      </c>
      <c r="D52" s="111" t="n">
        <f>IF($C$46&gt;0,10%,0)</f>
        <v>0.0</v>
      </c>
      <c r="E52" s="181"/>
      <c r="F52" s="185" t="n">
        <f>ROUND(C43*D52,0)</f>
        <v>0.0</v>
      </c>
      <c r="G52" s="126"/>
    </row>
    <row r="53" spans="1:13" customFormat="1" ht="15" thickBot="1" x14ac:dyDescent="0.35">
      <c r="A53" s="146"/>
      <c r="B53" s="120"/>
      <c r="C53" s="119"/>
      <c r="D53" s="119"/>
      <c r="E53" s="159"/>
      <c r="F53" s="119"/>
      <c r="G53" s="126"/>
    </row>
    <row r="54" spans="1:13" customFormat="1" ht="16.2" thickBot="1" x14ac:dyDescent="0.35">
      <c r="A54" s="146"/>
      <c r="B54" s="156" t="s">
        <v>5</v>
      </c>
      <c r="C54" s="119"/>
      <c r="D54" s="119"/>
      <c r="E54" s="159"/>
      <c r="F54" s="129"/>
      <c r="G54" s="126"/>
    </row>
    <row r="55" spans="1:13" ht="16.2" thickBot="1" x14ac:dyDescent="0.35">
      <c r="A55" s="146"/>
      <c r="B55" s="261" t="str">
        <f>"Calculated Premium For All Locations ( Total Locations : "&amp;C1 &amp;" )"</f>
        <v>Calculated Premium For All Locations ( Total Locations : 3 )</v>
      </c>
      <c r="C55" s="262"/>
      <c r="D55" s="262"/>
      <c r="E55" s="263"/>
      <c r="F55" s="137" t="n">
        <f>SUM(40:40)+SUM(F44:F52)</f>
        <v>3736.0</v>
      </c>
      <c r="G55" s="126"/>
      <c r="H55" s="100"/>
      <c r="J55" s="65"/>
      <c r="K55" s="99"/>
      <c r="L55" s="80"/>
      <c r="M55" s="65"/>
    </row>
    <row r="56" spans="1:13" ht="15.6" x14ac:dyDescent="0.3">
      <c r="A56" s="146"/>
      <c r="B56" s="264" t="s">
        <v>45</v>
      </c>
      <c r="C56" s="265"/>
      <c r="D56" s="265"/>
      <c r="E56" s="266"/>
      <c r="F56" s="90" t="n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3736.0</v>
      </c>
      <c r="G56" s="126"/>
    </row>
    <row r="57" spans="1:13" ht="15.6" x14ac:dyDescent="0.3">
      <c r="A57" s="146"/>
      <c r="B57" s="164"/>
      <c r="C57" s="165" t="s">
        <v>140</v>
      </c>
      <c r="D57" s="203" t="s">
        <v>36</v>
      </c>
      <c r="E57" s="203" t="s">
        <v>141</v>
      </c>
      <c r="F57" s="166"/>
      <c r="G57" s="126"/>
    </row>
    <row r="58" spans="1:13" ht="15.6" x14ac:dyDescent="0.3">
      <c r="A58" s="146"/>
      <c r="B58" s="164" t="s">
        <v>145</v>
      </c>
      <c r="C58" s="169" t="s">
        <v>143</v>
      </c>
      <c r="D58" s="203" t="str">
        <f>C58</f>
        <v>%</v>
      </c>
      <c r="E58" s="203" t="s">
        <v>144</v>
      </c>
      <c r="F58" s="166"/>
      <c r="G58" s="126"/>
    </row>
    <row r="59" spans="1:13" ht="15.6" x14ac:dyDescent="0.3">
      <c r="A59" s="146"/>
      <c r="B59" s="46" t="s">
        <v>139</v>
      </c>
      <c r="C59" s="167">
        <v>0</v>
      </c>
      <c r="D59" s="167">
        <v>0</v>
      </c>
      <c r="E59" s="170" t="n">
        <f>ROUND(IF($C$58="%",(($F$56*$C$59)/100)+(($F$56*$D$59)/100),$C$59+$D$59),0)</f>
        <v>0.0</v>
      </c>
      <c r="F59" s="78" t="n">
        <f><![CDATA[ROUND(IF(AND(OR($C$6="HO4",$C$6="HO6"),($F$56+$E$59)<Lookup!$BE$4),Lookup!$BE$4,
IF(AND(Rater!$C$8="12 month",($F$56+$E$59)<Lookup!$BE$3,AND($C$6<>"HO4",$C$6<>"HO6")),Lookup!$BE$3,
IF(AND(OR($C$8="3 month",$C$8="6 month",$C$8="9 month"),($F$56+$E$59) <Lookup!$BE$2,AND($C$6<>"HO4",$C$6<>"HO6")),Lookup!$BE$2, $F$56+$E$59))),0)]]></f>
        <v>3736.0</v>
      </c>
      <c r="G59" s="126"/>
    </row>
    <row r="60" spans="1:13" ht="15" customHeight="1" x14ac:dyDescent="0.3">
      <c r="A60" s="146"/>
      <c r="B60" s="46" t="s">
        <v>46</v>
      </c>
      <c r="C60" s="112" t="str">
        <f>Mappings!V2</f>
        <v>Mueller Pricing</v>
      </c>
      <c r="D60" s="120"/>
      <c r="E60" s="99"/>
      <c r="F60" s="126"/>
      <c r="G60" s="126"/>
    </row>
    <row r="61" spans="1:13" x14ac:dyDescent="0.3">
      <c r="A61" s="146"/>
      <c r="B61" s="46" t="s">
        <v>49</v>
      </c>
      <c r="C61" s="112" t="str">
        <f>Mappings!W2</f>
        <v>Close Out</v>
      </c>
      <c r="D61" s="120"/>
      <c r="E61" s="134"/>
      <c r="F61" s="160" t="n">
        <f>IF($C$60=Lookup!$BG$21,VLOOKUP($C$61,Lookup!$BH$3:$BI$7,2,FALSE),IF($C$60 = "Not Required",0,VLOOKUP($C$61,Lookup!$BH$10:$BI$14,2,FALSE)))</f>
        <v>20.0</v>
      </c>
      <c r="G61" s="126"/>
    </row>
    <row r="62" spans="1:13" x14ac:dyDescent="0.3">
      <c r="A62" s="146"/>
      <c r="B62" s="254" t="s">
        <v>52</v>
      </c>
      <c r="C62" s="255"/>
      <c r="D62" s="119"/>
      <c r="E62" s="134"/>
      <c r="F62" s="160" t="n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100.0</v>
      </c>
      <c r="G62" s="126"/>
    </row>
    <row r="63" spans="1:13" x14ac:dyDescent="0.3">
      <c r="A63" s="146"/>
      <c r="B63" s="256" t="s">
        <v>53</v>
      </c>
      <c r="C63" s="257"/>
      <c r="D63" s="119"/>
      <c r="E63" s="158"/>
      <c r="F63" s="160" t="n">
        <f>$F$59*0.03</f>
        <v>112.08</v>
      </c>
      <c r="G63" s="126"/>
    </row>
    <row r="64" spans="1:13" ht="15" thickBot="1" x14ac:dyDescent="0.35">
      <c r="A64" s="146"/>
      <c r="B64" s="138"/>
      <c r="C64" s="119"/>
      <c r="D64" s="119"/>
      <c r="E64" s="159"/>
      <c r="F64" s="206" t="n">
        <f>SUM(F61:F63)</f>
        <v>232.07999999999998</v>
      </c>
      <c r="G64" s="126"/>
    </row>
    <row r="65" spans="1:7" ht="18.600000000000001" thickBot="1" x14ac:dyDescent="0.35">
      <c r="A65" s="146"/>
      <c r="B65" s="258" t="s">
        <v>54</v>
      </c>
      <c r="C65" s="259"/>
      <c r="D65" s="259"/>
      <c r="E65" s="260"/>
      <c r="F65" s="91" t="n">
        <f>$F$59+$F$61+$F$62+$F$63</f>
        <v>3968.08</v>
      </c>
      <c r="G65" s="126"/>
    </row>
    <row r="66" spans="1:7" x14ac:dyDescent="0.3">
      <c r="A66" s="146"/>
      <c r="B66" s="120"/>
      <c r="C66" s="119"/>
      <c r="D66" s="119"/>
      <c r="E66" s="121"/>
      <c r="F66" s="119"/>
      <c r="G66" s="126"/>
    </row>
    <row r="67" spans="1:7" x14ac:dyDescent="0.3">
      <c r="A67" s="146"/>
      <c r="B67" s="120"/>
      <c r="C67" s="119"/>
      <c r="D67" s="119"/>
      <c r="E67" s="121"/>
      <c r="F67" s="119"/>
      <c r="G67" s="126"/>
    </row>
    <row r="68" spans="1:7" x14ac:dyDescent="0.3">
      <c r="A68" s="146"/>
      <c r="B68" s="120"/>
      <c r="C68" s="119"/>
      <c r="D68" s="119"/>
      <c r="E68" s="121"/>
      <c r="F68" s="119"/>
      <c r="G68" s="126"/>
    </row>
    <row r="69" spans="1:7" x14ac:dyDescent="0.3">
      <c r="A69" s="146"/>
      <c r="B69" s="120"/>
      <c r="C69" s="119"/>
      <c r="D69" s="119"/>
      <c r="E69" s="121"/>
      <c r="F69" s="119"/>
      <c r="G69" s="126"/>
    </row>
    <row r="70" spans="1:7" x14ac:dyDescent="0.3">
      <c r="A70" s="146"/>
      <c r="B70" s="120"/>
      <c r="C70" s="119"/>
      <c r="D70" s="119"/>
      <c r="E70" s="121"/>
      <c r="F70" s="119"/>
      <c r="G70" s="126"/>
    </row>
    <row r="71" spans="1:7" x14ac:dyDescent="0.3">
      <c r="A71" s="146"/>
      <c r="B71" s="120"/>
      <c r="C71" s="119"/>
      <c r="D71" s="119"/>
      <c r="E71" s="121"/>
      <c r="F71" s="119"/>
      <c r="G71" s="126"/>
    </row>
    <row r="72" spans="1:7" x14ac:dyDescent="0.3">
      <c r="A72" s="146"/>
      <c r="B72" s="120"/>
      <c r="C72" s="119"/>
      <c r="D72" s="119"/>
      <c r="E72" s="121"/>
      <c r="F72" s="119"/>
      <c r="G72" s="126"/>
    </row>
    <row r="73" spans="1:7" x14ac:dyDescent="0.3">
      <c r="A73" s="146"/>
      <c r="B73" s="120"/>
      <c r="C73" s="119"/>
      <c r="D73" s="119"/>
      <c r="E73" s="121"/>
      <c r="F73" s="119"/>
      <c r="G73" s="126"/>
    </row>
    <row r="74" spans="1:7" ht="15" thickBot="1" x14ac:dyDescent="0.35">
      <c r="A74" s="149"/>
      <c r="B74" s="150"/>
      <c r="C74" s="151"/>
      <c r="D74" s="151"/>
      <c r="E74" s="152"/>
      <c r="F74" s="151"/>
      <c r="G74" s="153"/>
    </row>
    <row r="75" spans="1:7" x14ac:dyDescent="0.3">
      <c r="G75" s="119"/>
    </row>
  </sheetData>
  <mergeCells count="17">
    <mergeCell ref="B62:C62"/>
    <mergeCell ref="B63:C63"/>
    <mergeCell ref="B65:E65"/>
    <mergeCell ref="B55:E55"/>
    <mergeCell ref="B56:E56"/>
    <mergeCell ref="C14:D14"/>
    <mergeCell ref="B40:E40"/>
    <mergeCell ref="C43:F43"/>
    <mergeCell ref="C32:F32"/>
    <mergeCell ref="B21:C21"/>
    <mergeCell ref="C31:F31"/>
    <mergeCell ref="I14:J14"/>
    <mergeCell ref="H21:I21"/>
    <mergeCell ref="H40:K40"/>
    <mergeCell ref="O14:P14"/>
    <mergeCell ref="N21:O21"/>
    <mergeCell ref="N40:Q40"/>
  </mergeCells>
  <conditionalFormatting sqref="D28">
    <cfRule type="expression" dxfId="18" priority="1842">
      <formula>$D$28&lt;&gt;""</formula>
    </cfRule>
  </conditionalFormatting>
  <conditionalFormatting sqref="C12">
    <cfRule type="expression" dxfId="17" priority="1818">
      <formula>OR(C6="DP1",C6="DP3")</formula>
    </cfRule>
  </conditionalFormatting>
  <conditionalFormatting sqref="C10">
    <cfRule type="expression" dxfId="16" priority="1838">
      <formula>C6="HO4"</formula>
    </cfRule>
  </conditionalFormatting>
  <conditionalFormatting sqref="C11">
    <cfRule type="expression" dxfId="15" priority="1837">
      <formula>OR(C6="DP1",C6="DP3",C6="HO4")</formula>
    </cfRule>
  </conditionalFormatting>
  <conditionalFormatting sqref="C13">
    <cfRule type="expression" dxfId="14" priority="1817">
      <formula>OR(C6="DP1",C6="DP3")</formula>
    </cfRule>
  </conditionalFormatting>
  <conditionalFormatting sqref="D46">
    <cfRule type="expression" dxfId="13" priority="388">
      <formula>$D$46="Please Select"</formula>
    </cfRule>
  </conditionalFormatting>
  <conditionalFormatting sqref="D47">
    <cfRule type="expression" dxfId="12" priority="387">
      <formula>$D$47="Please Select"</formula>
    </cfRule>
  </conditionalFormatting>
  <conditionalFormatting sqref="D48">
    <cfRule type="expression" dxfId="11" priority="386">
      <formula>$D$48="Please Select"</formula>
    </cfRule>
  </conditionalFormatting>
  <conditionalFormatting sqref="D49">
    <cfRule type="expression" dxfId="10" priority="385">
      <formula>$D$49="Please Select"</formula>
    </cfRule>
  </conditionalFormatting>
  <conditionalFormatting sqref="D50:D52">
    <cfRule type="expression" dxfId="9" priority="384">
      <formula>$D$50="Please Select"</formula>
    </cfRule>
  </conditionalFormatting>
  <conditionalFormatting sqref="F30">
    <cfRule type="expression" dxfId="8" priority="273">
      <formula>$F$30="Resolve Error"</formula>
    </cfRule>
  </conditionalFormatting>
  <conditionalFormatting sqref="I12">
    <cfRule type="expression" dxfId="7" priority="6">
      <formula>OR(I6="DP1",I6="DP3")</formula>
    </cfRule>
  </conditionalFormatting>
  <conditionalFormatting sqref="I10">
    <cfRule type="expression" dxfId="6" priority="8">
      <formula>I6="HO4"</formula>
    </cfRule>
  </conditionalFormatting>
  <conditionalFormatting sqref="I11">
    <cfRule type="expression" dxfId="5" priority="7">
      <formula>OR(I6="DP1",I6="DP3",I6="HO4")</formula>
    </cfRule>
  </conditionalFormatting>
  <conditionalFormatting sqref="I13">
    <cfRule type="expression" dxfId="4" priority="5">
      <formula>OR(I6="DP1",I6="DP3")</formula>
    </cfRule>
  </conditionalFormatting>
  <conditionalFormatting sqref="O12">
    <cfRule type="expression" dxfId="3" priority="2">
      <formula>OR(O6="DP1",O6="DP3")</formula>
    </cfRule>
  </conditionalFormatting>
  <conditionalFormatting sqref="O10">
    <cfRule type="expression" dxfId="2" priority="4">
      <formula>O6="HO4"</formula>
    </cfRule>
  </conditionalFormatting>
  <conditionalFormatting sqref="O11">
    <cfRule type="expression" dxfId="1" priority="3">
      <formula>OR(O6="DP1",O6="DP3",O6="HO4")</formula>
    </cfRule>
  </conditionalFormatting>
  <conditionalFormatting sqref="O13">
    <cfRule type="expression" dxfId="0" priority="1">
      <formula>OR(O6="DP1",O6="DP3")</formula>
    </cfRule>
  </conditionalFormatting>
  <dataValidations count="5">
    <dataValidation type="list" allowBlank="1" showInputMessage="1" showErrorMessage="1" sqref="C18 C44 I18 O18" xr:uid="{00000000-0002-0000-0100-000000000000}">
      <formula1>"Yes,No"</formula1>
    </dataValidation>
    <dataValidation type="list" allowBlank="1" showInputMessage="1" showErrorMessage="1" sqref="C46" xr:uid="{3C1BFA56-42F1-4D86-9988-9DD0DF19A581}">
      <formula1>"0,1,2,3,4,5"</formula1>
    </dataValidation>
    <dataValidation type="list" allowBlank="1" showInputMessage="1" showErrorMessage="1" sqref="C7" xr:uid="{D0CE065E-E4E0-4E2A-9032-70F6BAF2663E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9EEF46AD-2717-4CCA-910C-C0D2AC5DA221}">
      <formula1>0</formula1>
      <formula2>1000000</formula2>
    </dataValidation>
    <dataValidation type="whole" allowBlank="1" showInputMessage="1" showErrorMessage="1" sqref="D59" xr:uid="{041A5044-1CC0-4724-8510-E1EBB5FE2FC7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5000000}">
          <x14:formula1>
            <xm:f>Lookup!$A$15:$A$21</xm:f>
          </x14:formula1>
          <xm:sqref>C6</xm:sqref>
        </x14:dataValidation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 I9 O9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 I20 O20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 I34 O34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 I35 O35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 I37 O37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 I38 O38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44D9-D435-4A24-98FC-0CDCEFB125A1}">
  <dimension ref="A1:L11"/>
  <sheetViews>
    <sheetView workbookViewId="0">
      <selection activeCell="E21" sqref="E21"/>
    </sheetView>
  </sheetViews>
  <sheetFormatPr defaultRowHeight="14.4" x14ac:dyDescent="0.3"/>
  <cols>
    <col min="5" max="5" bestFit="true" customWidth="true" width="10.5546875" collapsed="true"/>
    <col min="6" max="6" bestFit="true" customWidth="true" width="9.88671875" collapsed="true"/>
    <col min="8" max="8" bestFit="true" customWidth="true" width="8.21875" collapsed="true"/>
  </cols>
  <sheetData>
    <row r="1" spans="1:12" ht="15" thickBot="1" x14ac:dyDescent="0.35">
      <c r="A1" s="268" t="s">
        <v>12</v>
      </c>
      <c r="B1" s="269"/>
      <c r="C1" s="268" t="s">
        <v>34</v>
      </c>
      <c r="D1" s="270"/>
      <c r="E1" s="268" t="s">
        <v>171</v>
      </c>
      <c r="F1" s="269"/>
      <c r="G1" s="268" t="s">
        <v>44</v>
      </c>
      <c r="H1" s="269"/>
      <c r="I1" s="271" t="s">
        <v>29</v>
      </c>
      <c r="J1" s="272"/>
      <c r="K1" s="267" t="s">
        <v>163</v>
      </c>
      <c r="L1" s="267"/>
    </row>
    <row r="2" spans="1:12" x14ac:dyDescent="0.3">
      <c r="A2" s="208" t="s">
        <v>172</v>
      </c>
      <c r="B2" s="209" t="s">
        <v>90</v>
      </c>
      <c r="C2" s="210">
        <v>1</v>
      </c>
      <c r="D2" t="s">
        <v>108</v>
      </c>
      <c r="E2" s="208">
        <v>0</v>
      </c>
      <c r="F2" s="209" t="s">
        <v>77</v>
      </c>
      <c r="G2" s="211">
        <v>0</v>
      </c>
      <c r="H2" s="212" t="s">
        <v>77</v>
      </c>
      <c r="I2" s="210">
        <v>1000</v>
      </c>
      <c r="J2" s="213">
        <v>1000</v>
      </c>
      <c r="K2">
        <v>1</v>
      </c>
      <c r="L2" s="214" t="s">
        <v>73</v>
      </c>
    </row>
    <row r="3" spans="1:12" x14ac:dyDescent="0.3">
      <c r="A3" s="208" t="s">
        <v>173</v>
      </c>
      <c r="B3" s="209" t="s">
        <v>13</v>
      </c>
      <c r="C3" s="210">
        <v>2</v>
      </c>
      <c r="D3" t="s">
        <v>110</v>
      </c>
      <c r="E3" s="210">
        <v>100000</v>
      </c>
      <c r="F3" s="215">
        <v>100000</v>
      </c>
      <c r="G3" s="210">
        <v>5000</v>
      </c>
      <c r="H3" s="216">
        <v>5000</v>
      </c>
      <c r="I3" s="210">
        <v>2500</v>
      </c>
      <c r="J3" s="217">
        <v>2500</v>
      </c>
      <c r="K3">
        <v>2</v>
      </c>
      <c r="L3" s="214" t="s">
        <v>166</v>
      </c>
    </row>
    <row r="4" spans="1:12" x14ac:dyDescent="0.3">
      <c r="A4" s="208" t="s">
        <v>174</v>
      </c>
      <c r="B4" s="209" t="s">
        <v>97</v>
      </c>
      <c r="C4" s="210">
        <v>3</v>
      </c>
      <c r="D4" t="s">
        <v>35</v>
      </c>
      <c r="E4" s="210">
        <v>300000</v>
      </c>
      <c r="F4" s="215">
        <v>300000</v>
      </c>
      <c r="G4" s="210">
        <v>10000</v>
      </c>
      <c r="H4" s="216">
        <v>10000</v>
      </c>
      <c r="I4" s="210">
        <v>5000</v>
      </c>
      <c r="J4" s="217">
        <v>5000</v>
      </c>
      <c r="K4">
        <v>3</v>
      </c>
      <c r="L4" s="214" t="s">
        <v>167</v>
      </c>
    </row>
    <row r="5" spans="1:12" ht="15" thickBot="1" x14ac:dyDescent="0.35">
      <c r="A5" s="218" t="s">
        <v>165</v>
      </c>
      <c r="B5" s="219" t="s">
        <v>100</v>
      </c>
      <c r="C5" s="210">
        <v>4</v>
      </c>
      <c r="D5" s="220" t="s">
        <v>111</v>
      </c>
      <c r="E5" s="210">
        <v>500000</v>
      </c>
      <c r="F5" s="215">
        <v>500000</v>
      </c>
      <c r="G5" s="210">
        <v>25000</v>
      </c>
      <c r="H5" s="216">
        <v>25000</v>
      </c>
      <c r="I5" s="210">
        <v>10000</v>
      </c>
      <c r="J5" s="221">
        <v>10000</v>
      </c>
      <c r="K5">
        <v>4</v>
      </c>
      <c r="L5" s="214" t="s">
        <v>168</v>
      </c>
    </row>
    <row r="6" spans="1:12" ht="15" thickBot="1" x14ac:dyDescent="0.35">
      <c r="E6" s="222">
        <v>1000000</v>
      </c>
      <c r="F6" s="223">
        <v>1000000</v>
      </c>
      <c r="G6" s="222">
        <v>50000</v>
      </c>
      <c r="H6" s="224">
        <v>50000</v>
      </c>
      <c r="K6">
        <v>5</v>
      </c>
      <c r="L6" s="214" t="s">
        <v>169</v>
      </c>
    </row>
    <row r="7" spans="1:12" x14ac:dyDescent="0.3">
      <c r="K7">
        <v>6</v>
      </c>
      <c r="L7" s="214" t="s">
        <v>170</v>
      </c>
    </row>
    <row r="8" spans="1:12" x14ac:dyDescent="0.3">
      <c r="K8">
        <v>7</v>
      </c>
      <c r="L8" s="214" t="s">
        <v>15</v>
      </c>
    </row>
    <row r="9" spans="1:12" x14ac:dyDescent="0.3">
      <c r="K9">
        <v>8</v>
      </c>
      <c r="L9" s="214" t="s">
        <v>74</v>
      </c>
    </row>
    <row r="10" spans="1:12" x14ac:dyDescent="0.3">
      <c r="K10">
        <v>9</v>
      </c>
      <c r="L10" s="214" t="s">
        <v>75</v>
      </c>
    </row>
    <row r="11" spans="1:12" x14ac:dyDescent="0.3">
      <c r="K11">
        <v>10</v>
      </c>
      <c r="L11" s="214" t="s">
        <v>76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topLeftCell="C7" workbookViewId="0">
      <selection activeCell="S14" sqref="S14"/>
    </sheetView>
  </sheetViews>
  <sheetFormatPr defaultRowHeight="14.4" x14ac:dyDescent="0.3"/>
  <cols>
    <col min="1" max="2" bestFit="true" customWidth="true" width="35.44140625" collapsed="true"/>
    <col min="3" max="3" bestFit="true" customWidth="true" width="33.33203125" collapsed="true"/>
    <col min="4" max="4" bestFit="true" customWidth="true" width="36.44140625" collapsed="true"/>
    <col min="20" max="20" customWidth="true" width="50.0" collapsed="true"/>
    <col min="23" max="23" customWidth="true" width="19.88671875" collapsed="true"/>
    <col min="26" max="26" bestFit="true" customWidth="true" width="16.6640625" collapsed="true"/>
    <col min="29" max="29" bestFit="true" customWidth="true" width="11.5546875" collapsed="true"/>
    <col min="31" max="31" bestFit="true" customWidth="true" width="15.33203125" collapsed="true"/>
    <col min="32" max="32" bestFit="true" customWidth="true" width="9.33203125" collapsed="true"/>
    <col min="33" max="33" bestFit="true" customWidth="true" width="17.33203125" collapsed="true"/>
    <col min="44" max="44" bestFit="true" customWidth="true" width="12.5546875" collapsed="true"/>
    <col min="50" max="50" bestFit="true" customWidth="true" width="11.5546875" collapsed="true"/>
    <col min="53" max="53" customWidth="true" width="14.5546875" collapsed="true"/>
    <col min="59" max="59" customWidth="true" width="17.6640625" collapsed="true"/>
    <col min="60" max="60" customWidth="true" width="28.0" collapsed="true"/>
    <col min="62" max="62" customWidth="true" width="11.44140625" collapsed="true"/>
    <col min="64" max="64" bestFit="true" customWidth="true" width="17.44140625" collapsed="true"/>
    <col min="65" max="65" customWidth="true" width="17.44140625" collapsed="true"/>
    <col min="68" max="68" bestFit="true" customWidth="true" width="11.0" collapsed="true"/>
  </cols>
  <sheetData>
    <row r="1" spans="1:78" ht="15.6" x14ac:dyDescent="0.3">
      <c r="A1" t="s">
        <v>55</v>
      </c>
      <c r="B1" t="s">
        <v>56</v>
      </c>
      <c r="C1" t="s">
        <v>57</v>
      </c>
      <c r="D1" t="s">
        <v>58</v>
      </c>
      <c r="E1" s="273" t="s">
        <v>59</v>
      </c>
      <c r="F1" s="273"/>
      <c r="G1" s="273"/>
      <c r="H1" s="273"/>
      <c r="I1" s="273"/>
      <c r="J1" s="273"/>
      <c r="K1" s="273"/>
      <c r="L1" s="273"/>
      <c r="M1" s="273"/>
      <c r="N1" s="273"/>
      <c r="O1" s="273"/>
      <c r="Q1" t="s">
        <v>60</v>
      </c>
      <c r="T1" t="s">
        <v>61</v>
      </c>
      <c r="U1" s="39">
        <v>-0.05</v>
      </c>
      <c r="W1" s="33" t="s">
        <v>31</v>
      </c>
      <c r="X1" s="38">
        <v>2</v>
      </c>
      <c r="Z1" t="s">
        <v>62</v>
      </c>
      <c r="AA1" s="62">
        <v>-0.05</v>
      </c>
      <c r="AC1" t="s">
        <v>63</v>
      </c>
      <c r="AD1" s="39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6" x14ac:dyDescent="0.3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238">
        <v>1</v>
      </c>
      <c r="G2" s="97">
        <v>2</v>
      </c>
      <c r="H2" s="97">
        <v>3</v>
      </c>
      <c r="I2" s="97">
        <v>4</v>
      </c>
      <c r="J2" s="97">
        <v>5</v>
      </c>
      <c r="K2" s="97">
        <v>6</v>
      </c>
      <c r="L2" s="238">
        <v>7</v>
      </c>
      <c r="M2" s="238">
        <v>8</v>
      </c>
      <c r="N2" s="238">
        <v>9</v>
      </c>
      <c r="O2" s="6" t="s">
        <v>76</v>
      </c>
      <c r="Q2" s="23">
        <v>1000</v>
      </c>
      <c r="R2" s="39">
        <v>0</v>
      </c>
      <c r="T2" s="33" t="s">
        <v>25</v>
      </c>
      <c r="U2" s="39">
        <v>-0.05</v>
      </c>
      <c r="AE2" t="s">
        <v>77</v>
      </c>
      <c r="AX2" s="42">
        <v>1000</v>
      </c>
      <c r="AY2" s="38">
        <v>0</v>
      </c>
      <c r="BA2" t="s">
        <v>77</v>
      </c>
      <c r="BB2" s="38">
        <v>0</v>
      </c>
      <c r="BD2" t="s">
        <v>121</v>
      </c>
      <c r="BE2" s="38">
        <v>250</v>
      </c>
      <c r="BG2" s="1" t="s">
        <v>78</v>
      </c>
      <c r="BH2" s="24" t="s">
        <v>79</v>
      </c>
      <c r="BI2" s="28" t="s">
        <v>80</v>
      </c>
      <c r="BJ2" s="97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6" x14ac:dyDescent="0.3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 t="n">
        <f>ROUND(F6*0.4,2)</f>
        <v>0.17</v>
      </c>
      <c r="G3" s="7" t="n">
        <f t="shared" ref="G3:O3" si="0">ROUND(G6*0.4,2)</f>
        <v>0.17</v>
      </c>
      <c r="H3" s="7" t="n">
        <f t="shared" si="0"/>
        <v>0.17</v>
      </c>
      <c r="I3" s="7" t="n">
        <f t="shared" si="0"/>
        <v>0.17</v>
      </c>
      <c r="J3" s="7" t="n">
        <f t="shared" si="0"/>
        <v>0.17</v>
      </c>
      <c r="K3" s="7" t="n">
        <f t="shared" si="0"/>
        <v>0.17</v>
      </c>
      <c r="L3" s="7" t="n">
        <f t="shared" si="0"/>
        <v>0.19</v>
      </c>
      <c r="M3" s="7" t="n">
        <f t="shared" si="0"/>
        <v>0.21</v>
      </c>
      <c r="N3" s="7" t="n">
        <f t="shared" si="0"/>
        <v>0.23</v>
      </c>
      <c r="O3" s="7" t="n">
        <f t="shared" si="0"/>
        <v>0.25</v>
      </c>
      <c r="Q3" s="23">
        <v>2500</v>
      </c>
      <c r="R3" s="39">
        <v>-0.15</v>
      </c>
      <c r="T3" s="33" t="s">
        <v>26</v>
      </c>
      <c r="U3" s="39">
        <v>-0.05</v>
      </c>
      <c r="AE3" s="38">
        <v>100000</v>
      </c>
      <c r="AX3" s="42">
        <v>5000</v>
      </c>
      <c r="AY3" s="38">
        <v>25</v>
      </c>
      <c r="BA3" s="42">
        <v>5000</v>
      </c>
      <c r="BB3" s="38">
        <v>10</v>
      </c>
      <c r="BD3" s="43">
        <v>12</v>
      </c>
      <c r="BE3" s="38">
        <v>500</v>
      </c>
      <c r="BH3" t="s">
        <v>41</v>
      </c>
      <c r="BI3" s="29">
        <v>0</v>
      </c>
      <c r="BL3" s="44">
        <v>0</v>
      </c>
      <c r="BM3" s="45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2">
        <v>0</v>
      </c>
      <c r="BU3" t="s">
        <v>91</v>
      </c>
      <c r="BY3" t="s">
        <v>91</v>
      </c>
      <c r="BZ3" t="s">
        <v>91</v>
      </c>
    </row>
    <row r="4" spans="1:78" ht="15.6" x14ac:dyDescent="0.3">
      <c r="A4" t="s">
        <v>84</v>
      </c>
      <c r="C4" t="s">
        <v>92</v>
      </c>
      <c r="D4" t="s">
        <v>93</v>
      </c>
      <c r="E4" s="21" t="s">
        <v>13</v>
      </c>
      <c r="F4" s="7" t="n">
        <f>ROUND(F6*0.6,2)</f>
        <v>0.26</v>
      </c>
      <c r="G4" s="7" t="n">
        <f t="shared" ref="G4:O4" si="1">ROUND(G6*0.6,2)</f>
        <v>0.26</v>
      </c>
      <c r="H4" s="7" t="n">
        <f t="shared" si="1"/>
        <v>0.26</v>
      </c>
      <c r="I4" s="7" t="n">
        <f t="shared" si="1"/>
        <v>0.26</v>
      </c>
      <c r="J4" s="7" t="n">
        <f t="shared" si="1"/>
        <v>0.26</v>
      </c>
      <c r="K4" s="7" t="n">
        <f t="shared" si="1"/>
        <v>0.26</v>
      </c>
      <c r="L4" s="7" t="n">
        <f t="shared" si="1"/>
        <v>0.29</v>
      </c>
      <c r="M4" s="7" t="n">
        <f t="shared" si="1"/>
        <v>0.31</v>
      </c>
      <c r="N4" s="7" t="n">
        <f t="shared" si="1"/>
        <v>0.34</v>
      </c>
      <c r="O4" s="7" t="n">
        <f t="shared" si="1"/>
        <v>0.37</v>
      </c>
      <c r="Q4" s="23">
        <v>5000</v>
      </c>
      <c r="R4" s="39">
        <v>-0.25</v>
      </c>
      <c r="T4" s="35" t="s">
        <v>28</v>
      </c>
      <c r="U4" s="39">
        <v>-0.01</v>
      </c>
      <c r="AE4" s="38">
        <v>300000</v>
      </c>
      <c r="AX4" s="42">
        <v>10000</v>
      </c>
      <c r="AY4" s="38">
        <v>50</v>
      </c>
      <c r="BA4" s="42">
        <v>10000</v>
      </c>
      <c r="BB4" s="38">
        <v>25</v>
      </c>
      <c r="BD4" t="s">
        <v>94</v>
      </c>
      <c r="BE4" s="38">
        <v>250</v>
      </c>
      <c r="BH4" s="25" t="s">
        <v>51</v>
      </c>
      <c r="BI4" s="29">
        <v>85</v>
      </c>
      <c r="BJ4" s="9">
        <v>75</v>
      </c>
      <c r="BL4" s="44">
        <v>500</v>
      </c>
      <c r="BM4" s="45">
        <v>1000</v>
      </c>
      <c r="BN4" s="11">
        <v>85</v>
      </c>
      <c r="BP4" t="s">
        <v>17</v>
      </c>
      <c r="BQ4" s="39">
        <v>0.1</v>
      </c>
      <c r="BR4" s="39">
        <v>0.1</v>
      </c>
      <c r="BS4" t="s">
        <v>41</v>
      </c>
      <c r="BT4" s="202">
        <v>0</v>
      </c>
      <c r="BU4" s="39">
        <v>0.1</v>
      </c>
      <c r="BY4" t="s">
        <v>77</v>
      </c>
      <c r="BZ4" t="s">
        <v>77</v>
      </c>
    </row>
    <row r="5" spans="1:78" x14ac:dyDescent="0.3">
      <c r="A5" t="s">
        <v>85</v>
      </c>
      <c r="C5" t="s">
        <v>95</v>
      </c>
      <c r="D5" t="s">
        <v>120</v>
      </c>
      <c r="E5" s="21" t="s">
        <v>97</v>
      </c>
      <c r="F5" s="7" t="n">
        <f>ROUND(F6*0.8,2)</f>
        <v>0.34</v>
      </c>
      <c r="G5" s="7" t="n">
        <f t="shared" ref="G5:O5" si="2">ROUND(G6*0.8,2)</f>
        <v>0.34</v>
      </c>
      <c r="H5" s="7" t="n">
        <f t="shared" si="2"/>
        <v>0.34</v>
      </c>
      <c r="I5" s="7" t="n">
        <f t="shared" si="2"/>
        <v>0.34</v>
      </c>
      <c r="J5" s="7" t="n">
        <f t="shared" si="2"/>
        <v>0.34</v>
      </c>
      <c r="K5" s="7" t="n">
        <f t="shared" si="2"/>
        <v>0.34</v>
      </c>
      <c r="L5" s="7" t="n">
        <f t="shared" si="2"/>
        <v>0.38</v>
      </c>
      <c r="M5" s="7" t="n">
        <f t="shared" si="2"/>
        <v>0.42</v>
      </c>
      <c r="N5" s="7" t="n">
        <f t="shared" si="2"/>
        <v>0.46</v>
      </c>
      <c r="O5" s="7" t="n">
        <f t="shared" si="2"/>
        <v>0.5</v>
      </c>
      <c r="Q5" s="23">
        <v>10000</v>
      </c>
      <c r="R5" s="39">
        <v>-0.35</v>
      </c>
      <c r="AE5" s="38">
        <v>500000</v>
      </c>
      <c r="AX5" s="42">
        <v>25000</v>
      </c>
      <c r="AY5" s="38">
        <v>75</v>
      </c>
      <c r="BA5" s="42">
        <v>25000</v>
      </c>
      <c r="BB5" s="38">
        <v>50</v>
      </c>
      <c r="BH5" s="25" t="s">
        <v>200</v>
      </c>
      <c r="BI5" s="29">
        <v>155</v>
      </c>
      <c r="BJ5" s="9">
        <v>145</v>
      </c>
      <c r="BL5" s="44">
        <v>1001</v>
      </c>
      <c r="BM5" s="45">
        <v>5000</v>
      </c>
      <c r="BN5" s="11">
        <v>100</v>
      </c>
      <c r="BP5" t="s">
        <v>18</v>
      </c>
      <c r="BQ5" s="39">
        <v>0.5</v>
      </c>
      <c r="BR5" s="39">
        <v>0.5</v>
      </c>
      <c r="BS5" s="202">
        <v>0</v>
      </c>
      <c r="BT5" s="202">
        <v>0</v>
      </c>
      <c r="BU5" s="39">
        <v>0.5</v>
      </c>
      <c r="BY5" t="s">
        <v>77</v>
      </c>
      <c r="BZ5" t="s">
        <v>77</v>
      </c>
    </row>
    <row r="6" spans="1:78" x14ac:dyDescent="0.3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8">
        <v>1000000</v>
      </c>
      <c r="AX6" s="42">
        <v>50000</v>
      </c>
      <c r="AY6" s="38">
        <v>100</v>
      </c>
      <c r="BA6" s="42">
        <v>50000</v>
      </c>
      <c r="BB6" s="38">
        <v>100</v>
      </c>
      <c r="BH6" s="26" t="s">
        <v>50</v>
      </c>
      <c r="BI6" s="30">
        <v>45</v>
      </c>
      <c r="BJ6" s="10">
        <v>35</v>
      </c>
      <c r="BL6" s="44">
        <v>5001</v>
      </c>
      <c r="BM6" s="45">
        <v>10000</v>
      </c>
      <c r="BN6" s="11">
        <v>150</v>
      </c>
      <c r="BP6" t="s">
        <v>19</v>
      </c>
      <c r="BQ6" s="39">
        <v>0.1</v>
      </c>
      <c r="BR6" s="39">
        <v>0.2</v>
      </c>
      <c r="BS6" s="39">
        <v>0.3</v>
      </c>
      <c r="BT6" s="39">
        <v>0.3</v>
      </c>
      <c r="BU6" s="39">
        <v>0.1</v>
      </c>
      <c r="BY6" t="s">
        <v>77</v>
      </c>
      <c r="BZ6" t="s">
        <v>77</v>
      </c>
    </row>
    <row r="7" spans="1:78" x14ac:dyDescent="0.3">
      <c r="C7" t="s">
        <v>11</v>
      </c>
      <c r="D7" t="s">
        <v>101</v>
      </c>
      <c r="AE7" t="s">
        <v>59</v>
      </c>
      <c r="AR7" t="s">
        <v>102</v>
      </c>
      <c r="BH7" s="27" t="s">
        <v>103</v>
      </c>
      <c r="BI7" s="31">
        <v>20</v>
      </c>
      <c r="BJ7" s="11">
        <v>10</v>
      </c>
      <c r="BL7" s="44">
        <v>10001</v>
      </c>
      <c r="BM7" s="45">
        <v>9999999</v>
      </c>
      <c r="BN7" s="11">
        <v>250</v>
      </c>
      <c r="BQ7" s="59"/>
      <c r="BR7" s="59"/>
      <c r="BS7" s="59"/>
      <c r="BT7" s="59"/>
      <c r="BU7" s="59"/>
    </row>
    <row r="8" spans="1:78" x14ac:dyDescent="0.3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9"/>
      <c r="BR8" s="59"/>
      <c r="BS8" s="59"/>
      <c r="BT8" s="59"/>
      <c r="BU8" s="59"/>
    </row>
    <row r="9" spans="1:78" x14ac:dyDescent="0.3">
      <c r="C9" t="s">
        <v>114</v>
      </c>
      <c r="E9" s="273" t="s">
        <v>115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AE9" s="40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40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4" t="s">
        <v>79</v>
      </c>
      <c r="BI9" s="28" t="s">
        <v>80</v>
      </c>
      <c r="BJ9" s="97" t="s">
        <v>81</v>
      </c>
    </row>
    <row r="10" spans="1:78" x14ac:dyDescent="0.3">
      <c r="C10" t="s">
        <v>117</v>
      </c>
      <c r="E10" s="21" t="s">
        <v>72</v>
      </c>
      <c r="F10" s="238">
        <v>1</v>
      </c>
      <c r="G10" s="97">
        <v>2</v>
      </c>
      <c r="H10" s="97">
        <v>3</v>
      </c>
      <c r="I10" s="97">
        <v>4</v>
      </c>
      <c r="J10" s="97">
        <v>5</v>
      </c>
      <c r="K10" s="97">
        <v>6</v>
      </c>
      <c r="L10" s="238">
        <v>7</v>
      </c>
      <c r="M10" s="238">
        <v>8</v>
      </c>
      <c r="N10" s="238">
        <v>9</v>
      </c>
      <c r="O10" s="238">
        <v>10</v>
      </c>
      <c r="AE10" s="40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40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9">
        <v>0</v>
      </c>
    </row>
    <row r="11" spans="1:78" x14ac:dyDescent="0.3">
      <c r="E11" s="21" t="s">
        <v>90</v>
      </c>
      <c r="F11" s="7" t="n">
        <f>ROUND(F14*0.4,2)</f>
        <v>0.18</v>
      </c>
      <c r="G11" s="7" t="n">
        <f t="shared" ref="G11:O11" si="5">ROUND(G14*0.4,2)</f>
        <v>0.18</v>
      </c>
      <c r="H11" s="7" t="n">
        <f t="shared" si="5"/>
        <v>0.18</v>
      </c>
      <c r="I11" s="7" t="n">
        <f t="shared" si="5"/>
        <v>0.18</v>
      </c>
      <c r="J11" s="7" t="n">
        <f t="shared" si="5"/>
        <v>0.18</v>
      </c>
      <c r="K11" s="7" t="n">
        <f t="shared" si="5"/>
        <v>0.18</v>
      </c>
      <c r="L11" s="7" t="n">
        <f t="shared" si="5"/>
        <v>0.2</v>
      </c>
      <c r="M11" s="7" t="n">
        <f t="shared" si="5"/>
        <v>0.22</v>
      </c>
      <c r="N11" s="7" t="n">
        <f t="shared" si="5"/>
        <v>0.24</v>
      </c>
      <c r="O11" s="7" t="n">
        <f t="shared" si="5"/>
        <v>0.26</v>
      </c>
      <c r="AE11" s="40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40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5" t="s">
        <v>51</v>
      </c>
      <c r="BI11" s="29">
        <v>88</v>
      </c>
      <c r="BJ11" s="9">
        <v>78</v>
      </c>
    </row>
    <row r="12" spans="1:78" x14ac:dyDescent="0.3">
      <c r="E12" s="21" t="s">
        <v>13</v>
      </c>
      <c r="F12" s="7" t="n">
        <f>ROUND(F14*0.6,2)</f>
        <v>0.27</v>
      </c>
      <c r="G12" s="7" t="n">
        <f t="shared" ref="G12:O12" si="6">ROUND(G14*0.6,2)</f>
        <v>0.27</v>
      </c>
      <c r="H12" s="7" t="n">
        <f t="shared" si="6"/>
        <v>0.27</v>
      </c>
      <c r="I12" s="7" t="n">
        <f t="shared" si="6"/>
        <v>0.27</v>
      </c>
      <c r="J12" s="7" t="n">
        <f t="shared" si="6"/>
        <v>0.27</v>
      </c>
      <c r="K12" s="7" t="n">
        <f t="shared" si="6"/>
        <v>0.27</v>
      </c>
      <c r="L12" s="7" t="n">
        <f t="shared" si="6"/>
        <v>0.3</v>
      </c>
      <c r="M12" s="7" t="n">
        <f t="shared" si="6"/>
        <v>0.33</v>
      </c>
      <c r="N12" s="7" t="n">
        <f t="shared" si="6"/>
        <v>0.36</v>
      </c>
      <c r="O12" s="7" t="n">
        <f t="shared" si="6"/>
        <v>0.39</v>
      </c>
      <c r="AE12" s="40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40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5" t="s">
        <v>200</v>
      </c>
      <c r="BI12" s="29">
        <v>155</v>
      </c>
      <c r="BJ12" s="9">
        <v>145</v>
      </c>
    </row>
    <row r="13" spans="1:78" x14ac:dyDescent="0.3">
      <c r="E13" s="21" t="s">
        <v>97</v>
      </c>
      <c r="F13" s="7" t="n">
        <f>ROUND(F14*0.8,2)</f>
        <v>0.36</v>
      </c>
      <c r="G13" s="7" t="n">
        <f t="shared" ref="G13:O13" si="7">ROUND(G14*0.8,2)</f>
        <v>0.36</v>
      </c>
      <c r="H13" s="7" t="n">
        <f t="shared" si="7"/>
        <v>0.36</v>
      </c>
      <c r="I13" s="7" t="n">
        <f t="shared" si="7"/>
        <v>0.36</v>
      </c>
      <c r="J13" s="7" t="n">
        <f t="shared" si="7"/>
        <v>0.36</v>
      </c>
      <c r="K13" s="7" t="n">
        <f t="shared" si="7"/>
        <v>0.36</v>
      </c>
      <c r="L13" s="7" t="n">
        <f t="shared" si="7"/>
        <v>0.4</v>
      </c>
      <c r="M13" s="7" t="n">
        <f t="shared" si="7"/>
        <v>0.44</v>
      </c>
      <c r="N13" s="7" t="n">
        <f t="shared" si="7"/>
        <v>0.48</v>
      </c>
      <c r="O13" s="7" t="n">
        <f t="shared" si="7"/>
        <v>0.52</v>
      </c>
      <c r="AE13" s="40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40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6" t="s">
        <v>50</v>
      </c>
      <c r="BI13" s="30">
        <v>52</v>
      </c>
      <c r="BJ13" s="10">
        <v>42</v>
      </c>
      <c r="BM13">
        <v>1000</v>
      </c>
    </row>
    <row r="14" spans="1:78" x14ac:dyDescent="0.3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40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40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143</v>
      </c>
      <c r="BH14" s="27" t="s">
        <v>103</v>
      </c>
      <c r="BI14" s="29">
        <v>25</v>
      </c>
      <c r="BJ14" s="9">
        <v>15</v>
      </c>
    </row>
    <row r="15" spans="1:78" x14ac:dyDescent="0.3">
      <c r="A15" s="37" t="s">
        <v>69</v>
      </c>
      <c r="B15" s="37"/>
      <c r="C15" s="37" t="s">
        <v>70</v>
      </c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AE15" s="40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40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144</v>
      </c>
      <c r="BM15" t="n">
        <f>VLOOKUP(BM13,BM3:BN7,2,FALSE)</f>
        <v>85.0</v>
      </c>
    </row>
    <row r="16" spans="1:78" x14ac:dyDescent="0.3">
      <c r="A16" s="37" t="s">
        <v>83</v>
      </c>
      <c r="B16" s="37"/>
      <c r="C16" s="37" t="s">
        <v>88</v>
      </c>
      <c r="AE16" s="40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40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3">
      <c r="A17" s="37" t="s">
        <v>84</v>
      </c>
      <c r="B17" s="37"/>
      <c r="C17" s="37" t="s">
        <v>92</v>
      </c>
      <c r="E17" s="273" t="s">
        <v>102</v>
      </c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AE17" s="40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40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3">
      <c r="A18" s="37" t="s">
        <v>85</v>
      </c>
      <c r="B18" s="37"/>
      <c r="C18" s="37" t="s">
        <v>95</v>
      </c>
      <c r="E18" s="21" t="s">
        <v>72</v>
      </c>
      <c r="F18" s="238">
        <v>1</v>
      </c>
      <c r="G18" s="97">
        <v>2</v>
      </c>
      <c r="H18" s="97">
        <v>3</v>
      </c>
      <c r="I18" s="97">
        <v>4</v>
      </c>
      <c r="J18" s="97">
        <v>5</v>
      </c>
      <c r="K18" s="97">
        <v>6</v>
      </c>
      <c r="L18" s="238">
        <v>7</v>
      </c>
      <c r="M18" s="238">
        <v>8</v>
      </c>
      <c r="N18" s="238">
        <v>9</v>
      </c>
      <c r="O18" s="238">
        <v>10</v>
      </c>
      <c r="AE18" s="40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40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3">
      <c r="A19" s="37" t="s">
        <v>86</v>
      </c>
      <c r="B19" s="37"/>
      <c r="C19" s="37" t="s">
        <v>98</v>
      </c>
      <c r="E19" s="21" t="s">
        <v>90</v>
      </c>
      <c r="F19" s="7" t="n">
        <f>ROUND(F22*0.4,2)</f>
        <v>0.24</v>
      </c>
      <c r="G19" s="7" t="n">
        <f t="shared" ref="G19:O19" si="8">ROUND(G22*0.4,2)</f>
        <v>0.24</v>
      </c>
      <c r="H19" s="7" t="n">
        <f t="shared" si="8"/>
        <v>0.24</v>
      </c>
      <c r="I19" s="7" t="n">
        <f t="shared" si="8"/>
        <v>0.24</v>
      </c>
      <c r="J19" s="7" t="n">
        <f t="shared" si="8"/>
        <v>0.24</v>
      </c>
      <c r="K19" s="7" t="n">
        <f t="shared" si="8"/>
        <v>0.24</v>
      </c>
      <c r="L19" s="7" t="n">
        <f t="shared" si="8"/>
        <v>0.26</v>
      </c>
      <c r="M19" s="7" t="n">
        <f t="shared" si="8"/>
        <v>0.28</v>
      </c>
      <c r="N19" s="7" t="n">
        <f t="shared" si="8"/>
        <v>0.34</v>
      </c>
      <c r="O19" s="7" t="n">
        <f t="shared" si="8"/>
        <v>0.4</v>
      </c>
      <c r="AE19" s="40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40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3">
      <c r="A20" s="37" t="s">
        <v>9</v>
      </c>
      <c r="B20" s="37"/>
      <c r="C20" s="37" t="s">
        <v>11</v>
      </c>
      <c r="E20" s="21" t="s">
        <v>13</v>
      </c>
      <c r="F20" s="7" t="n">
        <f>ROUND(F22*0.6,2)</f>
        <v>0.36</v>
      </c>
      <c r="G20" s="7" t="n">
        <f t="shared" ref="G20:O20" si="9">ROUND(G22*0.6,2)</f>
        <v>0.36</v>
      </c>
      <c r="H20" s="7" t="n">
        <f t="shared" si="9"/>
        <v>0.36</v>
      </c>
      <c r="I20" s="7" t="n">
        <f t="shared" si="9"/>
        <v>0.36</v>
      </c>
      <c r="J20" s="7" t="n">
        <f t="shared" si="9"/>
        <v>0.36</v>
      </c>
      <c r="K20" s="7" t="n">
        <f t="shared" si="9"/>
        <v>0.36</v>
      </c>
      <c r="L20" s="7" t="n">
        <f t="shared" si="9"/>
        <v>0.39</v>
      </c>
      <c r="M20" s="7" t="n">
        <f t="shared" si="9"/>
        <v>0.42</v>
      </c>
      <c r="N20" s="7" t="n">
        <f t="shared" si="9"/>
        <v>0.51</v>
      </c>
      <c r="O20" s="7" t="n">
        <f t="shared" si="9"/>
        <v>0.6</v>
      </c>
      <c r="AE20" s="40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40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3">
      <c r="A21" s="37" t="s">
        <v>87</v>
      </c>
      <c r="B21" s="37"/>
      <c r="C21" s="37" t="s">
        <v>104</v>
      </c>
      <c r="E21" s="21" t="s">
        <v>97</v>
      </c>
      <c r="F21" s="7" t="n">
        <f>ROUND(F22*0.8,2)</f>
        <v>0.48</v>
      </c>
      <c r="G21" s="7" t="n">
        <f t="shared" ref="G21:O21" si="10">ROUND(G22*0.8,2)</f>
        <v>0.48</v>
      </c>
      <c r="H21" s="7" t="n">
        <f t="shared" si="10"/>
        <v>0.48</v>
      </c>
      <c r="I21" s="7" t="n">
        <f t="shared" si="10"/>
        <v>0.48</v>
      </c>
      <c r="J21" s="7" t="n">
        <f t="shared" si="10"/>
        <v>0.48</v>
      </c>
      <c r="K21" s="7" t="n">
        <f t="shared" si="10"/>
        <v>0.48</v>
      </c>
      <c r="L21" s="7" t="n">
        <f t="shared" si="10"/>
        <v>0.52</v>
      </c>
      <c r="M21" s="7" t="n">
        <f t="shared" si="10"/>
        <v>0.56</v>
      </c>
      <c r="N21" s="7" t="n">
        <f t="shared" si="10"/>
        <v>0.68</v>
      </c>
      <c r="O21" s="7" t="n">
        <f t="shared" si="10"/>
        <v>0.8</v>
      </c>
      <c r="AE21" s="41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1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3">
      <c r="A22" s="37"/>
      <c r="B22" s="37"/>
      <c r="C22" s="37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1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1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3">
      <c r="A23" s="37"/>
      <c r="B23" s="37"/>
      <c r="C23" s="37" t="s">
        <v>117</v>
      </c>
      <c r="AE23" s="41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1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146</v>
      </c>
    </row>
    <row r="24" spans="1:59" x14ac:dyDescent="0.3">
      <c r="A24" s="37"/>
      <c r="B24" s="37"/>
      <c r="C24" s="37" t="s">
        <v>71</v>
      </c>
      <c r="AE24" s="41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1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3">
      <c r="A25" s="37"/>
      <c r="B25" s="37"/>
      <c r="C25" s="37" t="s">
        <v>89</v>
      </c>
      <c r="E25" s="273" t="s">
        <v>118</v>
      </c>
      <c r="F25" s="273"/>
      <c r="G25" s="273"/>
      <c r="H25" s="273"/>
      <c r="I25" s="273"/>
      <c r="J25" s="273"/>
      <c r="K25" s="273"/>
      <c r="L25" s="273"/>
      <c r="M25" s="273"/>
      <c r="N25" s="273"/>
      <c r="O25" s="273"/>
    </row>
    <row r="26" spans="1:59" x14ac:dyDescent="0.3">
      <c r="A26" s="37"/>
      <c r="B26" s="37"/>
      <c r="C26" s="37" t="s">
        <v>93</v>
      </c>
      <c r="E26" s="21" t="s">
        <v>72</v>
      </c>
      <c r="F26" s="238">
        <v>1</v>
      </c>
      <c r="G26" s="97">
        <v>2</v>
      </c>
      <c r="H26" s="97">
        <v>3</v>
      </c>
      <c r="I26" s="97">
        <v>4</v>
      </c>
      <c r="J26" s="97">
        <v>5</v>
      </c>
      <c r="K26" s="97">
        <v>6</v>
      </c>
      <c r="L26" s="238">
        <v>7</v>
      </c>
      <c r="M26" s="238">
        <v>8</v>
      </c>
      <c r="N26" s="238">
        <v>9</v>
      </c>
      <c r="O26" s="238">
        <v>10</v>
      </c>
    </row>
    <row r="27" spans="1:59" x14ac:dyDescent="0.3">
      <c r="A27" s="37"/>
      <c r="B27" s="37"/>
      <c r="C27" s="37" t="s">
        <v>96</v>
      </c>
      <c r="E27" s="21" t="s">
        <v>90</v>
      </c>
      <c r="F27" s="7" t="n">
        <f>ROUND(F30*0.4,2)</f>
        <v>0.24</v>
      </c>
      <c r="G27" s="7" t="n">
        <f t="shared" ref="G27:O27" si="11">ROUND(G30*0.4,2)</f>
        <v>0.24</v>
      </c>
      <c r="H27" s="7" t="n">
        <f t="shared" si="11"/>
        <v>0.24</v>
      </c>
      <c r="I27" s="7" t="n">
        <f t="shared" si="11"/>
        <v>0.24</v>
      </c>
      <c r="J27" s="7" t="n">
        <f t="shared" si="11"/>
        <v>0.24</v>
      </c>
      <c r="K27" s="7" t="n">
        <f t="shared" si="11"/>
        <v>0.24</v>
      </c>
      <c r="L27" s="7" t="n">
        <f t="shared" si="11"/>
        <v>0.26</v>
      </c>
      <c r="M27" s="7" t="n">
        <f t="shared" si="11"/>
        <v>0.28</v>
      </c>
      <c r="N27" s="7" t="n">
        <f t="shared" si="11"/>
        <v>0.34</v>
      </c>
      <c r="O27" s="7" t="n">
        <f t="shared" si="11"/>
        <v>0.4</v>
      </c>
    </row>
    <row r="28" spans="1:59" x14ac:dyDescent="0.3">
      <c r="A28" s="37"/>
      <c r="B28" s="37"/>
      <c r="C28" s="37" t="s">
        <v>99</v>
      </c>
      <c r="E28" s="21" t="s">
        <v>13</v>
      </c>
      <c r="F28" s="7" t="n">
        <f>ROUND(F30*0.6,2)</f>
        <v>0.36</v>
      </c>
      <c r="G28" s="7" t="n">
        <f t="shared" ref="G28:O28" si="12">ROUND(G30*0.6,2)</f>
        <v>0.36</v>
      </c>
      <c r="H28" s="7" t="n">
        <f t="shared" si="12"/>
        <v>0.36</v>
      </c>
      <c r="I28" s="7" t="n">
        <f t="shared" si="12"/>
        <v>0.36</v>
      </c>
      <c r="J28" s="7" t="n">
        <f t="shared" si="12"/>
        <v>0.36</v>
      </c>
      <c r="K28" s="7" t="n">
        <f t="shared" si="12"/>
        <v>0.36</v>
      </c>
      <c r="L28" s="7" t="n">
        <f t="shared" si="12"/>
        <v>0.39</v>
      </c>
      <c r="M28" s="7" t="n">
        <f t="shared" si="12"/>
        <v>0.42</v>
      </c>
      <c r="N28" s="7" t="n">
        <f t="shared" si="12"/>
        <v>0.51</v>
      </c>
      <c r="O28" s="7" t="n">
        <f t="shared" si="12"/>
        <v>0.6</v>
      </c>
      <c r="AE28" t="s">
        <v>115</v>
      </c>
      <c r="AR28" t="s">
        <v>118</v>
      </c>
    </row>
    <row r="29" spans="1:59" x14ac:dyDescent="0.3">
      <c r="A29" s="37"/>
      <c r="B29" s="37"/>
      <c r="C29" s="37" t="s">
        <v>101</v>
      </c>
      <c r="E29" s="21" t="s">
        <v>97</v>
      </c>
      <c r="F29" s="7" t="n">
        <f>ROUND(F30*0.8,2)</f>
        <v>0.48</v>
      </c>
      <c r="G29" s="7" t="n">
        <f t="shared" ref="G29:O29" si="13">ROUND(G30*0.8,2)</f>
        <v>0.48</v>
      </c>
      <c r="H29" s="7" t="n">
        <f t="shared" si="13"/>
        <v>0.48</v>
      </c>
      <c r="I29" s="7" t="n">
        <f t="shared" si="13"/>
        <v>0.48</v>
      </c>
      <c r="J29" s="7" t="n">
        <f t="shared" si="13"/>
        <v>0.48</v>
      </c>
      <c r="K29" s="7" t="n">
        <f t="shared" si="13"/>
        <v>0.48</v>
      </c>
      <c r="L29" s="7" t="n">
        <f t="shared" si="13"/>
        <v>0.52</v>
      </c>
      <c r="M29" s="7" t="n">
        <f t="shared" si="13"/>
        <v>0.56</v>
      </c>
      <c r="N29" s="7" t="n">
        <f t="shared" si="13"/>
        <v>0.68</v>
      </c>
      <c r="O29" s="7" t="n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3">
      <c r="A30" s="37"/>
      <c r="B30" s="37"/>
      <c r="C30" s="37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40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40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3">
      <c r="AE31" s="40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40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3">
      <c r="AE32" s="40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40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3">
      <c r="AE33" s="40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40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3">
      <c r="AE34" s="40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40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3">
      <c r="A35" t="s">
        <v>119</v>
      </c>
      <c r="AE35" s="40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40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3">
      <c r="A36" t="s">
        <v>69</v>
      </c>
      <c r="B36" t="s">
        <v>83</v>
      </c>
      <c r="C36" t="s">
        <v>84</v>
      </c>
      <c r="D36" t="s">
        <v>85</v>
      </c>
      <c r="AE36" s="40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40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3">
      <c r="A37" s="61" t="s">
        <v>70</v>
      </c>
      <c r="B37" s="61" t="s">
        <v>70</v>
      </c>
      <c r="C37" s="61" t="s">
        <v>114</v>
      </c>
      <c r="D37" s="61" t="s">
        <v>70</v>
      </c>
      <c r="AE37" s="40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40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3">
      <c r="A38" s="61" t="s">
        <v>88</v>
      </c>
      <c r="B38" s="61" t="s">
        <v>88</v>
      </c>
      <c r="D38" s="61" t="s">
        <v>88</v>
      </c>
      <c r="AE38" s="40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40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3">
      <c r="A39" s="61" t="s">
        <v>92</v>
      </c>
      <c r="B39" s="61" t="s">
        <v>92</v>
      </c>
      <c r="D39" s="61" t="s">
        <v>92</v>
      </c>
      <c r="AE39" s="40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40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3">
      <c r="A40" s="61" t="s">
        <v>95</v>
      </c>
      <c r="B40" s="61" t="s">
        <v>95</v>
      </c>
      <c r="D40" s="61" t="s">
        <v>95</v>
      </c>
      <c r="AE40" s="40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40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3">
      <c r="A41" s="61" t="s">
        <v>98</v>
      </c>
      <c r="B41" s="61" t="s">
        <v>98</v>
      </c>
      <c r="D41" s="61" t="s">
        <v>98</v>
      </c>
      <c r="AE41" s="40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40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3">
      <c r="A42" s="61" t="s">
        <v>11</v>
      </c>
      <c r="B42" s="61" t="s">
        <v>11</v>
      </c>
      <c r="D42" s="61" t="s">
        <v>11</v>
      </c>
      <c r="AE42" s="41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1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3">
      <c r="A43" s="61" t="s">
        <v>104</v>
      </c>
      <c r="B43" s="61" t="s">
        <v>104</v>
      </c>
      <c r="D43" s="61" t="s">
        <v>104</v>
      </c>
      <c r="AE43" s="41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1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3">
      <c r="A44" s="61" t="s">
        <v>71</v>
      </c>
      <c r="B44" s="61" t="s">
        <v>71</v>
      </c>
      <c r="D44" s="61" t="s">
        <v>114</v>
      </c>
      <c r="AE44" s="41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1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3">
      <c r="A45" s="61" t="s">
        <v>89</v>
      </c>
      <c r="B45" s="61" t="s">
        <v>89</v>
      </c>
      <c r="D45" s="61" t="s">
        <v>117</v>
      </c>
      <c r="AE45" s="41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1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3">
      <c r="A46" s="61" t="s">
        <v>93</v>
      </c>
      <c r="B46" s="61" t="s">
        <v>93</v>
      </c>
    </row>
    <row r="47" spans="1:48" x14ac:dyDescent="0.3">
      <c r="A47" s="61" t="s">
        <v>120</v>
      </c>
      <c r="B47" s="61" t="s">
        <v>120</v>
      </c>
    </row>
    <row r="48" spans="1:48" x14ac:dyDescent="0.3">
      <c r="A48" s="61" t="s">
        <v>101</v>
      </c>
      <c r="B48" s="61" t="s">
        <v>101</v>
      </c>
    </row>
    <row r="49" spans="1:4" x14ac:dyDescent="0.3">
      <c r="A49" s="61" t="s">
        <v>105</v>
      </c>
      <c r="B49" s="61" t="s">
        <v>105</v>
      </c>
    </row>
    <row r="50" spans="1:4" x14ac:dyDescent="0.3">
      <c r="B50" s="32"/>
    </row>
    <row r="53" spans="1:4" x14ac:dyDescent="0.3">
      <c r="A53" t="s">
        <v>86</v>
      </c>
      <c r="B53" t="s">
        <v>9</v>
      </c>
      <c r="C53" t="s">
        <v>87</v>
      </c>
    </row>
    <row r="54" spans="1:4" x14ac:dyDescent="0.3">
      <c r="A54" s="61" t="s">
        <v>70</v>
      </c>
      <c r="B54" s="61" t="s">
        <v>70</v>
      </c>
      <c r="C54" s="61" t="s">
        <v>70</v>
      </c>
      <c r="D54" s="63" t="s">
        <v>108</v>
      </c>
    </row>
    <row r="55" spans="1:4" x14ac:dyDescent="0.3">
      <c r="A55" s="61" t="s">
        <v>88</v>
      </c>
      <c r="B55" s="61" t="s">
        <v>88</v>
      </c>
      <c r="C55" s="61" t="s">
        <v>88</v>
      </c>
      <c r="D55" s="63" t="s">
        <v>110</v>
      </c>
    </row>
    <row r="56" spans="1:4" x14ac:dyDescent="0.3">
      <c r="A56" s="61" t="s">
        <v>92</v>
      </c>
      <c r="B56" s="61" t="s">
        <v>92</v>
      </c>
      <c r="C56" s="61" t="s">
        <v>92</v>
      </c>
      <c r="D56" s="63" t="s">
        <v>35</v>
      </c>
    </row>
    <row r="57" spans="1:4" x14ac:dyDescent="0.3">
      <c r="A57" s="61" t="s">
        <v>95</v>
      </c>
      <c r="B57" s="61" t="s">
        <v>95</v>
      </c>
      <c r="C57" s="61" t="s">
        <v>95</v>
      </c>
      <c r="D57" s="63" t="s">
        <v>111</v>
      </c>
    </row>
    <row r="58" spans="1:4" x14ac:dyDescent="0.3">
      <c r="A58" s="61" t="s">
        <v>98</v>
      </c>
      <c r="B58" s="61" t="s">
        <v>98</v>
      </c>
      <c r="C58" s="61" t="s">
        <v>98</v>
      </c>
    </row>
    <row r="59" spans="1:4" x14ac:dyDescent="0.3">
      <c r="A59" s="61" t="s">
        <v>11</v>
      </c>
      <c r="B59" s="61" t="s">
        <v>11</v>
      </c>
      <c r="C59" s="61" t="s">
        <v>11</v>
      </c>
    </row>
    <row r="60" spans="1:4" x14ac:dyDescent="0.3">
      <c r="A60" s="61" t="s">
        <v>104</v>
      </c>
      <c r="B60" s="61" t="s">
        <v>104</v>
      </c>
      <c r="C60" s="61" t="s">
        <v>104</v>
      </c>
    </row>
    <row r="61" spans="1:4" x14ac:dyDescent="0.3">
      <c r="A61" s="61" t="s">
        <v>71</v>
      </c>
      <c r="B61" s="61" t="s">
        <v>114</v>
      </c>
      <c r="C61" s="61" t="s">
        <v>114</v>
      </c>
    </row>
    <row r="62" spans="1:4" x14ac:dyDescent="0.3">
      <c r="A62" s="61" t="s">
        <v>89</v>
      </c>
      <c r="B62" s="61" t="s">
        <v>117</v>
      </c>
      <c r="C62" s="61" t="s">
        <v>117</v>
      </c>
    </row>
    <row r="63" spans="1:4" x14ac:dyDescent="0.3">
      <c r="A63" s="61" t="s">
        <v>93</v>
      </c>
      <c r="B63" s="61" t="s">
        <v>71</v>
      </c>
      <c r="C63" s="61" t="s">
        <v>71</v>
      </c>
    </row>
    <row r="64" spans="1:4" x14ac:dyDescent="0.3">
      <c r="A64" s="61" t="s">
        <v>120</v>
      </c>
      <c r="B64" s="61" t="s">
        <v>89</v>
      </c>
      <c r="C64" s="61" t="s">
        <v>89</v>
      </c>
    </row>
    <row r="65" spans="1:3" x14ac:dyDescent="0.3">
      <c r="A65" s="61" t="s">
        <v>101</v>
      </c>
      <c r="B65" s="61" t="s">
        <v>93</v>
      </c>
      <c r="C65" s="61" t="s">
        <v>93</v>
      </c>
    </row>
    <row r="66" spans="1:3" x14ac:dyDescent="0.3">
      <c r="A66" s="61" t="s">
        <v>105</v>
      </c>
      <c r="B66" s="61" t="s">
        <v>120</v>
      </c>
      <c r="C66" s="61" t="s">
        <v>120</v>
      </c>
    </row>
    <row r="67" spans="1:3" x14ac:dyDescent="0.3">
      <c r="B67" s="61" t="s">
        <v>99</v>
      </c>
      <c r="C67" s="61" t="s">
        <v>99</v>
      </c>
    </row>
    <row r="68" spans="1:3" x14ac:dyDescent="0.3">
      <c r="B68" s="61" t="s">
        <v>101</v>
      </c>
      <c r="C68" s="61" t="s">
        <v>101</v>
      </c>
    </row>
    <row r="69" spans="1:3" x14ac:dyDescent="0.3">
      <c r="B69" s="61" t="s">
        <v>105</v>
      </c>
      <c r="C69" s="61" t="s">
        <v>105</v>
      </c>
    </row>
    <row r="72" spans="1:3" x14ac:dyDescent="0.3">
      <c r="A72" t="s">
        <v>27</v>
      </c>
    </row>
    <row r="73" spans="1:3" x14ac:dyDescent="0.3">
      <c r="A73" t="s">
        <v>21</v>
      </c>
    </row>
    <row r="74" spans="1:3" x14ac:dyDescent="0.3">
      <c r="A74" t="s">
        <v>41</v>
      </c>
    </row>
    <row r="80" spans="1:3" x14ac:dyDescent="0.3">
      <c r="A80" t="s">
        <v>123</v>
      </c>
      <c r="B80" t="s">
        <v>124</v>
      </c>
    </row>
    <row r="81" spans="1:2" x14ac:dyDescent="0.3">
      <c r="A81" t="s">
        <v>71</v>
      </c>
      <c r="B81" t="s">
        <v>125</v>
      </c>
    </row>
    <row r="82" spans="1:2" x14ac:dyDescent="0.3">
      <c r="A82" t="s">
        <v>89</v>
      </c>
      <c r="B82" t="s">
        <v>126</v>
      </c>
    </row>
    <row r="83" spans="1:2" x14ac:dyDescent="0.3">
      <c r="A83" t="s">
        <v>93</v>
      </c>
      <c r="B83" t="s">
        <v>127</v>
      </c>
    </row>
    <row r="84" spans="1:2" x14ac:dyDescent="0.3">
      <c r="A84" t="s">
        <v>120</v>
      </c>
      <c r="B84" t="s">
        <v>128</v>
      </c>
    </row>
    <row r="85" spans="1:2" x14ac:dyDescent="0.3">
      <c r="A85" t="s">
        <v>101</v>
      </c>
      <c r="B85" t="s">
        <v>129</v>
      </c>
    </row>
    <row r="86" spans="1:2" x14ac:dyDescent="0.3">
      <c r="A86" t="s">
        <v>105</v>
      </c>
      <c r="B86" t="s">
        <v>130</v>
      </c>
    </row>
    <row r="87" spans="1:2" x14ac:dyDescent="0.3">
      <c r="B87" t="s">
        <v>131</v>
      </c>
    </row>
    <row r="88" spans="1:2" x14ac:dyDescent="0.3">
      <c r="B88" t="s">
        <v>132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BAF-D7A4-4090-ABF0-7301C40E55C6}">
  <dimension ref="A1:CW7"/>
  <sheetViews>
    <sheetView workbookViewId="0">
      <selection activeCell="D11" sqref="D11"/>
    </sheetView>
  </sheetViews>
  <sheetFormatPr defaultRowHeight="14.4" x14ac:dyDescent="0.3"/>
  <cols>
    <col min="1" max="1" bestFit="true" customWidth="true" width="8.0" collapsed="true"/>
    <col min="2" max="2" bestFit="true" customWidth="true" width="9.88671875" collapsed="true"/>
    <col min="3" max="3" bestFit="true" customWidth="true" width="14.33203125" collapsed="true"/>
    <col min="4" max="4" bestFit="true" customWidth="true" width="10.77734375" collapsed="true"/>
    <col min="5" max="5" bestFit="true" customWidth="true" width="9.109375" collapsed="true"/>
    <col min="6" max="6" bestFit="true" customWidth="true" width="10.5546875" collapsed="true"/>
    <col min="7" max="8" bestFit="true" customWidth="true" width="10.44140625" collapsed="true"/>
    <col min="9" max="9" bestFit="true" customWidth="true" width="10.5546875" collapsed="true"/>
    <col min="10" max="10" bestFit="true" customWidth="true" width="35.77734375" collapsed="true"/>
    <col min="11" max="11" bestFit="true" customWidth="true" width="5.44140625" collapsed="true"/>
    <col min="12" max="12" bestFit="true" customWidth="true" width="10.88671875" collapsed="true"/>
    <col min="13" max="13" bestFit="true" customWidth="true" width="13.109375" collapsed="true"/>
    <col min="14" max="14" bestFit="true" customWidth="true" width="7.44140625" collapsed="true"/>
    <col min="15" max="15" bestFit="true" customWidth="true" width="13.33203125" collapsed="true"/>
    <col min="16" max="16" bestFit="true" customWidth="true" width="15.88671875" collapsed="true"/>
    <col min="17" max="17" bestFit="true" customWidth="true" width="17.77734375" collapsed="true"/>
    <col min="18" max="19" bestFit="true" customWidth="true" width="35.77734375" collapsed="true"/>
    <col min="20" max="20" bestFit="true" customWidth="true" width="14.44140625" collapsed="true"/>
    <col min="21" max="21" bestFit="true" customWidth="true" width="36.77734375" collapsed="true"/>
    <col min="22" max="22" bestFit="true" customWidth="true" width="13.21875" collapsed="true"/>
    <col min="23" max="23" bestFit="true" customWidth="true" width="14.44140625" collapsed="true"/>
    <col min="24" max="24" bestFit="true" customWidth="true" width="10.109375" collapsed="true"/>
    <col min="25" max="25" bestFit="true" customWidth="true" width="11.5546875" collapsed="true"/>
    <col min="26" max="27" bestFit="true" customWidth="true" width="11.44140625" collapsed="true"/>
    <col min="28" max="28" bestFit="true" customWidth="true" width="11.5546875" collapsed="true"/>
    <col min="29" max="29" bestFit="true" customWidth="true" width="36.77734375" collapsed="true"/>
    <col min="30" max="30" bestFit="true" customWidth="true" width="5.6640625" collapsed="true"/>
    <col min="31" max="31" bestFit="true" customWidth="true" width="11.88671875" collapsed="true"/>
    <col min="32" max="32" bestFit="true" customWidth="true" width="16.88671875" collapsed="true"/>
    <col min="33" max="33" bestFit="true" customWidth="true" width="13.88671875" collapsed="true"/>
    <col min="34" max="34" customWidth="true" width="13.88671875" collapsed="true"/>
    <col min="35" max="35" bestFit="true" customWidth="true" width="10.109375" collapsed="true"/>
    <col min="36" max="36" bestFit="true" customWidth="true" width="11.5546875" collapsed="true"/>
    <col min="37" max="38" bestFit="true" customWidth="true" width="11.44140625" collapsed="true"/>
    <col min="39" max="39" bestFit="true" customWidth="true" width="11.5546875" collapsed="true"/>
    <col min="40" max="40" bestFit="true" customWidth="true" width="36.77734375" collapsed="true"/>
    <col min="41" max="41" bestFit="true" customWidth="true" width="5.6640625" collapsed="true"/>
    <col min="42" max="42" bestFit="true" customWidth="true" width="11.88671875" collapsed="true"/>
    <col min="43" max="43" bestFit="true" customWidth="true" width="16.88671875" collapsed="true"/>
    <col min="44" max="44" bestFit="true" customWidth="true" width="13.88671875" collapsed="true"/>
  </cols>
  <sheetData>
    <row r="1" spans="1:101" s="207" customFormat="1" ht="26.4" customHeight="1" x14ac:dyDescent="0.3">
      <c r="A1" s="230" t="s">
        <v>6</v>
      </c>
      <c r="B1" s="230" t="s">
        <v>162</v>
      </c>
      <c r="C1" s="230" t="s">
        <v>10</v>
      </c>
      <c r="D1" s="230" t="s">
        <v>12</v>
      </c>
      <c r="E1" s="231" t="s">
        <v>163</v>
      </c>
      <c r="F1" s="231" t="s">
        <v>196</v>
      </c>
      <c r="G1" s="232" t="s">
        <v>197</v>
      </c>
      <c r="H1" s="232" t="s">
        <v>198</v>
      </c>
      <c r="I1" s="232" t="s">
        <v>199</v>
      </c>
      <c r="J1" s="230" t="s">
        <v>26</v>
      </c>
      <c r="K1" s="230" t="s">
        <v>29</v>
      </c>
      <c r="L1" s="231" t="s">
        <v>164</v>
      </c>
      <c r="M1" s="230" t="s">
        <v>34</v>
      </c>
      <c r="N1" s="230" t="s">
        <v>36</v>
      </c>
      <c r="O1" s="230" t="s">
        <v>39</v>
      </c>
      <c r="P1" s="230" t="s">
        <v>201</v>
      </c>
      <c r="Q1" s="230" t="s">
        <v>42</v>
      </c>
      <c r="R1" s="230" t="s">
        <v>43</v>
      </c>
      <c r="S1" s="230" t="s">
        <v>44</v>
      </c>
      <c r="T1" s="230" t="s">
        <v>20</v>
      </c>
      <c r="U1" s="230" t="s">
        <v>22</v>
      </c>
      <c r="V1" s="230" t="s">
        <v>46</v>
      </c>
      <c r="W1" s="230" t="s">
        <v>79</v>
      </c>
      <c r="X1" s="8" t="s">
        <v>175</v>
      </c>
      <c r="Y1" s="8" t="s">
        <v>176</v>
      </c>
      <c r="Z1" s="8" t="s">
        <v>177</v>
      </c>
      <c r="AA1" s="8" t="s">
        <v>178</v>
      </c>
      <c r="AB1" s="8" t="s">
        <v>179</v>
      </c>
      <c r="AC1" s="8" t="s">
        <v>180</v>
      </c>
      <c r="AD1" s="8" t="s">
        <v>181</v>
      </c>
      <c r="AE1" s="8" t="s">
        <v>182</v>
      </c>
      <c r="AF1" s="8" t="s">
        <v>183</v>
      </c>
      <c r="AG1" s="8" t="s">
        <v>184</v>
      </c>
      <c r="AH1" s="230" t="s">
        <v>183</v>
      </c>
      <c r="AI1" s="8" t="s">
        <v>185</v>
      </c>
      <c r="AJ1" s="8" t="s">
        <v>186</v>
      </c>
      <c r="AK1" s="8" t="s">
        <v>187</v>
      </c>
      <c r="AL1" s="8" t="s">
        <v>188</v>
      </c>
      <c r="AM1" s="8" t="s">
        <v>189</v>
      </c>
      <c r="AN1" s="8" t="s">
        <v>190</v>
      </c>
      <c r="AO1" s="8" t="s">
        <v>191</v>
      </c>
      <c r="AP1" s="8" t="s">
        <v>192</v>
      </c>
      <c r="AQ1" s="8" t="s">
        <v>193</v>
      </c>
      <c r="AR1" s="8" t="s">
        <v>194</v>
      </c>
      <c r="AS1" s="230" t="s">
        <v>193</v>
      </c>
    </row>
    <row r="2" spans="1:101" s="207" customFormat="1" ht="26.4" customHeight="1" x14ac:dyDescent="0.3">
      <c r="A2" s="225" t="s">
        <v>7</v>
      </c>
      <c r="B2" s="227" t="s">
        <v>9</v>
      </c>
      <c r="C2" s="225" t="s">
        <v>120</v>
      </c>
      <c r="D2" s="225" t="s">
        <v>172</v>
      </c>
      <c r="E2" s="235" t="n">
        <v>3.0</v>
      </c>
      <c r="F2" s="228" t="n">
        <v>410000.0</v>
      </c>
      <c r="G2" s="226" t="n">
        <v>29000.0</v>
      </c>
      <c r="H2" s="226" t="n">
        <v>28000.0</v>
      </c>
      <c r="I2" s="226" t="n">
        <v>27000.0</v>
      </c>
      <c r="J2" s="225" t="s">
        <v>27</v>
      </c>
      <c r="K2" s="229" t="n">
        <v>1000.0</v>
      </c>
      <c r="L2" s="225" t="n">
        <v>1400.0</v>
      </c>
      <c r="M2" s="225" t="n">
        <v>1.0</v>
      </c>
      <c r="N2" s="225" t="n">
        <v>100000.0</v>
      </c>
      <c r="O2" s="225" t="s">
        <v>195</v>
      </c>
      <c r="P2" s="225" t="s">
        <v>27</v>
      </c>
      <c r="Q2" s="225" t="n">
        <v>0.0</v>
      </c>
      <c r="R2" s="225" t="s">
        <v>195</v>
      </c>
      <c r="S2" s="225" t="n">
        <v>25000.0</v>
      </c>
      <c r="T2" s="225" t="s">
        <v>21</v>
      </c>
      <c r="U2" s="225" t="n">
        <v>0.0</v>
      </c>
      <c r="V2" s="225" t="s">
        <v>47</v>
      </c>
      <c r="W2" s="225" t="s">
        <v>103</v>
      </c>
      <c r="X2" s="234"/>
      <c r="Y2" s="228"/>
      <c r="Z2" s="226"/>
      <c r="AA2" s="226"/>
      <c r="AB2" s="226"/>
      <c r="AC2" s="225"/>
      <c r="AD2" s="229"/>
      <c r="AE2" s="225"/>
      <c r="AF2" s="225"/>
      <c r="AG2" s="225"/>
      <c r="AH2" s="225"/>
      <c r="AI2" s="226"/>
      <c r="AJ2" s="228"/>
      <c r="AK2" s="226"/>
      <c r="AL2" s="226"/>
      <c r="AM2" s="226"/>
      <c r="AN2" s="225"/>
      <c r="AO2" s="237"/>
      <c r="AP2" s="225"/>
      <c r="AQ2" s="225"/>
      <c r="AR2" s="225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x14ac:dyDescent="0.3">
      <c r="A3" s="225"/>
      <c r="B3" s="227"/>
      <c r="C3" s="225"/>
      <c r="D3" s="225"/>
      <c r="E3" s="226"/>
      <c r="F3" s="228"/>
      <c r="G3" s="226"/>
      <c r="H3" s="226"/>
      <c r="I3" s="226"/>
      <c r="J3" s="225"/>
      <c r="K3" s="229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</row>
    <row r="4" spans="1:101" x14ac:dyDescent="0.3">
      <c r="A4" s="225"/>
      <c r="B4" s="227"/>
      <c r="C4" s="225"/>
      <c r="D4" s="225"/>
      <c r="E4" s="226"/>
      <c r="F4" s="228"/>
      <c r="G4" s="226"/>
      <c r="H4" s="226"/>
      <c r="I4" s="226"/>
      <c r="J4" s="225"/>
      <c r="K4" s="229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</row>
    <row r="5" spans="1:101" x14ac:dyDescent="0.3">
      <c r="A5" s="228" t="n">
        <f>ROUND(Rater!F56,2)</f>
        <v>3736.0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</row>
    <row r="6" spans="1:101" x14ac:dyDescent="0.3">
      <c r="A6" s="228" t="n">
        <f>ROUND(Rater!F64,2)</f>
        <v>232.08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</row>
    <row r="7" spans="1:101" x14ac:dyDescent="0.3">
      <c r="A7" s="228" t="n">
        <f>ROUND(Rater!F65,2)</f>
        <v>3968.08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Reference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2021-06-11T19:19:50Z</dcterms:created>
  <dc:creator>Todd Wood</dc:creator>
  <cp:lastModifiedBy>Pratik Nishi</cp:lastModifiedBy>
  <dcterms:modified xsi:type="dcterms:W3CDTF">2021-12-02T06:45:41Z</dcterms:modified>
</cp:coreProperties>
</file>