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autoCompressPictures="0"/>
  <mc:AlternateContent>
    <mc:Choice Requires="x15">
      <x15ac:absPath xmlns:x15ac="http://schemas.microsoft.com/office/spreadsheetml/2010/11/ac" url="E:\AUTOMATION_Git\05012022\NEEE\src\test\resources\Manual Rater\"/>
    </mc:Choice>
  </mc:AlternateContent>
  <xr:revisionPtr revIDLastSave="0" documentId="13_ncr:1_{9677B30A-3513-4EF6-8415-A9A791ADCAFA}" xr6:coauthVersionLast="47" xr6:coauthVersionMax="47" xr10:uidLastSave="{00000000-0000-0000-0000-000000000000}"/>
  <bookViews>
    <workbookView xWindow="-120" yWindow="-120" windowWidth="20730" windowHeight="11160" tabRatio="563" activeTab="4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<sst xmlns="http://schemas.openxmlformats.org/spreadsheetml/2006/main" count="615" uniqueCount="211">
  <si>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</si>
  <si>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</si>
  <si>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</si>
  <si>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</si>
  <si>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</si>
  <si>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</si>
  <si>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</si>
  <si>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</si>
  <si>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</si>
  <si>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</si>
  <si>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</si>
  <si>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</si>
  <si>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</si>
  <si>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</si>
  <si>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</si>
  <si>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</si>
  <si>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</si>
  <si>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</si>
  <si>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</si>
  <si>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</si>
  <si>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</si>
  <si>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</si>
  <si>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</si>
  <si>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</si>
  <si>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</si>
  <si>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</si>
  <si>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</si>
  <si>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</si>
  <si>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</si>
  <si>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</si>
  <si>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</si>
  <si>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</si>
  <si>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</si>
  <si>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</si>
  <si>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</si>
  <si>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</si>
  <si>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</si>
  <si>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</si>
  <si>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</si>
  <si>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</si>
  <si>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</si>
  <si>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</si>
  <si>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</si>
  <si>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</si>
  <si>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</si>
  <si>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</si>
  <si>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</si>
  <si>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</si>
  <si>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</si>
  <si>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</si>
  <si>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</si>
  <si>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</si>
  <si>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</si>
  <si>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</si>
  <si>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</si>
  <si>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</si>
  <si>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</si>
  <si>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</si>
  <si>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</si>
  <si>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</si>
  <si>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</si>
  <si>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</si>
  <si>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</si>
  <si>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</si>
  <si>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</si>
  <si>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</si>
  <si>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</si>
  <si>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</si>
  <si>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</si>
  <si>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</si>
  <si>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</si>
  <si>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</si>
  <si>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</si>
  <si>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</si>
  <si>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</si>
  <si>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</si>
  <si>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</si>
  <si>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</si>
  <si>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</si>
  <si>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</si>
  <si>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</si>
  <si>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</si>
  <si>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</si>
  <si>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</si>
  <si>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</si>
  <si>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</si>
  <si>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</si>
  <si>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</si>
  <si>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</si>
  <si>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</si>
  <si>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</si>
  <si>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</si>
  <si>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</si>
  <si>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</si>
  <si>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</si>
  <si>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</si>
  <si>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</si>
  <si>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</si>
  <si>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</si>
  <si>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</si>
  <si>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</si>
  <si>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</si>
  <si>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</si>
  <si>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</si>
  <si>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</si>
  <si>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</si>
  <si>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</si>
  <si>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</si>
  <si>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</si>
  <si>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</si>
  <si>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</si>
  <si>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</si>
  <si>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</si>
  <si>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</si>
  <si>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</si>
  <si>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</si>
  <si>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</si>
  <si>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</si>
  <si>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</si>
  <si>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</si>
  <si>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</si>
  <si>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</si>
  <si>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</si>
  <si>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</si>
  <si>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</si>
  <si>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</si>
  <si>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</si>
  <si>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</si>
  <si>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</si>
  <si>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</si>
  <si>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</si>
  <si>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</si>
  <si>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</si>
  <si>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</si>
  <si>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</si>
  <si>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</si>
  <si>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</si>
  <si>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</si>
  <si>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</si>
  <si>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</si>
  <si>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</si>
  <si>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</si>
  <si>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</si>
  <si>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</si>
  <si>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</si>
  <si>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</si>
  <si>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</si>
  <si>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</si>
  <si>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</si>
  <si>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</si>
  <si>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</si>
  <si>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</si>
  <si>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</si>
  <si>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</si>
  <si>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</si>
  <si>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</si>
  <si>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</si>
  <si>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</si>
  <si>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</si>
  <si>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</si>
  <si>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</si>
  <si>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</si>
  <si>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</si>
  <si>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</si>
  <si>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</si>
  <si>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</si>
  <si>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</si>
  <si>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</si>
  <si>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</si>
  <si>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</si>
  <si>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</si>
  <si>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</si>
  <si>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</si>
  <si>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</si>
  <si>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</si>
  <si>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</si>
  <si>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</si>
  <si>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</si>
  <si>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</si>
  <si>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</si>
  <si>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</si>
  <si>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</si>
  <si>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</si>
  <si>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</si>
  <si>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</si>
  <si>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</si>
  <si>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</si>
  <si>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</si>
  <si>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</si>
  <si>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</si>
  <si>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</si>
  <si>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</si>
  <si>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</si>
  <si>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</si>
  <si>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</si>
  <si>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</si>
  <si>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</si>
  <si>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</si>
  <si>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</si>
  <si>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</si>
  <si>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</si>
  <si>
    <t>Prot Class1</t>
  </si>
  <si>
    <t>Central Station Burglar and/or Fire Credit1</t>
  </si>
  <si>
    <t>AOP1</t>
  </si>
  <si>
    <t>No Of Acres1</t>
  </si>
  <si>
    <t>No Of Families1</t>
  </si>
  <si>
    <t>Loss Assement1</t>
  </si>
  <si>
    <t>Scheduled Property1</t>
  </si>
  <si>
    <t>Theft of Building Materials1</t>
  </si>
  <si>
    <t>Water Backup1</t>
  </si>
  <si>
    <t>Coverage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</si>
</sst>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5" x14ac:dyDescent="0.25"/>
  <sheetData>
    <row r="5" spans="1:3" x14ac:dyDescent="0.25">
      <c r="A5">
        <v>1</v>
      </c>
      <c r="B5" t="s">
        <v>135</v>
      </c>
    </row>
    <row r="6" spans="1:3" x14ac:dyDescent="0.25">
      <c r="A6">
        <v>2</v>
      </c>
      <c r="B6" t="s">
        <v>136</v>
      </c>
    </row>
    <row r="7" spans="1:3" x14ac:dyDescent="0.25">
      <c r="A7">
        <v>3</v>
      </c>
      <c r="B7" t="s">
        <v>137</v>
      </c>
    </row>
    <row r="8" spans="1:3" x14ac:dyDescent="0.25">
      <c r="A8">
        <v>4</v>
      </c>
      <c r="B8" t="s">
        <v>138</v>
      </c>
    </row>
    <row r="11" spans="1:3" x14ac:dyDescent="0.25">
      <c r="B11" t="s">
        <v>154</v>
      </c>
    </row>
    <row r="12" spans="1:3" x14ac:dyDescent="0.25">
      <c r="B12">
        <v>1</v>
      </c>
      <c r="C12" t="s">
        <v>147</v>
      </c>
    </row>
    <row r="13" spans="1:3" x14ac:dyDescent="0.25">
      <c r="B13">
        <v>2</v>
      </c>
      <c r="C13" t="s">
        <v>148</v>
      </c>
    </row>
    <row r="14" spans="1:3" x14ac:dyDescent="0.25">
      <c r="B14">
        <v>3</v>
      </c>
      <c r="C14" t="s">
        <v>149</v>
      </c>
    </row>
    <row r="15" spans="1:3" x14ac:dyDescent="0.25">
      <c r="B15">
        <v>4</v>
      </c>
      <c r="C15" t="s">
        <v>150</v>
      </c>
    </row>
    <row r="16" spans="1:3" x14ac:dyDescent="0.25">
      <c r="B16">
        <v>5</v>
      </c>
      <c r="C16" t="s">
        <v>151</v>
      </c>
    </row>
    <row r="17" spans="3:3" x14ac:dyDescent="0.25">
      <c r="C17" s="200" t="s">
        <v>10</v>
      </c>
    </row>
    <row r="18" spans="3:3" x14ac:dyDescent="0.25">
      <c r="C18" s="200" t="s">
        <v>152</v>
      </c>
    </row>
    <row r="19" spans="3:3" x14ac:dyDescent="0.25">
      <c r="C19" s="200" t="s">
        <v>70</v>
      </c>
    </row>
    <row r="20" spans="3:3" x14ac:dyDescent="0.25">
      <c r="C20" s="200" t="s">
        <v>153</v>
      </c>
    </row>
    <row r="21" spans="3:3" x14ac:dyDescent="0.25">
      <c r="C21" s="200" t="s">
        <v>88</v>
      </c>
    </row>
    <row r="22" spans="3:3" x14ac:dyDescent="0.25">
      <c r="C22" s="200" t="s">
        <v>153</v>
      </c>
    </row>
    <row r="23" spans="3:3" x14ac:dyDescent="0.25">
      <c r="C23" s="200" t="s">
        <v>92</v>
      </c>
    </row>
    <row r="24" spans="3:3" x14ac:dyDescent="0.25">
      <c r="C24" s="200" t="s">
        <v>153</v>
      </c>
    </row>
    <row r="25" spans="3:3" x14ac:dyDescent="0.25">
      <c r="C25" s="200" t="s">
        <v>95</v>
      </c>
    </row>
    <row r="26" spans="3:3" x14ac:dyDescent="0.25">
      <c r="C26" s="200" t="s">
        <v>153</v>
      </c>
    </row>
    <row r="27" spans="3:3" x14ac:dyDescent="0.25">
      <c r="C27" s="200" t="s">
        <v>98</v>
      </c>
    </row>
    <row r="28" spans="3:3" x14ac:dyDescent="0.25">
      <c r="C28" s="200" t="s">
        <v>153</v>
      </c>
    </row>
    <row r="29" spans="3:3" x14ac:dyDescent="0.25">
      <c r="C29" s="200" t="s">
        <v>11</v>
      </c>
    </row>
    <row r="30" spans="3:3" x14ac:dyDescent="0.25">
      <c r="C30" s="200" t="s">
        <v>153</v>
      </c>
    </row>
    <row r="31" spans="3:3" x14ac:dyDescent="0.25">
      <c r="C31" s="200" t="s">
        <v>104</v>
      </c>
    </row>
    <row r="32" spans="3:3" x14ac:dyDescent="0.25">
      <c r="C32" s="200" t="s">
        <v>153</v>
      </c>
    </row>
    <row r="33" spans="3:3" x14ac:dyDescent="0.25">
      <c r="C33" s="200" t="s">
        <v>114</v>
      </c>
    </row>
    <row r="34" spans="3:3" x14ac:dyDescent="0.25">
      <c r="C34" s="200" t="s">
        <v>153</v>
      </c>
    </row>
    <row r="35" spans="3:3" x14ac:dyDescent="0.25">
      <c r="C35" s="200" t="s">
        <v>117</v>
      </c>
    </row>
    <row r="36" spans="3:3" x14ac:dyDescent="0.25">
      <c r="C36" s="200" t="s">
        <v>153</v>
      </c>
    </row>
    <row r="37" spans="3:3" x14ac:dyDescent="0.25">
      <c r="C37" s="200" t="s">
        <v>71</v>
      </c>
    </row>
    <row r="38" spans="3:3" x14ac:dyDescent="0.25">
      <c r="C38" s="201">
        <v>1</v>
      </c>
    </row>
    <row r="39" spans="3:3" x14ac:dyDescent="0.25">
      <c r="C39" s="200" t="s">
        <v>89</v>
      </c>
    </row>
    <row r="40" spans="3:3" x14ac:dyDescent="0.25">
      <c r="C40" s="201">
        <v>1</v>
      </c>
    </row>
    <row r="41" spans="3:3" x14ac:dyDescent="0.25">
      <c r="C41" s="200" t="s">
        <v>93</v>
      </c>
    </row>
    <row r="42" spans="3:3" x14ac:dyDescent="0.25">
      <c r="C42" s="200" t="s">
        <v>153</v>
      </c>
    </row>
    <row r="43" spans="3:3" x14ac:dyDescent="0.25">
      <c r="C43" s="200" t="s">
        <v>120</v>
      </c>
    </row>
    <row r="44" spans="3:3" x14ac:dyDescent="0.25">
      <c r="C44" s="200" t="s">
        <v>153</v>
      </c>
    </row>
    <row r="45" spans="3:3" x14ac:dyDescent="0.25">
      <c r="C45" s="200" t="s">
        <v>99</v>
      </c>
    </row>
    <row r="46" spans="3:3" x14ac:dyDescent="0.25">
      <c r="C46" s="201">
        <v>1</v>
      </c>
    </row>
    <row r="47" spans="3:3" x14ac:dyDescent="0.25">
      <c r="C47" s="200" t="s">
        <v>101</v>
      </c>
    </row>
    <row r="48" spans="3:3" x14ac:dyDescent="0.25">
      <c r="C48" s="201">
        <v>1</v>
      </c>
    </row>
    <row r="49" spans="2:3" x14ac:dyDescent="0.25">
      <c r="C49" s="200" t="s">
        <v>105</v>
      </c>
    </row>
    <row r="50" spans="2:3" x14ac:dyDescent="0.25">
      <c r="C50" s="201">
        <v>1</v>
      </c>
    </row>
    <row r="52" spans="2:3" x14ac:dyDescent="0.25">
      <c r="B52" t="s">
        <v>155</v>
      </c>
    </row>
    <row r="53" spans="2:3" x14ac:dyDescent="0.25">
      <c r="B53">
        <v>1</v>
      </c>
      <c r="C53" t="s">
        <v>159</v>
      </c>
    </row>
    <row r="54" spans="2:3" x14ac:dyDescent="0.25">
      <c r="B54">
        <v>2</v>
      </c>
      <c r="C54" t="s">
        <v>156</v>
      </c>
    </row>
    <row r="55" spans="2:3" x14ac:dyDescent="0.25">
      <c r="C55" t="s">
        <v>157</v>
      </c>
    </row>
    <row r="56" spans="2:3" x14ac:dyDescent="0.25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opLeftCell="A43" zoomScaleNormal="100" workbookViewId="0">
      <selection activeCell="H62" sqref="H62"/>
    </sheetView>
  </sheetViews>
  <sheetFormatPr defaultColWidth="9.140625" defaultRowHeight="15" x14ac:dyDescent="0.25"/>
  <cols>
    <col min="1" max="1" style="119" width="9.140625" collapsed="true"/>
    <col min="2" max="2" bestFit="true" customWidth="true" style="64" width="32.85546875" collapsed="true"/>
    <col min="3" max="3" bestFit="true" customWidth="true" style="65" width="27.42578125" collapsed="true"/>
    <col min="4" max="4" bestFit="true" customWidth="true" style="65" width="20.42578125" collapsed="true"/>
    <col min="5" max="5" customWidth="true" style="66" width="13.85546875" collapsed="true"/>
    <col min="6" max="6" bestFit="true" customWidth="true" style="65" width="14.28515625" collapsed="true"/>
    <col min="7" max="7" customWidth="true" style="65" width="10.28515625" collapsed="true"/>
    <col min="8" max="8" bestFit="true" customWidth="true" style="34" width="32.85546875" collapsed="true"/>
    <col min="9" max="9" bestFit="true" customWidth="true" style="34" width="27.42578125" collapsed="true"/>
    <col min="10" max="10" bestFit="true" customWidth="true" style="34" width="20.42578125" collapsed="true"/>
    <col min="11" max="11" customWidth="true" style="34" width="13.85546875" collapsed="true"/>
    <col min="12" max="12" bestFit="true" customWidth="true" style="34" width="14.28515625" collapsed="true"/>
    <col min="13" max="13" customWidth="true" style="34" width="8.7109375" collapsed="true"/>
    <col min="14" max="14" bestFit="true" customWidth="true" style="34" width="32.85546875" collapsed="true"/>
    <col min="15" max="15" bestFit="true" customWidth="true" style="34" width="27.42578125" collapsed="true"/>
    <col min="16" max="16" bestFit="true" customWidth="true" style="34" width="20.42578125" collapsed="true"/>
    <col min="17" max="17" customWidth="true" style="34" width="13.85546875" collapsed="true"/>
    <col min="18" max="18" bestFit="true" customWidth="true" style="34" width="14.28515625" collapsed="true"/>
    <col min="19" max="19" customWidth="true" style="34" width="8.7109375" collapsed="true"/>
    <col min="20" max="20" customWidth="true" style="34" width="26.5703125" collapsed="true"/>
    <col min="21" max="21" bestFit="true" customWidth="true" style="34" width="27.42578125" collapsed="true"/>
    <col min="22" max="22" bestFit="true" customWidth="true" style="34" width="20.42578125" collapsed="true"/>
    <col min="23" max="23" customWidth="true" style="34" width="13.85546875" collapsed="true"/>
    <col min="24" max="24" bestFit="true" customWidth="true" style="34" width="14.28515625" collapsed="true"/>
    <col min="25" max="25" customWidth="true" style="34" width="8.7109375" collapsed="true"/>
    <col min="26" max="26" customWidth="true" style="34" width="26.5703125" collapsed="true"/>
    <col min="27" max="27" bestFit="true" customWidth="true" style="34" width="27.42578125" collapsed="true"/>
    <col min="28" max="28" bestFit="true" customWidth="true" style="34" width="20.42578125" collapsed="true"/>
    <col min="29" max="29" customWidth="true" style="65" width="13.85546875" collapsed="true"/>
    <col min="30" max="30" bestFit="true" customWidth="true" style="65" width="14.28515625" collapsed="true"/>
    <col min="31" max="31" style="65" width="9.140625" collapsed="true"/>
    <col min="32" max="32" customWidth="true" style="65" width="26.5703125" collapsed="true"/>
    <col min="33" max="33" bestFit="true" customWidth="true" style="65" width="27.42578125" collapsed="true"/>
    <col min="34" max="34" bestFit="true" customWidth="true" style="65" width="20.42578125" collapsed="true"/>
    <col min="35" max="35" customWidth="true" style="65" width="13.85546875" collapsed="true"/>
    <col min="36" max="36" bestFit="true" customWidth="true" style="65" width="14.28515625" collapsed="true"/>
    <col min="37" max="37" style="65" width="9.140625" collapsed="true"/>
    <col min="38" max="38" customWidth="true" style="65" width="26.5703125" collapsed="true"/>
    <col min="39" max="39" bestFit="true" customWidth="true" style="65" width="27.42578125" collapsed="true"/>
    <col min="40" max="40" bestFit="true" customWidth="true" style="65" width="20.42578125" collapsed="true"/>
    <col min="41" max="41" customWidth="true" style="65" width="13.85546875" collapsed="true"/>
    <col min="42" max="42" bestFit="true" customWidth="true" style="65" width="14.28515625" collapsed="true"/>
    <col min="43" max="43" style="65" width="9.140625" collapsed="true"/>
    <col min="44" max="44" customWidth="true" style="65" width="26.5703125" collapsed="true"/>
    <col min="45" max="45" bestFit="true" customWidth="true" style="65" width="27.42578125" collapsed="true"/>
    <col min="46" max="46" bestFit="true" customWidth="true" style="65" width="20.42578125" collapsed="true"/>
    <col min="47" max="47" customWidth="true" style="65" width="13.85546875" collapsed="true"/>
    <col min="48" max="48" bestFit="true" customWidth="true" style="65" width="14.28515625" collapsed="true"/>
    <col min="49" max="49" style="65" width="9.140625" collapsed="true"/>
    <col min="50" max="50" customWidth="true" style="65" width="26.5703125" collapsed="true"/>
    <col min="51" max="51" bestFit="true" customWidth="true" style="65" width="27.42578125" collapsed="true"/>
    <col min="52" max="52" bestFit="true" customWidth="true" style="65" width="20.42578125" collapsed="true"/>
    <col min="53" max="53" customWidth="true" style="65" width="13.85546875" collapsed="true"/>
    <col min="54" max="54" bestFit="true" customWidth="true" style="65" width="14.28515625" collapsed="true"/>
    <col min="55" max="55" style="65" width="9.140625" collapsed="true"/>
    <col min="56" max="56" customWidth="true" style="65" width="26.5703125" collapsed="true"/>
    <col min="57" max="57" bestFit="true" customWidth="true" style="65" width="27.42578125" collapsed="true"/>
    <col min="58" max="58" bestFit="true" customWidth="true" style="65" width="20.42578125" collapsed="true"/>
    <col min="59" max="59" customWidth="true" style="65" width="13.85546875" collapsed="true"/>
    <col min="60" max="60" bestFit="true" customWidth="true" style="65" width="14.28515625" collapsed="true"/>
    <col min="61" max="16384" style="65" width="9.140625" collapsed="true"/>
  </cols>
  <sheetData>
    <row r="1" spans="1:18" ht="21.75" thickBot="1" x14ac:dyDescent="0.3">
      <c r="B1" s="179" t="s">
        <v>0</v>
      </c>
      <c r="C1" s="67">
        <v>3</v>
      </c>
      <c r="D1" s="123"/>
      <c r="E1" s="125"/>
      <c r="F1" s="123"/>
      <c r="G1" s="119"/>
    </row>
    <row r="2" spans="1:18" ht="15.75" thickBot="1" x14ac:dyDescent="0.3">
      <c r="A2" s="146"/>
      <c r="B2" s="119"/>
      <c r="D2" s="119"/>
      <c r="E2" s="119"/>
      <c r="F2" s="119"/>
      <c r="G2" s="126"/>
    </row>
    <row r="3" spans="1:18" customFormat="1" ht="24" customHeight="1" thickBot="1" x14ac:dyDescent="0.35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25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25">
      <c r="A6" s="146"/>
      <c r="B6" s="74" t="s">
        <v>8</v>
      </c>
      <c r="C6" s="98" t="str">
        <f>Mappings!B2</f>
        <v>HO3</v>
      </c>
      <c r="D6" s="119"/>
      <c r="E6" s="159"/>
      <c r="F6" s="175"/>
      <c r="G6" s="126"/>
      <c r="H6" s="74" t="s">
        <v>8</v>
      </c>
      <c r="I6" s="233" t="str">
        <f>C6</f>
        <v>HO3</v>
      </c>
      <c r="J6" s="119"/>
      <c r="K6" s="159"/>
      <c r="L6" s="175"/>
      <c r="N6" s="74" t="s">
        <v>8</v>
      </c>
      <c r="O6" s="233" t="str">
        <f>C6</f>
        <v>HO3</v>
      </c>
      <c r="P6" s="119"/>
      <c r="Q6" s="159"/>
      <c r="R6" s="175"/>
    </row>
    <row r="7" spans="1:18" customFormat="1" x14ac:dyDescent="0.25">
      <c r="A7" s="146"/>
      <c r="B7" s="74" t="s">
        <v>10</v>
      </c>
      <c r="C7" s="75" t="str">
        <f>Mappings!C2</f>
        <v>Owner / Tenant - Short-Term Rental</v>
      </c>
      <c r="D7" s="119"/>
      <c r="E7" s="159"/>
      <c r="F7" s="176"/>
      <c r="G7" s="126"/>
      <c r="H7" s="74" t="s">
        <v>10</v>
      </c>
      <c r="I7" s="205" t="str">
        <f>C7</f>
        <v>Owner / Tenant - Short-Term Rental</v>
      </c>
      <c r="J7" s="119"/>
      <c r="K7" s="159"/>
      <c r="L7" s="176"/>
      <c r="N7" s="74" t="s">
        <v>10</v>
      </c>
      <c r="O7" s="205" t="str">
        <f>C7</f>
        <v>Owner / Tenant - Short-Term Rental</v>
      </c>
      <c r="P7" s="119"/>
      <c r="Q7" s="159"/>
      <c r="R7" s="176"/>
    </row>
    <row r="8" spans="1:18" customFormat="1" x14ac:dyDescent="0.25">
      <c r="A8" s="146"/>
      <c r="B8" s="74" t="s">
        <v>12</v>
      </c>
      <c r="C8" s="75" t="str">
        <f>VLOOKUP(Mappings!D2,Reference!A2:B5,2,FALSE)</f>
        <v>12 month</v>
      </c>
      <c r="D8" s="124"/>
      <c r="E8" s="159"/>
      <c r="F8" s="175"/>
      <c r="G8" s="126"/>
      <c r="H8" s="74" t="s">
        <v>12</v>
      </c>
      <c r="I8" s="205" t="str">
        <f>C8</f>
        <v>12 month</v>
      </c>
      <c r="J8" s="124"/>
      <c r="K8" s="159"/>
      <c r="L8" s="175"/>
      <c r="N8" s="74" t="s">
        <v>12</v>
      </c>
      <c r="O8" s="205" t="str">
        <f>C8</f>
        <v>12 month</v>
      </c>
      <c r="P8" s="124"/>
      <c r="Q8" s="159"/>
      <c r="R8" s="175"/>
    </row>
    <row r="9" spans="1:18" customFormat="1" x14ac:dyDescent="0.25">
      <c r="A9" s="146"/>
      <c r="B9" s="74" t="s">
        <v>14</v>
      </c>
      <c r="C9" s="236" t="n">
        <f>Mappings!E2</f>
        <v>7.0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75" x14ac:dyDescent="0.25">
      <c r="A10" s="146"/>
      <c r="B10" s="74" t="s">
        <v>16</v>
      </c>
      <c r="C10" s="76" t="n">
        <f>Mappings!F2</f>
        <v>700000.0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0.48</v>
      </c>
      <c r="F10" s="198" t="n">
        <f>ROUND(
IF(C6="HO4",0,
IF(OR(E14="",E14=0),ROUND(C10*(E10/100),0),(E14/100)*C10)),0)</f>
        <v>3360.0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25">
      <c r="A11" s="146"/>
      <c r="B11" s="60" t="s">
        <v>17</v>
      </c>
      <c r="C11" s="95" t="n">
        <f>Mappings!G2</f>
        <v>70000.0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25">
      <c r="A12" s="146"/>
      <c r="B12" s="60" t="s">
        <v>18</v>
      </c>
      <c r="C12" s="95" t="n">
        <f>Mappings!H2</f>
        <v>7000.0</v>
      </c>
      <c r="D12" s="155" t="n">
        <f>ROUND(IF(OR(C6="DP1",C6="DP3",C6="HO4"),0,(((C12*100)/C10)/100-VLOOKUP(B12,Lookup!$BP$2:$BU$6,MATCH(C6,Lookup!$BP$2:$BU$2,0),FALSE))*C10),0)</f>
        <v>-343000.0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">
      <c r="A13" s="146"/>
      <c r="B13" s="102" t="s">
        <v>19</v>
      </c>
      <c r="C13" s="95" t="n">
        <f>Mappings!I2</f>
        <v>700.0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-139300.0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5" thickBot="1" x14ac:dyDescent="0.3">
      <c r="A15" s="146"/>
      <c r="B15" s="120"/>
      <c r="C15" s="119"/>
      <c r="D15" s="119"/>
      <c r="E15" s="159"/>
      <c r="F15" s="178" t="n">
        <f>SUM(F10:F13)</f>
        <v>3360.0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5" thickBot="1" x14ac:dyDescent="0.3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5" thickBot="1" x14ac:dyDescent="0.3">
      <c r="A17" s="146"/>
      <c r="B17" s="49" t="s">
        <v>25</v>
      </c>
      <c r="C17" s="93" t="str">
        <f>IF(AND(AND(C6&lt;&gt;"HO4",C6&lt;&gt;"HO6"),C10&gt;500000),"Yes","No")</f>
        <v>Yes</v>
      </c>
      <c r="D17" s="73"/>
      <c r="E17" s="103" t="n">
        <f>IF(C17="Yes",Lookup!$U$2,0)</f>
        <v>-0.05</v>
      </c>
      <c r="F17" s="84" t="n">
        <f>ROUND(F15*(E17),0)</f>
        <v>-168.0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30.75" thickBot="1" x14ac:dyDescent="0.3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30.75" thickBot="1" x14ac:dyDescent="0.3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-34.0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5" thickBot="1" x14ac:dyDescent="0.3">
      <c r="A20" s="146"/>
      <c r="B20" s="52" t="s">
        <v>29</v>
      </c>
      <c r="C20" s="76" t="n">
        <f>VLOOKUP(VALUE(Mappings!K2),Reference!I2:J5,2,FALSE)</f>
        <v>5000.0</v>
      </c>
      <c r="D20" s="119"/>
      <c r="E20" s="83" t="n">
        <f>VLOOKUP(C20,Lookup!$Q$2:$R$5,2,FALSE)</f>
        <v>-0.25</v>
      </c>
      <c r="F20" s="84" t="n">
        <f>ROUND(F15*(E20),0)</f>
        <v>-840.0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">
      <c r="A21" s="146"/>
      <c r="B21" s="241" t="s">
        <v>30</v>
      </c>
      <c r="C21" s="252"/>
      <c r="D21" s="79"/>
      <c r="E21" s="192" t="n">
        <f>SUM(E17:E20)</f>
        <v>-0.31</v>
      </c>
      <c r="F21" s="193" t="n">
        <f>ROUND(F15*(E21),0)</f>
        <v>-1042.0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75" x14ac:dyDescent="0.25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.75" thickBot="1" x14ac:dyDescent="0.3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5" thickBot="1" x14ac:dyDescent="0.3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">
      <c r="A25" s="146"/>
      <c r="B25" s="115" t="s">
        <v>32</v>
      </c>
      <c r="C25" s="116" t="n">
        <f>Mappings!L2</f>
        <v>800.0</v>
      </c>
      <c r="D25" s="117"/>
      <c r="E25" s="85" t="n">
        <f>IF(C25&gt;25,(C25-25)*Lookup!$X$1,0)</f>
        <v>1550.0</v>
      </c>
      <c r="F25" s="86" t="n">
        <f>ROUND(E25,0)</f>
        <v>1550.0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25">
      <c r="A26" s="146"/>
      <c r="B26" s="120"/>
      <c r="C26" s="130"/>
      <c r="D26" s="119"/>
      <c r="E26" s="159"/>
      <c r="F26" s="119"/>
      <c r="G26" s="126"/>
    </row>
    <row r="27" spans="1:18" customFormat="1" ht="15.75" thickBot="1" x14ac:dyDescent="0.3">
      <c r="A27" s="146"/>
      <c r="B27" s="131"/>
      <c r="C27" s="130"/>
      <c r="D27" s="119"/>
      <c r="E27" s="132"/>
      <c r="F27" s="124"/>
      <c r="G27" s="126"/>
    </row>
    <row r="28" spans="1:18" customFormat="1" x14ac:dyDescent="0.25">
      <c r="A28" s="146"/>
      <c r="B28" s="53" t="s">
        <v>34</v>
      </c>
      <c r="C28" s="72" t="str">
        <f>VLOOKUP(VALUE(Mappings!M2),Reference!C2:D5,2,FALSE)</f>
        <v>1 Family</v>
      </c>
      <c r="D28" s="140"/>
      <c r="E28" s="142"/>
      <c r="F28" s="143"/>
      <c r="G28" s="126"/>
    </row>
    <row r="29" spans="1:18" customFormat="1" ht="15.75" thickBot="1" x14ac:dyDescent="0.3">
      <c r="A29" s="146"/>
      <c r="B29" s="54" t="s">
        <v>36</v>
      </c>
      <c r="C29" s="76" t="str">
        <f>VLOOKUP(VALUE(Mappings!N2),Reference!E2:F6,2,FALSE)</f>
        <v>Excluded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0.0</v>
      </c>
      <c r="E29" s="144"/>
      <c r="F29" s="141"/>
      <c r="G29" s="126"/>
    </row>
    <row r="30" spans="1:18" customFormat="1" ht="16.5" thickBot="1" x14ac:dyDescent="0.3">
      <c r="A30" s="146"/>
      <c r="B30" s="58" t="s">
        <v>37</v>
      </c>
      <c r="C30" s="96" t="str">
        <f>IF(C29="Excluded","Excluded",5000)</f>
        <v>Excluded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0.0</v>
      </c>
      <c r="E30" s="105" t="n">
        <f>MAX(D29,D30)</f>
        <v>0.0</v>
      </c>
      <c r="F30" s="106" t="n">
        <f>IF(C32&lt;&gt;"","Resolve Error",ROUND(E30,0))</f>
        <v>0.0</v>
      </c>
      <c r="G30" s="147"/>
    </row>
    <row r="31" spans="1:18" customFormat="1" x14ac:dyDescent="0.25">
      <c r="A31" s="146"/>
      <c r="B31" s="120"/>
      <c r="C31" s="253" t="str">
        <f>IF(C29="Excluded","Medical Payment is not allowed, when personal liability limit is None/Excluded","")</f>
        <v>Medical Payment is not allowed, when personal liability limit is None/Excluded</v>
      </c>
      <c r="D31" s="253"/>
      <c r="E31" s="253"/>
      <c r="F31" s="253"/>
      <c r="G31" s="126"/>
    </row>
    <row r="32" spans="1:18" customFormat="1" ht="15.75" thickBot="1" x14ac:dyDescent="0.3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5" thickBot="1" x14ac:dyDescent="0.3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25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25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25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25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.75" thickBot="1" x14ac:dyDescent="0.3">
      <c r="A38" s="146"/>
      <c r="B38" s="57" t="s">
        <v>44</v>
      </c>
      <c r="C38" s="88" t="str">
        <f>VLOOKUP(VALUE(Mappings!S2),Reference!G2:H6,2,FALSE)</f>
        <v>Excluded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5" thickBot="1" x14ac:dyDescent="0.3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9.5" thickBot="1" x14ac:dyDescent="0.3">
      <c r="A40" s="146"/>
      <c r="B40" s="243" t="s">
        <v>133</v>
      </c>
      <c r="C40" s="244"/>
      <c r="D40" s="244"/>
      <c r="E40" s="245"/>
      <c r="F40" s="104" t="n">
        <f>IFERROR(F15+F21+F25+F30+SUM(F34:F38),0)</f>
        <v>3868.0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9.5" thickBot="1" x14ac:dyDescent="0.3">
      <c r="A41" s="146"/>
      <c r="B41" s="135"/>
      <c r="C41" s="135"/>
      <c r="D41" s="135"/>
      <c r="E41" s="135"/>
      <c r="F41" s="136"/>
      <c r="G41" s="126"/>
    </row>
    <row r="42" spans="1:18" customFormat="1" ht="16.5" thickBot="1" x14ac:dyDescent="0.3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">
      <c r="A43" s="146"/>
      <c r="B43" s="163" t="str">
        <f>"Total Base Premium (Locations:  "&amp;C1&amp;")"</f>
        <v>Total Base Premium (Locations:  3)</v>
      </c>
      <c r="C43" s="248" t="n">
        <f>SUM(15:15)</f>
        <v>3360.0</v>
      </c>
      <c r="D43" s="249"/>
      <c r="E43" s="249"/>
      <c r="F43" s="250"/>
      <c r="G43" s="126"/>
    </row>
    <row r="44" spans="1:18" customFormat="1" ht="15.75" customHeight="1" x14ac:dyDescent="0.25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25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25">
      <c r="A46" s="146"/>
      <c r="B46" s="46" t="s">
        <v>22</v>
      </c>
      <c r="C46" s="114" t="n">
        <f>Mappings!U2</f>
        <v>0.0</v>
      </c>
      <c r="D46" s="157"/>
      <c r="E46" s="190"/>
      <c r="F46" s="183"/>
      <c r="G46" s="126"/>
    </row>
    <row r="47" spans="1:18" customFormat="1" ht="15" customHeight="1" x14ac:dyDescent="0.25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25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25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25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">
      <c r="A51" s="146"/>
      <c r="B51" s="108" t="s">
        <v>24</v>
      </c>
      <c r="C51" s="107" t="str">
        <f>IF($C$46=0,"Yes","No")</f>
        <v>Yes</v>
      </c>
      <c r="D51" s="188" t="n">
        <f>IF($C$46=0,Lookup!$U$1,0)</f>
        <v>-0.05</v>
      </c>
      <c r="E51" s="191"/>
      <c r="F51" s="184" t="n">
        <f>ROUND(C43*D51,0)</f>
        <v>-168.0</v>
      </c>
      <c r="G51" s="126"/>
    </row>
    <row r="52" spans="1:13" customFormat="1" ht="16.5" thickBot="1" x14ac:dyDescent="0.3">
      <c r="A52" s="146"/>
      <c r="B52" s="109" t="s">
        <v>33</v>
      </c>
      <c r="C52" s="110" t="str">
        <f>IF($C$46&gt;0,"Yes","No")</f>
        <v>No</v>
      </c>
      <c r="D52" s="111" t="n">
        <f>IF($C$46&gt;0,10%,0)</f>
        <v>0.0</v>
      </c>
      <c r="E52" s="181"/>
      <c r="F52" s="185" t="n">
        <f>ROUND(C43*D52,0)</f>
        <v>0.0</v>
      </c>
      <c r="G52" s="126"/>
    </row>
    <row r="53" spans="1:13" customFormat="1" ht="15.75" thickBot="1" x14ac:dyDescent="0.3">
      <c r="A53" s="146"/>
      <c r="B53" s="120"/>
      <c r="C53" s="119"/>
      <c r="D53" s="119"/>
      <c r="E53" s="159"/>
      <c r="F53" s="119"/>
      <c r="G53" s="126"/>
    </row>
    <row r="54" spans="1:13" customFormat="1" ht="16.5" thickBot="1" x14ac:dyDescent="0.3">
      <c r="A54" s="146"/>
      <c r="B54" s="156" t="s">
        <v>5</v>
      </c>
      <c r="C54" s="119"/>
      <c r="D54" s="119"/>
      <c r="E54" s="159"/>
      <c r="F54" s="129"/>
      <c r="G54" s="126"/>
    </row>
    <row r="55" spans="1:13" ht="16.5" thickBot="1" x14ac:dyDescent="0.3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3700.0</v>
      </c>
      <c r="G55" s="126"/>
      <c r="H55" s="100"/>
      <c r="J55" s="65"/>
      <c r="K55" s="99"/>
      <c r="L55" s="80"/>
      <c r="M55" s="65"/>
    </row>
    <row r="56" spans="1:13" ht="15.75" x14ac:dyDescent="0.25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3700.0</v>
      </c>
      <c r="G56" s="126"/>
    </row>
    <row r="57" spans="1:13" ht="15.75" x14ac:dyDescent="0.25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75" x14ac:dyDescent="0.25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75" x14ac:dyDescent="0.25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3700.0</v>
      </c>
      <c r="G59" s="126"/>
    </row>
    <row r="60" spans="1:13" ht="15" customHeight="1" x14ac:dyDescent="0.25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25">
      <c r="A61" s="146"/>
      <c r="B61" s="46" t="s">
        <v>49</v>
      </c>
      <c r="C61" s="112" t="str">
        <f>Mappings!W2</f>
        <v>Interior/Exterior</v>
      </c>
      <c r="D61" s="120"/>
      <c r="E61" s="134"/>
      <c r="F61" s="160" t="n">
        <f>IF($C$60=Lookup!$BG$21,VLOOKUP($C$61,Lookup!$BH$3:$BI$7,2,FALSE),IF($C$60 = "Not Required",0,VLOOKUP($C$61,Lookup!$BH$10:$BI$14,2,FALSE)))</f>
        <v>88.0</v>
      </c>
      <c r="G61" s="126"/>
    </row>
    <row r="62" spans="1:13" x14ac:dyDescent="0.25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25">
      <c r="A63" s="146"/>
      <c r="B63" s="256" t="s">
        <v>53</v>
      </c>
      <c r="C63" s="257"/>
      <c r="D63" s="119"/>
      <c r="E63" s="158"/>
      <c r="F63" s="160" t="n">
        <f>$F$59*0.03</f>
        <v>111.0</v>
      </c>
      <c r="G63" s="126"/>
    </row>
    <row r="64" spans="1:13" ht="15.75" thickBot="1" x14ac:dyDescent="0.3">
      <c r="A64" s="146"/>
      <c r="B64" s="138"/>
      <c r="C64" s="119"/>
      <c r="D64" s="119"/>
      <c r="E64" s="159"/>
      <c r="F64" s="206" t="n">
        <f>SUM(F61:F63)</f>
        <v>299.0</v>
      </c>
      <c r="G64" s="126"/>
    </row>
    <row r="65" spans="1:7" ht="19.5" thickBot="1" x14ac:dyDescent="0.3">
      <c r="A65" s="146"/>
      <c r="B65" s="258" t="s">
        <v>54</v>
      </c>
      <c r="C65" s="259"/>
      <c r="D65" s="259"/>
      <c r="E65" s="260"/>
      <c r="F65" s="91" t="n">
        <f>$F$59+$F$61+$F$62+$F$63</f>
        <v>3999.0</v>
      </c>
      <c r="G65" s="126"/>
    </row>
    <row r="66" spans="1:7" x14ac:dyDescent="0.25">
      <c r="A66" s="146"/>
      <c r="B66" s="120"/>
      <c r="C66" s="119"/>
      <c r="D66" s="119"/>
      <c r="E66" s="121"/>
      <c r="F66" s="119"/>
      <c r="G66" s="126"/>
    </row>
    <row r="67" spans="1:7" x14ac:dyDescent="0.25">
      <c r="A67" s="146"/>
      <c r="B67" s="120"/>
      <c r="C67" s="119"/>
      <c r="D67" s="119"/>
      <c r="E67" s="121"/>
      <c r="F67" s="119"/>
      <c r="G67" s="126"/>
    </row>
    <row r="68" spans="1:7" x14ac:dyDescent="0.25">
      <c r="A68" s="146"/>
      <c r="B68" s="120"/>
      <c r="C68" s="119"/>
      <c r="D68" s="119"/>
      <c r="E68" s="121"/>
      <c r="F68" s="119"/>
      <c r="G68" s="126"/>
    </row>
    <row r="69" spans="1:7" x14ac:dyDescent="0.25">
      <c r="A69" s="146"/>
      <c r="B69" s="120"/>
      <c r="C69" s="119"/>
      <c r="D69" s="119"/>
      <c r="E69" s="121"/>
      <c r="F69" s="119"/>
      <c r="G69" s="126"/>
    </row>
    <row r="70" spans="1:7" x14ac:dyDescent="0.25">
      <c r="A70" s="146"/>
      <c r="B70" s="120"/>
      <c r="C70" s="119"/>
      <c r="D70" s="119"/>
      <c r="E70" s="121"/>
      <c r="F70" s="119"/>
      <c r="G70" s="126"/>
    </row>
    <row r="71" spans="1:7" x14ac:dyDescent="0.25">
      <c r="A71" s="146"/>
      <c r="B71" s="120"/>
      <c r="C71" s="119"/>
      <c r="D71" s="119"/>
      <c r="E71" s="121"/>
      <c r="F71" s="119"/>
      <c r="G71" s="126"/>
    </row>
    <row r="72" spans="1:7" x14ac:dyDescent="0.25">
      <c r="A72" s="146"/>
      <c r="B72" s="120"/>
      <c r="C72" s="119"/>
      <c r="D72" s="119"/>
      <c r="E72" s="121"/>
      <c r="F72" s="119"/>
      <c r="G72" s="126"/>
    </row>
    <row r="73" spans="1:7" x14ac:dyDescent="0.25">
      <c r="A73" s="146"/>
      <c r="B73" s="120"/>
      <c r="C73" s="119"/>
      <c r="D73" s="119"/>
      <c r="E73" s="121"/>
      <c r="F73" s="119"/>
      <c r="G73" s="126"/>
    </row>
    <row r="74" spans="1:7" ht="15.75" thickBot="1" x14ac:dyDescent="0.3">
      <c r="A74" s="149"/>
      <c r="B74" s="150"/>
      <c r="C74" s="151"/>
      <c r="D74" s="151"/>
      <c r="E74" s="152"/>
      <c r="F74" s="151"/>
      <c r="G74" s="153"/>
    </row>
    <row r="75" spans="1:7" x14ac:dyDescent="0.25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5" x14ac:dyDescent="0.25"/>
  <cols>
    <col min="5" max="5" bestFit="true" customWidth="true" width="10.5703125" collapsed="true"/>
    <col min="6" max="6" bestFit="true" customWidth="true" width="9.85546875" collapsed="true"/>
    <col min="8" max="8" bestFit="true" customWidth="true" width="8.28515625" collapsed="true"/>
  </cols>
  <sheetData>
    <row r="1" spans="1:12" ht="15.75" thickBot="1" x14ac:dyDescent="0.3">
      <c r="A1" s="268" t="s">
        <v>12</v>
      </c>
      <c r="B1" s="269"/>
      <c r="C1" s="268" t="s">
        <v>34</v>
      </c>
      <c r="D1" s="270"/>
      <c r="E1" s="268" t="s">
        <v>170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25">
      <c r="A2" s="208" t="s">
        <v>171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25">
      <c r="A3" s="208" t="s">
        <v>172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165</v>
      </c>
    </row>
    <row r="4" spans="1:12" x14ac:dyDescent="0.25">
      <c r="A4" s="208" t="s">
        <v>173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166</v>
      </c>
    </row>
    <row r="5" spans="1:12" ht="15.75" thickBot="1" x14ac:dyDescent="0.3">
      <c r="A5" s="218" t="s">
        <v>164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167</v>
      </c>
    </row>
    <row r="6" spans="1:12" ht="15.75" thickBot="1" x14ac:dyDescent="0.3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168</v>
      </c>
    </row>
    <row r="7" spans="1:12" x14ac:dyDescent="0.25">
      <c r="K7">
        <v>6</v>
      </c>
      <c r="L7" s="214" t="s">
        <v>169</v>
      </c>
    </row>
    <row r="8" spans="1:12" x14ac:dyDescent="0.25">
      <c r="K8">
        <v>7</v>
      </c>
      <c r="L8" s="214" t="s">
        <v>15</v>
      </c>
    </row>
    <row r="9" spans="1:12" x14ac:dyDescent="0.25">
      <c r="K9">
        <v>8</v>
      </c>
      <c r="L9" s="214" t="s">
        <v>74</v>
      </c>
    </row>
    <row r="10" spans="1:12" x14ac:dyDescent="0.25">
      <c r="K10">
        <v>9</v>
      </c>
      <c r="L10" s="214" t="s">
        <v>75</v>
      </c>
    </row>
    <row r="11" spans="1:12" x14ac:dyDescent="0.25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5" x14ac:dyDescent="0.25"/>
  <cols>
    <col min="1" max="2" bestFit="true" customWidth="true" width="35.42578125" collapsed="true"/>
    <col min="3" max="3" bestFit="true" customWidth="true" width="33.28515625" collapsed="true"/>
    <col min="4" max="4" bestFit="true" customWidth="true" width="36.42578125" collapsed="true"/>
    <col min="20" max="20" customWidth="true" width="50.0" collapsed="true"/>
    <col min="23" max="23" customWidth="true" width="19.85546875" collapsed="true"/>
    <col min="26" max="26" bestFit="true" customWidth="true" width="16.7109375" collapsed="true"/>
    <col min="29" max="29" bestFit="true" customWidth="true" width="11.5703125" collapsed="true"/>
    <col min="31" max="31" bestFit="true" customWidth="true" width="15.28515625" collapsed="true"/>
    <col min="32" max="32" bestFit="true" customWidth="true" width="9.28515625" collapsed="true"/>
    <col min="33" max="33" bestFit="true" customWidth="true" width="17.28515625" collapsed="true"/>
    <col min="44" max="44" bestFit="true" customWidth="true" width="12.5703125" collapsed="true"/>
    <col min="50" max="50" bestFit="true" customWidth="true" width="11.5703125" collapsed="true"/>
    <col min="53" max="53" customWidth="true" width="14.5703125" collapsed="true"/>
    <col min="59" max="59" customWidth="true" width="17.7109375" collapsed="true"/>
    <col min="60" max="60" customWidth="true" width="28.0" collapsed="true"/>
    <col min="62" max="62" customWidth="true" width="11.42578125" collapsed="true"/>
    <col min="64" max="64" bestFit="true" customWidth="true" width="17.42578125" collapsed="true"/>
    <col min="65" max="65" customWidth="true" width="17.42578125" collapsed="true"/>
    <col min="68" max="68" bestFit="true" customWidth="true" width="11.0" collapsed="true"/>
  </cols>
  <sheetData>
    <row r="1" spans="1:78" ht="15.75" x14ac:dyDescent="0.25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75" x14ac:dyDescent="0.25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75" x14ac:dyDescent="0.25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75" x14ac:dyDescent="0.25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25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199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25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25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25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25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25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25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25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199</v>
      </c>
      <c r="BI12" s="29">
        <v>155</v>
      </c>
      <c r="BJ12" s="9">
        <v>145</v>
      </c>
    </row>
    <row r="13" spans="1:78" x14ac:dyDescent="0.25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25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25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25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25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25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25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25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25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25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25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25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25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25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25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25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25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25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25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25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25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25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25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25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25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25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25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25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25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25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25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25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25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25">
      <c r="A46" s="61" t="s">
        <v>93</v>
      </c>
      <c r="B46" s="61" t="s">
        <v>93</v>
      </c>
    </row>
    <row r="47" spans="1:48" x14ac:dyDescent="0.25">
      <c r="A47" s="61" t="s">
        <v>120</v>
      </c>
      <c r="B47" s="61" t="s">
        <v>120</v>
      </c>
    </row>
    <row r="48" spans="1:48" x14ac:dyDescent="0.25">
      <c r="A48" s="61" t="s">
        <v>101</v>
      </c>
      <c r="B48" s="61" t="s">
        <v>101</v>
      </c>
    </row>
    <row r="49" spans="1:4" x14ac:dyDescent="0.25">
      <c r="A49" s="61" t="s">
        <v>105</v>
      </c>
      <c r="B49" s="61" t="s">
        <v>105</v>
      </c>
    </row>
    <row r="50" spans="1:4" x14ac:dyDescent="0.25">
      <c r="B50" s="32"/>
    </row>
    <row r="53" spans="1:4" x14ac:dyDescent="0.25">
      <c r="A53" t="s">
        <v>86</v>
      </c>
      <c r="B53" t="s">
        <v>9</v>
      </c>
      <c r="C53" t="s">
        <v>87</v>
      </c>
    </row>
    <row r="54" spans="1:4" x14ac:dyDescent="0.25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25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25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25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25">
      <c r="A58" s="61" t="s">
        <v>98</v>
      </c>
      <c r="B58" s="61" t="s">
        <v>98</v>
      </c>
      <c r="C58" s="61" t="s">
        <v>98</v>
      </c>
    </row>
    <row r="59" spans="1:4" x14ac:dyDescent="0.25">
      <c r="A59" s="61" t="s">
        <v>11</v>
      </c>
      <c r="B59" s="61" t="s">
        <v>11</v>
      </c>
      <c r="C59" s="61" t="s">
        <v>11</v>
      </c>
    </row>
    <row r="60" spans="1:4" x14ac:dyDescent="0.25">
      <c r="A60" s="61" t="s">
        <v>104</v>
      </c>
      <c r="B60" s="61" t="s">
        <v>104</v>
      </c>
      <c r="C60" s="61" t="s">
        <v>104</v>
      </c>
    </row>
    <row r="61" spans="1:4" x14ac:dyDescent="0.25">
      <c r="A61" s="61" t="s">
        <v>71</v>
      </c>
      <c r="B61" s="61" t="s">
        <v>114</v>
      </c>
      <c r="C61" s="61" t="s">
        <v>114</v>
      </c>
    </row>
    <row r="62" spans="1:4" x14ac:dyDescent="0.25">
      <c r="A62" s="61" t="s">
        <v>89</v>
      </c>
      <c r="B62" s="61" t="s">
        <v>117</v>
      </c>
      <c r="C62" s="61" t="s">
        <v>117</v>
      </c>
    </row>
    <row r="63" spans="1:4" x14ac:dyDescent="0.25">
      <c r="A63" s="61" t="s">
        <v>93</v>
      </c>
      <c r="B63" s="61" t="s">
        <v>71</v>
      </c>
      <c r="C63" s="61" t="s">
        <v>71</v>
      </c>
    </row>
    <row r="64" spans="1:4" x14ac:dyDescent="0.25">
      <c r="A64" s="61" t="s">
        <v>120</v>
      </c>
      <c r="B64" s="61" t="s">
        <v>89</v>
      </c>
      <c r="C64" s="61" t="s">
        <v>89</v>
      </c>
    </row>
    <row r="65" spans="1:3" x14ac:dyDescent="0.25">
      <c r="A65" s="61" t="s">
        <v>101</v>
      </c>
      <c r="B65" s="61" t="s">
        <v>93</v>
      </c>
      <c r="C65" s="61" t="s">
        <v>93</v>
      </c>
    </row>
    <row r="66" spans="1:3" x14ac:dyDescent="0.25">
      <c r="A66" s="61" t="s">
        <v>105</v>
      </c>
      <c r="B66" s="61" t="s">
        <v>120</v>
      </c>
      <c r="C66" s="61" t="s">
        <v>120</v>
      </c>
    </row>
    <row r="67" spans="1:3" x14ac:dyDescent="0.25">
      <c r="B67" s="61" t="s">
        <v>99</v>
      </c>
      <c r="C67" s="61" t="s">
        <v>99</v>
      </c>
    </row>
    <row r="68" spans="1:3" x14ac:dyDescent="0.25">
      <c r="B68" s="61" t="s">
        <v>101</v>
      </c>
      <c r="C68" s="61" t="s">
        <v>101</v>
      </c>
    </row>
    <row r="69" spans="1:3" x14ac:dyDescent="0.25">
      <c r="B69" s="61" t="s">
        <v>105</v>
      </c>
      <c r="C69" s="61" t="s">
        <v>105</v>
      </c>
    </row>
    <row r="72" spans="1:3" x14ac:dyDescent="0.25">
      <c r="A72" t="s">
        <v>27</v>
      </c>
    </row>
    <row r="73" spans="1:3" x14ac:dyDescent="0.25">
      <c r="A73" t="s">
        <v>21</v>
      </c>
    </row>
    <row r="74" spans="1:3" x14ac:dyDescent="0.25">
      <c r="A74" t="s">
        <v>41</v>
      </c>
    </row>
    <row r="80" spans="1:3" x14ac:dyDescent="0.25">
      <c r="A80" t="s">
        <v>123</v>
      </c>
      <c r="B80" t="s">
        <v>124</v>
      </c>
    </row>
    <row r="81" spans="1:2" x14ac:dyDescent="0.25">
      <c r="A81" t="s">
        <v>71</v>
      </c>
      <c r="B81" t="s">
        <v>125</v>
      </c>
    </row>
    <row r="82" spans="1:2" x14ac:dyDescent="0.25">
      <c r="A82" t="s">
        <v>89</v>
      </c>
      <c r="B82" t="s">
        <v>126</v>
      </c>
    </row>
    <row r="83" spans="1:2" x14ac:dyDescent="0.25">
      <c r="A83" t="s">
        <v>93</v>
      </c>
      <c r="B83" t="s">
        <v>127</v>
      </c>
    </row>
    <row r="84" spans="1:2" x14ac:dyDescent="0.25">
      <c r="A84" t="s">
        <v>120</v>
      </c>
      <c r="B84" t="s">
        <v>128</v>
      </c>
    </row>
    <row r="85" spans="1:2" x14ac:dyDescent="0.25">
      <c r="A85" t="s">
        <v>101</v>
      </c>
      <c r="B85" t="s">
        <v>129</v>
      </c>
    </row>
    <row r="86" spans="1:2" x14ac:dyDescent="0.25">
      <c r="A86" t="s">
        <v>105</v>
      </c>
      <c r="B86" t="s">
        <v>130</v>
      </c>
    </row>
    <row r="87" spans="1:2" x14ac:dyDescent="0.25">
      <c r="B87" t="s">
        <v>131</v>
      </c>
    </row>
    <row r="88" spans="1:2" x14ac:dyDescent="0.25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tabSelected="1" workbookViewId="0">
      <selection activeCell="N1" sqref="N1"/>
    </sheetView>
  </sheetViews>
  <sheetFormatPr defaultRowHeight="15" x14ac:dyDescent="0.25"/>
  <cols>
    <col min="1" max="1" bestFit="true" customWidth="true" width="8.0" collapsed="true"/>
    <col min="2" max="2" bestFit="true" customWidth="true" width="9.85546875" collapsed="true"/>
    <col min="3" max="3" bestFit="true" customWidth="true" width="14.28515625" collapsed="true"/>
    <col min="4" max="4" bestFit="true" customWidth="true" width="10.7109375" collapsed="true"/>
    <col min="5" max="5" bestFit="true" customWidth="true" width="9.140625" collapsed="true"/>
    <col min="6" max="6" bestFit="true" customWidth="true" width="10.5703125" collapsed="true"/>
    <col min="7" max="8" bestFit="true" customWidth="true" width="10.42578125" collapsed="true"/>
    <col min="9" max="9" bestFit="true" customWidth="true" width="10.5703125" collapsed="true"/>
    <col min="10" max="10" bestFit="true" customWidth="true" width="35.7109375" collapsed="true"/>
    <col min="11" max="11" bestFit="true" customWidth="true" width="5.42578125" collapsed="true"/>
    <col min="12" max="12" bestFit="true" customWidth="true" width="10.85546875" collapsed="true"/>
    <col min="13" max="13" bestFit="true" customWidth="true" width="13.140625" collapsed="true"/>
    <col min="14" max="14" bestFit="true" customWidth="true" width="7.42578125" collapsed="true"/>
    <col min="15" max="15" bestFit="true" customWidth="true" width="13.28515625" collapsed="true"/>
    <col min="16" max="16" bestFit="true" customWidth="true" width="15.85546875" collapsed="true"/>
    <col min="17" max="17" bestFit="true" customWidth="true" width="17.7109375" collapsed="true"/>
    <col min="18" max="19" bestFit="true" customWidth="true" width="35.7109375" collapsed="true"/>
    <col min="20" max="20" bestFit="true" customWidth="true" width="14.42578125" collapsed="true"/>
    <col min="21" max="21" bestFit="true" customWidth="true" width="36.7109375" collapsed="true"/>
    <col min="22" max="22" bestFit="true" customWidth="true" width="13.28515625" collapsed="true"/>
    <col min="23" max="23" bestFit="true" customWidth="true" width="14.42578125" collapsed="true"/>
    <col min="24" max="24" bestFit="true" customWidth="true" width="10.140625" collapsed="true"/>
    <col min="25" max="25" bestFit="true" customWidth="true" width="11.5703125" collapsed="true"/>
    <col min="26" max="27" bestFit="true" customWidth="true" width="11.42578125" collapsed="true"/>
    <col min="28" max="28" bestFit="true" customWidth="true" width="11.5703125" collapsed="true"/>
    <col min="29" max="29" bestFit="true" customWidth="true" width="36.7109375" collapsed="true"/>
    <col min="30" max="30" bestFit="true" customWidth="true" width="5.7109375" collapsed="true"/>
    <col min="31" max="31" bestFit="true" customWidth="true" width="11.85546875" collapsed="true"/>
    <col min="32" max="32" bestFit="true" customWidth="true" width="16.85546875" collapsed="true"/>
    <col min="33" max="33" bestFit="true" customWidth="true" width="13.85546875" collapsed="true"/>
    <col min="34" max="34" customWidth="true" width="13.85546875" collapsed="true"/>
    <col min="35" max="35" bestFit="true" customWidth="true" width="10.140625" collapsed="true"/>
    <col min="36" max="36" bestFit="true" customWidth="true" width="11.5703125" collapsed="true"/>
    <col min="37" max="38" bestFit="true" customWidth="true" width="11.42578125" collapsed="true"/>
    <col min="39" max="39" bestFit="true" customWidth="true" width="11.5703125" collapsed="true"/>
    <col min="40" max="40" bestFit="true" customWidth="true" width="36.7109375" collapsed="true"/>
    <col min="41" max="41" bestFit="true" customWidth="true" width="5.7109375" collapsed="true"/>
    <col min="42" max="42" bestFit="true" customWidth="true" width="11.85546875" collapsed="true"/>
    <col min="43" max="43" bestFit="true" customWidth="true" width="16.85546875" collapsed="true"/>
    <col min="44" max="44" bestFit="true" customWidth="true" width="13.85546875" collapsed="true"/>
  </cols>
  <sheetData>
    <row r="1" spans="1:101" s="207" customFormat="1" ht="26.45" customHeight="1" x14ac:dyDescent="0.25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201</v>
      </c>
      <c r="F1" s="231" t="s">
        <v>195</v>
      </c>
      <c r="G1" s="232" t="s">
        <v>196</v>
      </c>
      <c r="H1" s="232" t="s">
        <v>197</v>
      </c>
      <c r="I1" s="232" t="s">
        <v>198</v>
      </c>
      <c r="J1" s="230" t="s">
        <v>202</v>
      </c>
      <c r="K1" s="230" t="s">
        <v>203</v>
      </c>
      <c r="L1" s="231" t="s">
        <v>204</v>
      </c>
      <c r="M1" s="230" t="s">
        <v>205</v>
      </c>
      <c r="N1" s="230" t="s">
        <v>210</v>
      </c>
      <c r="O1" s="230" t="s">
        <v>206</v>
      </c>
      <c r="P1" s="230" t="s">
        <v>200</v>
      </c>
      <c r="Q1" s="230" t="s">
        <v>207</v>
      </c>
      <c r="R1" s="230" t="s">
        <v>208</v>
      </c>
      <c r="S1" s="230" t="s">
        <v>209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174</v>
      </c>
      <c r="Y1" s="8" t="s">
        <v>175</v>
      </c>
      <c r="Z1" s="8" t="s">
        <v>176</v>
      </c>
      <c r="AA1" s="8" t="s">
        <v>177</v>
      </c>
      <c r="AB1" s="8" t="s">
        <v>178</v>
      </c>
      <c r="AC1" s="8" t="s">
        <v>179</v>
      </c>
      <c r="AD1" s="8" t="s">
        <v>180</v>
      </c>
      <c r="AE1" s="8" t="s">
        <v>181</v>
      </c>
      <c r="AF1" s="8" t="s">
        <v>182</v>
      </c>
      <c r="AG1" s="8" t="s">
        <v>183</v>
      </c>
      <c r="AH1" s="230" t="s">
        <v>182</v>
      </c>
      <c r="AI1" s="8" t="s">
        <v>184</v>
      </c>
      <c r="AJ1" s="8" t="s">
        <v>185</v>
      </c>
      <c r="AK1" s="8" t="s">
        <v>186</v>
      </c>
      <c r="AL1" s="8" t="s">
        <v>187</v>
      </c>
      <c r="AM1" s="8" t="s">
        <v>188</v>
      </c>
      <c r="AN1" s="8" t="s">
        <v>189</v>
      </c>
      <c r="AO1" s="8" t="s">
        <v>190</v>
      </c>
      <c r="AP1" s="8" t="s">
        <v>191</v>
      </c>
      <c r="AQ1" s="8" t="s">
        <v>192</v>
      </c>
      <c r="AR1" s="8" t="s">
        <v>193</v>
      </c>
      <c r="AS1" s="230" t="s">
        <v>192</v>
      </c>
    </row>
    <row r="2" spans="1:101" s="207" customFormat="1" ht="26.45" customHeight="1" x14ac:dyDescent="0.25">
      <c r="A2" s="225" t="s">
        <v>7</v>
      </c>
      <c r="B2" s="227" t="s">
        <v>83</v>
      </c>
      <c r="C2" s="225" t="s">
        <v>104</v>
      </c>
      <c r="D2" s="225" t="s">
        <v>164</v>
      </c>
      <c r="E2" s="235" t="n">
        <v>7.0</v>
      </c>
      <c r="F2" s="228" t="n">
        <v>700000.0</v>
      </c>
      <c r="G2" s="226" t="n">
        <v>70000.0</v>
      </c>
      <c r="H2" s="226" t="n">
        <v>7000.0</v>
      </c>
      <c r="I2" s="226" t="n">
        <v>700.0</v>
      </c>
      <c r="J2" s="225" t="s">
        <v>21</v>
      </c>
      <c r="K2" s="229" t="n">
        <v>5000.0</v>
      </c>
      <c r="L2" s="225" t="n">
        <v>800.0</v>
      </c>
      <c r="M2" s="225" t="n">
        <v>1.0</v>
      </c>
      <c r="N2" s="225" t="n">
        <v>0.0</v>
      </c>
      <c r="O2" s="225"/>
      <c r="P2" s="225" t="s">
        <v>27</v>
      </c>
      <c r="Q2" s="225" t="n">
        <v>0.0</v>
      </c>
      <c r="R2" s="225" t="s">
        <v>194</v>
      </c>
      <c r="S2" s="225" t="n">
        <v>0.0</v>
      </c>
      <c r="T2" s="225" t="s">
        <v>21</v>
      </c>
      <c r="U2" s="225" t="n">
        <v>0.0</v>
      </c>
      <c r="V2" s="225" t="s">
        <v>48</v>
      </c>
      <c r="W2" s="225" t="s">
        <v>51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25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25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25">
      <c r="A5" s="228" t="n">
        <f>ROUND(Rater!F56,2)</f>
        <v>3700.0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25">
      <c r="A6" s="228" t="n">
        <f>ROUND(Rater!F64,2)</f>
        <v>299.0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25">
      <c r="A7" s="228" t="n">
        <f>ROUND(Rater!F65,2)</f>
        <v>3999.0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Jayakrishnan S</cp:lastModifiedBy>
  <dcterms:modified xsi:type="dcterms:W3CDTF">2022-01-06T03:46:54Z</dcterms:modified>
</cp:coreProperties>
</file>