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0.254\Sharing EPO Team\GOLD EXPORT\250418\CLEARANCE\"/>
    </mc:Choice>
  </mc:AlternateContent>
  <xr:revisionPtr revIDLastSave="0" documentId="13_ncr:1_{A57CFD3F-9D46-469F-84CF-1B191ED38918}" xr6:coauthVersionLast="45" xr6:coauthVersionMax="45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PI!$A$1:$Y$178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68" i="1" l="1"/>
  <c r="AD168" i="1"/>
  <c r="AA168" i="1"/>
  <c r="Y168" i="1" l="1"/>
  <c r="X168" i="1"/>
  <c r="W168" i="1"/>
  <c r="V168" i="1"/>
  <c r="U168" i="1"/>
  <c r="T168" i="1"/>
  <c r="S168" i="1"/>
  <c r="R168" i="1"/>
  <c r="Q168" i="1"/>
  <c r="P168" i="1"/>
  <c r="K168" i="1"/>
  <c r="G168" i="1"/>
  <c r="W142" i="1" l="1"/>
  <c r="V142" i="1"/>
  <c r="U142" i="1"/>
  <c r="S142" i="1"/>
  <c r="R142" i="1"/>
  <c r="Q142" i="1"/>
  <c r="P142" i="1"/>
  <c r="G142" i="1"/>
  <c r="T141" i="1"/>
  <c r="T142" i="1" s="1"/>
  <c r="K141" i="1"/>
  <c r="Y141" i="1" s="1"/>
  <c r="Y139" i="1"/>
  <c r="Z141" i="1" l="1"/>
  <c r="K142" i="1"/>
  <c r="Y142" i="1"/>
  <c r="AD141" i="1"/>
  <c r="AB141" i="1" s="1"/>
  <c r="X141" i="1"/>
  <c r="X142" i="1" l="1"/>
  <c r="AF141" i="1"/>
  <c r="AA141" i="1" s="1"/>
  <c r="AC141" i="1" s="1"/>
  <c r="W167" i="1" l="1"/>
  <c r="V167" i="1"/>
  <c r="U167" i="1"/>
  <c r="S167" i="1"/>
  <c r="R167" i="1"/>
  <c r="Q167" i="1"/>
  <c r="P167" i="1"/>
  <c r="G167" i="1"/>
  <c r="T166" i="1"/>
  <c r="T167" i="1" s="1"/>
  <c r="K166" i="1"/>
  <c r="Y164" i="1"/>
  <c r="W163" i="1"/>
  <c r="V163" i="1"/>
  <c r="U163" i="1"/>
  <c r="S163" i="1"/>
  <c r="R163" i="1"/>
  <c r="Q163" i="1"/>
  <c r="P163" i="1"/>
  <c r="G163" i="1"/>
  <c r="T162" i="1"/>
  <c r="K162" i="1"/>
  <c r="T161" i="1"/>
  <c r="K161" i="1"/>
  <c r="Y159" i="1"/>
  <c r="W158" i="1"/>
  <c r="V158" i="1"/>
  <c r="U158" i="1"/>
  <c r="S158" i="1"/>
  <c r="R158" i="1"/>
  <c r="Q158" i="1"/>
  <c r="P158" i="1"/>
  <c r="G158" i="1"/>
  <c r="T157" i="1"/>
  <c r="K157" i="1"/>
  <c r="T156" i="1"/>
  <c r="K156" i="1"/>
  <c r="T155" i="1"/>
  <c r="K155" i="1"/>
  <c r="Y153" i="1"/>
  <c r="W152" i="1"/>
  <c r="V152" i="1"/>
  <c r="U152" i="1"/>
  <c r="S152" i="1"/>
  <c r="R152" i="1"/>
  <c r="Q152" i="1"/>
  <c r="P152" i="1"/>
  <c r="G152" i="1"/>
  <c r="T151" i="1"/>
  <c r="K151" i="1"/>
  <c r="T150" i="1"/>
  <c r="K150" i="1"/>
  <c r="T149" i="1"/>
  <c r="K149" i="1"/>
  <c r="T148" i="1"/>
  <c r="K148" i="1"/>
  <c r="T147" i="1"/>
  <c r="K147" i="1"/>
  <c r="T146" i="1"/>
  <c r="K146" i="1"/>
  <c r="T145" i="1"/>
  <c r="K145" i="1"/>
  <c r="Y143" i="1"/>
  <c r="Y145" i="1" s="1"/>
  <c r="W138" i="1"/>
  <c r="V138" i="1"/>
  <c r="U138" i="1"/>
  <c r="S138" i="1"/>
  <c r="R138" i="1"/>
  <c r="Q138" i="1"/>
  <c r="P138" i="1"/>
  <c r="G138" i="1"/>
  <c r="T137" i="1"/>
  <c r="T138" i="1" s="1"/>
  <c r="K137" i="1"/>
  <c r="Y135" i="1"/>
  <c r="W134" i="1"/>
  <c r="V134" i="1"/>
  <c r="U134" i="1"/>
  <c r="S134" i="1"/>
  <c r="R134" i="1"/>
  <c r="Q134" i="1"/>
  <c r="P134" i="1"/>
  <c r="G134" i="1"/>
  <c r="T133" i="1"/>
  <c r="K133" i="1"/>
  <c r="T132" i="1"/>
  <c r="K132" i="1"/>
  <c r="Y130" i="1"/>
  <c r="W129" i="1"/>
  <c r="V129" i="1"/>
  <c r="U129" i="1"/>
  <c r="S129" i="1"/>
  <c r="R129" i="1"/>
  <c r="Q129" i="1"/>
  <c r="P129" i="1"/>
  <c r="G129" i="1"/>
  <c r="T128" i="1"/>
  <c r="T129" i="1" s="1"/>
  <c r="K128" i="1"/>
  <c r="Y126" i="1"/>
  <c r="W125" i="1"/>
  <c r="V125" i="1"/>
  <c r="U125" i="1"/>
  <c r="S125" i="1"/>
  <c r="R125" i="1"/>
  <c r="Q125" i="1"/>
  <c r="P125" i="1"/>
  <c r="G125" i="1"/>
  <c r="T124" i="1"/>
  <c r="T125" i="1" s="1"/>
  <c r="K124" i="1"/>
  <c r="Y122" i="1"/>
  <c r="W121" i="1"/>
  <c r="V121" i="1"/>
  <c r="U121" i="1"/>
  <c r="S121" i="1"/>
  <c r="R121" i="1"/>
  <c r="Q121" i="1"/>
  <c r="P121" i="1"/>
  <c r="G121" i="1"/>
  <c r="T120" i="1"/>
  <c r="K120" i="1"/>
  <c r="T119" i="1"/>
  <c r="K119" i="1"/>
  <c r="T118" i="1"/>
  <c r="K118" i="1"/>
  <c r="T117" i="1"/>
  <c r="K117" i="1"/>
  <c r="T116" i="1"/>
  <c r="K116" i="1"/>
  <c r="T115" i="1"/>
  <c r="K115" i="1"/>
  <c r="Y113" i="1"/>
  <c r="W112" i="1"/>
  <c r="V112" i="1"/>
  <c r="U112" i="1"/>
  <c r="T112" i="1"/>
  <c r="S112" i="1"/>
  <c r="R112" i="1"/>
  <c r="Q112" i="1"/>
  <c r="P112" i="1"/>
  <c r="G112" i="1"/>
  <c r="K111" i="1"/>
  <c r="Y109" i="1"/>
  <c r="Y124" i="1" l="1"/>
  <c r="Y125" i="1" s="1"/>
  <c r="Y157" i="1"/>
  <c r="T134" i="1"/>
  <c r="Y166" i="1"/>
  <c r="Y161" i="1"/>
  <c r="Y151" i="1"/>
  <c r="Y116" i="1"/>
  <c r="Y128" i="1"/>
  <c r="Y129" i="1" s="1"/>
  <c r="Y137" i="1"/>
  <c r="Y138" i="1" s="1"/>
  <c r="Y146" i="1"/>
  <c r="Y156" i="1"/>
  <c r="Y162" i="1"/>
  <c r="Y147" i="1"/>
  <c r="Y111" i="1"/>
  <c r="Y112" i="1" s="1"/>
  <c r="Y119" i="1"/>
  <c r="Y133" i="1"/>
  <c r="Y150" i="1"/>
  <c r="Y148" i="1"/>
  <c r="Y155" i="1"/>
  <c r="AD161" i="1"/>
  <c r="AB161" i="1" s="1"/>
  <c r="Z115" i="1"/>
  <c r="Y115" i="1"/>
  <c r="T152" i="1"/>
  <c r="Y149" i="1"/>
  <c r="T163" i="1"/>
  <c r="Y120" i="1"/>
  <c r="Y132" i="1"/>
  <c r="Y118" i="1"/>
  <c r="T121" i="1"/>
  <c r="Y117" i="1"/>
  <c r="T158" i="1"/>
  <c r="Z162" i="1"/>
  <c r="X162" i="1"/>
  <c r="AF162" i="1" s="1"/>
  <c r="AD162" i="1"/>
  <c r="AB162" i="1" s="1"/>
  <c r="Z166" i="1"/>
  <c r="K167" i="1"/>
  <c r="Y167" i="1"/>
  <c r="X166" i="1"/>
  <c r="AD166" i="1"/>
  <c r="AB166" i="1" s="1"/>
  <c r="X161" i="1"/>
  <c r="Z161" i="1"/>
  <c r="K163" i="1"/>
  <c r="AD156" i="1"/>
  <c r="AB156" i="1" s="1"/>
  <c r="Z156" i="1"/>
  <c r="X156" i="1"/>
  <c r="AF156" i="1" s="1"/>
  <c r="Z157" i="1"/>
  <c r="X157" i="1"/>
  <c r="AF157" i="1" s="1"/>
  <c r="AD157" i="1"/>
  <c r="AB157" i="1" s="1"/>
  <c r="X155" i="1"/>
  <c r="K158" i="1"/>
  <c r="AD155" i="1"/>
  <c r="AB155" i="1" s="1"/>
  <c r="Z155" i="1"/>
  <c r="X149" i="1"/>
  <c r="AF149" i="1" s="1"/>
  <c r="AD149" i="1"/>
  <c r="AB149" i="1" s="1"/>
  <c r="Z149" i="1"/>
  <c r="AD150" i="1"/>
  <c r="AB150" i="1" s="1"/>
  <c r="X150" i="1"/>
  <c r="AF150" i="1" s="1"/>
  <c r="Z150" i="1"/>
  <c r="K152" i="1"/>
  <c r="Z146" i="1"/>
  <c r="X146" i="1"/>
  <c r="AF146" i="1" s="1"/>
  <c r="AD146" i="1"/>
  <c r="AB146" i="1" s="1"/>
  <c r="Z151" i="1"/>
  <c r="X151" i="1"/>
  <c r="AF151" i="1" s="1"/>
  <c r="AD151" i="1"/>
  <c r="AB151" i="1" s="1"/>
  <c r="Z148" i="1"/>
  <c r="X148" i="1"/>
  <c r="AF148" i="1" s="1"/>
  <c r="AA148" i="1" s="1"/>
  <c r="AD148" i="1"/>
  <c r="AB148" i="1" s="1"/>
  <c r="AD147" i="1"/>
  <c r="AB147" i="1" s="1"/>
  <c r="X147" i="1"/>
  <c r="AF147" i="1" s="1"/>
  <c r="Z147" i="1"/>
  <c r="X145" i="1"/>
  <c r="AD145" i="1"/>
  <c r="AB145" i="1" s="1"/>
  <c r="Z145" i="1"/>
  <c r="Z133" i="1"/>
  <c r="X133" i="1"/>
  <c r="AF133" i="1" s="1"/>
  <c r="AD133" i="1"/>
  <c r="AB133" i="1" s="1"/>
  <c r="K138" i="1"/>
  <c r="X137" i="1"/>
  <c r="AD137" i="1"/>
  <c r="AB137" i="1" s="1"/>
  <c r="Z137" i="1"/>
  <c r="AD132" i="1"/>
  <c r="AB132" i="1" s="1"/>
  <c r="K134" i="1"/>
  <c r="X132" i="1"/>
  <c r="Z132" i="1"/>
  <c r="Z124" i="1"/>
  <c r="AD124" i="1"/>
  <c r="AB124" i="1" s="1"/>
  <c r="K125" i="1"/>
  <c r="X124" i="1"/>
  <c r="Z128" i="1"/>
  <c r="K129" i="1"/>
  <c r="AD128" i="1"/>
  <c r="AB128" i="1" s="1"/>
  <c r="X128" i="1"/>
  <c r="X117" i="1"/>
  <c r="AF117" i="1" s="1"/>
  <c r="Z117" i="1"/>
  <c r="AD117" i="1"/>
  <c r="AB117" i="1" s="1"/>
  <c r="Z118" i="1"/>
  <c r="X118" i="1"/>
  <c r="AF118" i="1" s="1"/>
  <c r="AD118" i="1"/>
  <c r="AB118" i="1" s="1"/>
  <c r="AD119" i="1"/>
  <c r="AB119" i="1" s="1"/>
  <c r="Z119" i="1"/>
  <c r="X119" i="1"/>
  <c r="AF119" i="1" s="1"/>
  <c r="Z111" i="1"/>
  <c r="K112" i="1"/>
  <c r="X111" i="1"/>
  <c r="AD111" i="1"/>
  <c r="AB111" i="1" s="1"/>
  <c r="AD116" i="1"/>
  <c r="AB116" i="1" s="1"/>
  <c r="X116" i="1"/>
  <c r="AF116" i="1" s="1"/>
  <c r="Z116" i="1"/>
  <c r="Z120" i="1"/>
  <c r="X120" i="1"/>
  <c r="AF120" i="1" s="1"/>
  <c r="AD120" i="1"/>
  <c r="AB120" i="1" s="1"/>
  <c r="AD115" i="1"/>
  <c r="AB115" i="1" s="1"/>
  <c r="X115" i="1"/>
  <c r="K121" i="1"/>
  <c r="Y158" i="1" l="1"/>
  <c r="AA162" i="1"/>
  <c r="AA119" i="1"/>
  <c r="Y163" i="1"/>
  <c r="AA157" i="1"/>
  <c r="AC157" i="1" s="1"/>
  <c r="AA133" i="1"/>
  <c r="AC133" i="1" s="1"/>
  <c r="AA118" i="1"/>
  <c r="AC118" i="1" s="1"/>
  <c r="AA146" i="1"/>
  <c r="AC146" i="1" s="1"/>
  <c r="AA147" i="1"/>
  <c r="AC147" i="1" s="1"/>
  <c r="AA120" i="1"/>
  <c r="AC120" i="1" s="1"/>
  <c r="AA156" i="1"/>
  <c r="AC156" i="1" s="1"/>
  <c r="AA117" i="1"/>
  <c r="AC117" i="1" s="1"/>
  <c r="AA151" i="1"/>
  <c r="AC151" i="1" s="1"/>
  <c r="X167" i="1"/>
  <c r="AF166" i="1"/>
  <c r="AA166" i="1" s="1"/>
  <c r="AC166" i="1" s="1"/>
  <c r="AC162" i="1"/>
  <c r="X163" i="1"/>
  <c r="AF161" i="1"/>
  <c r="AA161" i="1" s="1"/>
  <c r="AC161" i="1" s="1"/>
  <c r="X158" i="1"/>
  <c r="AF155" i="1"/>
  <c r="AA155" i="1" s="1"/>
  <c r="AC155" i="1" s="1"/>
  <c r="AC148" i="1"/>
  <c r="AA150" i="1"/>
  <c r="AC150" i="1" s="1"/>
  <c r="Y152" i="1"/>
  <c r="X152" i="1"/>
  <c r="AF145" i="1"/>
  <c r="AA145" i="1" s="1"/>
  <c r="AC145" i="1" s="1"/>
  <c r="AA149" i="1"/>
  <c r="AC149" i="1" s="1"/>
  <c r="X138" i="1"/>
  <c r="AF137" i="1"/>
  <c r="AA137" i="1" s="1"/>
  <c r="AC137" i="1" s="1"/>
  <c r="Y134" i="1"/>
  <c r="AF132" i="1"/>
  <c r="AA132" i="1" s="1"/>
  <c r="AC132" i="1" s="1"/>
  <c r="X134" i="1"/>
  <c r="AF124" i="1"/>
  <c r="AA124" i="1" s="1"/>
  <c r="AC124" i="1" s="1"/>
  <c r="X125" i="1"/>
  <c r="X129" i="1"/>
  <c r="AF128" i="1"/>
  <c r="AA128" i="1" s="1"/>
  <c r="AC128" i="1" s="1"/>
  <c r="X112" i="1"/>
  <c r="AF111" i="1"/>
  <c r="AA111" i="1" s="1"/>
  <c r="AC111" i="1" s="1"/>
  <c r="Y121" i="1"/>
  <c r="X121" i="1"/>
  <c r="AF115" i="1"/>
  <c r="AA115" i="1" s="1"/>
  <c r="AC115" i="1" s="1"/>
  <c r="AA116" i="1"/>
  <c r="AC116" i="1" s="1"/>
  <c r="AC119" i="1"/>
  <c r="W108" i="1" l="1"/>
  <c r="V108" i="1"/>
  <c r="U108" i="1"/>
  <c r="S108" i="1"/>
  <c r="R108" i="1"/>
  <c r="Q108" i="1"/>
  <c r="P108" i="1"/>
  <c r="G108" i="1"/>
  <c r="T107" i="1"/>
  <c r="T108" i="1" s="1"/>
  <c r="K107" i="1"/>
  <c r="Z107" i="1" s="1"/>
  <c r="Y105" i="1"/>
  <c r="W104" i="1"/>
  <c r="V104" i="1"/>
  <c r="U104" i="1"/>
  <c r="S104" i="1"/>
  <c r="R104" i="1"/>
  <c r="Q104" i="1"/>
  <c r="P104" i="1"/>
  <c r="G104" i="1"/>
  <c r="T103" i="1"/>
  <c r="K103" i="1"/>
  <c r="T102" i="1"/>
  <c r="K102" i="1"/>
  <c r="T101" i="1"/>
  <c r="K101" i="1"/>
  <c r="T100" i="1"/>
  <c r="K100" i="1"/>
  <c r="Y98" i="1"/>
  <c r="W97" i="1"/>
  <c r="V97" i="1"/>
  <c r="U97" i="1"/>
  <c r="S97" i="1"/>
  <c r="R97" i="1"/>
  <c r="Q97" i="1"/>
  <c r="P97" i="1"/>
  <c r="G97" i="1"/>
  <c r="T96" i="1"/>
  <c r="T97" i="1" s="1"/>
  <c r="K96" i="1"/>
  <c r="Y94" i="1"/>
  <c r="W93" i="1"/>
  <c r="V93" i="1"/>
  <c r="U93" i="1"/>
  <c r="S93" i="1"/>
  <c r="R93" i="1"/>
  <c r="Q93" i="1"/>
  <c r="P93" i="1"/>
  <c r="G93" i="1"/>
  <c r="T92" i="1"/>
  <c r="K92" i="1"/>
  <c r="T91" i="1"/>
  <c r="K91" i="1"/>
  <c r="Z91" i="1" s="1"/>
  <c r="T90" i="1"/>
  <c r="K90" i="1"/>
  <c r="X90" i="1" s="1"/>
  <c r="AF90" i="1" s="1"/>
  <c r="T89" i="1"/>
  <c r="K89" i="1"/>
  <c r="Z89" i="1" s="1"/>
  <c r="T88" i="1"/>
  <c r="K88" i="1"/>
  <c r="T87" i="1"/>
  <c r="K87" i="1"/>
  <c r="T86" i="1"/>
  <c r="K86" i="1"/>
  <c r="T85" i="1"/>
  <c r="K85" i="1"/>
  <c r="T84" i="1"/>
  <c r="K84" i="1"/>
  <c r="T83" i="1"/>
  <c r="K83" i="1"/>
  <c r="Z83" i="1" s="1"/>
  <c r="T82" i="1"/>
  <c r="K82" i="1"/>
  <c r="X82" i="1" s="1"/>
  <c r="AF82" i="1" s="1"/>
  <c r="K81" i="1"/>
  <c r="Y79" i="1"/>
  <c r="W78" i="1"/>
  <c r="V78" i="1"/>
  <c r="U78" i="1"/>
  <c r="S78" i="1"/>
  <c r="R78" i="1"/>
  <c r="Q78" i="1"/>
  <c r="P78" i="1"/>
  <c r="G78" i="1"/>
  <c r="T77" i="1"/>
  <c r="K77" i="1"/>
  <c r="T76" i="1"/>
  <c r="K76" i="1"/>
  <c r="AD76" i="1" s="1"/>
  <c r="AB76" i="1" s="1"/>
  <c r="T75" i="1"/>
  <c r="K75" i="1"/>
  <c r="X75" i="1" s="1"/>
  <c r="AF75" i="1" s="1"/>
  <c r="T74" i="1"/>
  <c r="K74" i="1"/>
  <c r="T73" i="1"/>
  <c r="K73" i="1"/>
  <c r="K72" i="1"/>
  <c r="Z72" i="1" s="1"/>
  <c r="K71" i="1"/>
  <c r="K70" i="1"/>
  <c r="Y68" i="1"/>
  <c r="Y70" i="1" s="1"/>
  <c r="W67" i="1"/>
  <c r="V67" i="1"/>
  <c r="U67" i="1"/>
  <c r="S67" i="1"/>
  <c r="R67" i="1"/>
  <c r="Q67" i="1"/>
  <c r="P67" i="1"/>
  <c r="G67" i="1"/>
  <c r="T66" i="1"/>
  <c r="K66" i="1"/>
  <c r="T65" i="1"/>
  <c r="T67" i="1" s="1"/>
  <c r="K65" i="1"/>
  <c r="Y63" i="1"/>
  <c r="Y65" i="1" s="1"/>
  <c r="Y96" i="1" l="1"/>
  <c r="T78" i="1"/>
  <c r="Y100" i="1"/>
  <c r="Y85" i="1"/>
  <c r="Y97" i="1"/>
  <c r="Y77" i="1"/>
  <c r="Y101" i="1"/>
  <c r="Y107" i="1"/>
  <c r="Y108" i="1" s="1"/>
  <c r="Y92" i="1"/>
  <c r="Y66" i="1"/>
  <c r="Y84" i="1"/>
  <c r="Z103" i="1"/>
  <c r="Y103" i="1"/>
  <c r="X101" i="1"/>
  <c r="AF101" i="1" s="1"/>
  <c r="Z101" i="1"/>
  <c r="Y76" i="1"/>
  <c r="Y91" i="1"/>
  <c r="Y83" i="1"/>
  <c r="T104" i="1"/>
  <c r="Y75" i="1"/>
  <c r="Y90" i="1"/>
  <c r="Y82" i="1"/>
  <c r="Y74" i="1"/>
  <c r="Y89" i="1"/>
  <c r="Y102" i="1"/>
  <c r="Y73" i="1"/>
  <c r="Y88" i="1"/>
  <c r="Y72" i="1"/>
  <c r="Y87" i="1"/>
  <c r="T93" i="1"/>
  <c r="Y71" i="1"/>
  <c r="Y86" i="1"/>
  <c r="Y81" i="1"/>
  <c r="K104" i="1"/>
  <c r="Z100" i="1"/>
  <c r="X100" i="1"/>
  <c r="AD100" i="1"/>
  <c r="AB100" i="1" s="1"/>
  <c r="X102" i="1"/>
  <c r="AF102" i="1" s="1"/>
  <c r="AD103" i="1"/>
  <c r="AB103" i="1" s="1"/>
  <c r="AD107" i="1"/>
  <c r="AB107" i="1" s="1"/>
  <c r="Z102" i="1"/>
  <c r="AD102" i="1"/>
  <c r="AB102" i="1" s="1"/>
  <c r="X107" i="1"/>
  <c r="K108" i="1"/>
  <c r="AD101" i="1"/>
  <c r="AB101" i="1" s="1"/>
  <c r="X103" i="1"/>
  <c r="AF103" i="1" s="1"/>
  <c r="Z96" i="1"/>
  <c r="X96" i="1"/>
  <c r="K97" i="1"/>
  <c r="AD96" i="1"/>
  <c r="AB96" i="1" s="1"/>
  <c r="K93" i="1"/>
  <c r="Z81" i="1"/>
  <c r="X81" i="1"/>
  <c r="AD81" i="1"/>
  <c r="AB81" i="1" s="1"/>
  <c r="AD88" i="1"/>
  <c r="AB88" i="1" s="1"/>
  <c r="Z88" i="1"/>
  <c r="X88" i="1"/>
  <c r="AF88" i="1" s="1"/>
  <c r="AD73" i="1"/>
  <c r="AB73" i="1" s="1"/>
  <c r="Z73" i="1"/>
  <c r="X73" i="1"/>
  <c r="AF73" i="1" s="1"/>
  <c r="Z87" i="1"/>
  <c r="X87" i="1"/>
  <c r="AF87" i="1" s="1"/>
  <c r="AD87" i="1"/>
  <c r="AB87" i="1" s="1"/>
  <c r="Z84" i="1"/>
  <c r="X84" i="1"/>
  <c r="AF84" i="1" s="1"/>
  <c r="AD84" i="1"/>
  <c r="AB84" i="1" s="1"/>
  <c r="X85" i="1"/>
  <c r="AF85" i="1" s="1"/>
  <c r="AD85" i="1"/>
  <c r="AB85" i="1" s="1"/>
  <c r="Z85" i="1"/>
  <c r="K78" i="1"/>
  <c r="Z70" i="1"/>
  <c r="X70" i="1"/>
  <c r="AD70" i="1"/>
  <c r="AB70" i="1" s="1"/>
  <c r="Z86" i="1"/>
  <c r="X86" i="1"/>
  <c r="AF86" i="1" s="1"/>
  <c r="AD86" i="1"/>
  <c r="AB86" i="1" s="1"/>
  <c r="Z92" i="1"/>
  <c r="X92" i="1"/>
  <c r="AF92" i="1" s="1"/>
  <c r="AD92" i="1"/>
  <c r="AB92" i="1" s="1"/>
  <c r="Z71" i="1"/>
  <c r="X71" i="1"/>
  <c r="AF71" i="1" s="1"/>
  <c r="AD71" i="1"/>
  <c r="AB71" i="1" s="1"/>
  <c r="Z77" i="1"/>
  <c r="X77" i="1"/>
  <c r="AF77" i="1" s="1"/>
  <c r="AD77" i="1"/>
  <c r="AB77" i="1" s="1"/>
  <c r="AD91" i="1"/>
  <c r="AB91" i="1" s="1"/>
  <c r="Z75" i="1"/>
  <c r="AA75" i="1" s="1"/>
  <c r="Z82" i="1"/>
  <c r="AA82" i="1" s="1"/>
  <c r="Z90" i="1"/>
  <c r="AA90" i="1" s="1"/>
  <c r="AD83" i="1"/>
  <c r="AB83" i="1" s="1"/>
  <c r="AD74" i="1"/>
  <c r="AB74" i="1" s="1"/>
  <c r="X83" i="1"/>
  <c r="AF83" i="1" s="1"/>
  <c r="AA83" i="1" s="1"/>
  <c r="AD89" i="1"/>
  <c r="AB89" i="1" s="1"/>
  <c r="X91" i="1"/>
  <c r="AF91" i="1" s="1"/>
  <c r="AA91" i="1" s="1"/>
  <c r="X76" i="1"/>
  <c r="AF76" i="1" s="1"/>
  <c r="AD72" i="1"/>
  <c r="AB72" i="1" s="1"/>
  <c r="X74" i="1"/>
  <c r="AF74" i="1" s="1"/>
  <c r="Z76" i="1"/>
  <c r="X89" i="1"/>
  <c r="AF89" i="1" s="1"/>
  <c r="AA89" i="1" s="1"/>
  <c r="AD82" i="1"/>
  <c r="AB82" i="1" s="1"/>
  <c r="AD90" i="1"/>
  <c r="AB90" i="1" s="1"/>
  <c r="AD75" i="1"/>
  <c r="AB75" i="1" s="1"/>
  <c r="X72" i="1"/>
  <c r="AF72" i="1" s="1"/>
  <c r="AA72" i="1" s="1"/>
  <c r="Z74" i="1"/>
  <c r="AD65" i="1"/>
  <c r="AB65" i="1" s="1"/>
  <c r="Z65" i="1"/>
  <c r="K67" i="1"/>
  <c r="X65" i="1"/>
  <c r="Z66" i="1"/>
  <c r="X66" i="1"/>
  <c r="AF66" i="1" s="1"/>
  <c r="AD66" i="1"/>
  <c r="AB66" i="1" s="1"/>
  <c r="AA84" i="1" l="1"/>
  <c r="Y104" i="1"/>
  <c r="AA66" i="1"/>
  <c r="AC66" i="1" s="1"/>
  <c r="AA87" i="1"/>
  <c r="AC87" i="1"/>
  <c r="AA73" i="1"/>
  <c r="AC73" i="1" s="1"/>
  <c r="Y67" i="1"/>
  <c r="AC91" i="1"/>
  <c r="AC75" i="1"/>
  <c r="AA103" i="1"/>
  <c r="AC103" i="1" s="1"/>
  <c r="AA85" i="1"/>
  <c r="AC85" i="1" s="1"/>
  <c r="AA102" i="1"/>
  <c r="AC102" i="1" s="1"/>
  <c r="Y78" i="1"/>
  <c r="AA74" i="1"/>
  <c r="AC74" i="1" s="1"/>
  <c r="AC90" i="1"/>
  <c r="AC72" i="1"/>
  <c r="AA92" i="1"/>
  <c r="AC92" i="1" s="1"/>
  <c r="AA101" i="1"/>
  <c r="AC101" i="1" s="1"/>
  <c r="AC83" i="1"/>
  <c r="AA77" i="1"/>
  <c r="AC77" i="1" s="1"/>
  <c r="X104" i="1"/>
  <c r="AF100" i="1"/>
  <c r="AA100" i="1" s="1"/>
  <c r="AC100" i="1" s="1"/>
  <c r="X108" i="1"/>
  <c r="AF107" i="1"/>
  <c r="AA107" i="1" s="1"/>
  <c r="AC107" i="1" s="1"/>
  <c r="X97" i="1"/>
  <c r="AF96" i="1"/>
  <c r="AA96" i="1" s="1"/>
  <c r="AC96" i="1" s="1"/>
  <c r="X93" i="1"/>
  <c r="AF81" i="1"/>
  <c r="AA81" i="1" s="1"/>
  <c r="AC81" i="1" s="1"/>
  <c r="AC82" i="1"/>
  <c r="X78" i="1"/>
  <c r="AF70" i="1"/>
  <c r="AA70" i="1" s="1"/>
  <c r="AC70" i="1" s="1"/>
  <c r="AA76" i="1"/>
  <c r="AC76" i="1" s="1"/>
  <c r="AC84" i="1"/>
  <c r="AA71" i="1"/>
  <c r="AC71" i="1" s="1"/>
  <c r="AA86" i="1"/>
  <c r="AC86" i="1" s="1"/>
  <c r="Y93" i="1"/>
  <c r="AC89" i="1"/>
  <c r="AA88" i="1"/>
  <c r="AC88" i="1" s="1"/>
  <c r="X67" i="1"/>
  <c r="AF65" i="1"/>
  <c r="AA65" i="1" s="1"/>
  <c r="AC65" i="1" s="1"/>
  <c r="W62" i="1" l="1"/>
  <c r="V62" i="1"/>
  <c r="U62" i="1"/>
  <c r="S62" i="1"/>
  <c r="R62" i="1"/>
  <c r="Q62" i="1"/>
  <c r="P62" i="1"/>
  <c r="G62" i="1"/>
  <c r="T61" i="1"/>
  <c r="K61" i="1"/>
  <c r="T60" i="1"/>
  <c r="K60" i="1"/>
  <c r="T59" i="1"/>
  <c r="K59" i="1"/>
  <c r="T58" i="1"/>
  <c r="K58" i="1"/>
  <c r="T57" i="1"/>
  <c r="K57" i="1"/>
  <c r="AD57" i="1" s="1"/>
  <c r="AB57" i="1" s="1"/>
  <c r="T56" i="1"/>
  <c r="K56" i="1"/>
  <c r="T55" i="1"/>
  <c r="K55" i="1"/>
  <c r="Y53" i="1"/>
  <c r="Y61" i="1" l="1"/>
  <c r="T62" i="1"/>
  <c r="Y60" i="1"/>
  <c r="Y55" i="1"/>
  <c r="X56" i="1"/>
  <c r="AF56" i="1" s="1"/>
  <c r="Z56" i="1"/>
  <c r="Y56" i="1"/>
  <c r="Y59" i="1"/>
  <c r="Y58" i="1"/>
  <c r="Y57" i="1"/>
  <c r="Z58" i="1"/>
  <c r="X58" i="1"/>
  <c r="AF58" i="1" s="1"/>
  <c r="AD58" i="1"/>
  <c r="AB58" i="1" s="1"/>
  <c r="X59" i="1"/>
  <c r="AF59" i="1" s="1"/>
  <c r="Z59" i="1"/>
  <c r="AD59" i="1"/>
  <c r="AB59" i="1" s="1"/>
  <c r="AD60" i="1"/>
  <c r="AB60" i="1" s="1"/>
  <c r="Z60" i="1"/>
  <c r="X60" i="1"/>
  <c r="AF60" i="1" s="1"/>
  <c r="AA60" i="1" s="1"/>
  <c r="K62" i="1"/>
  <c r="AD55" i="1"/>
  <c r="AB55" i="1" s="1"/>
  <c r="Z55" i="1"/>
  <c r="X55" i="1"/>
  <c r="Z61" i="1"/>
  <c r="X61" i="1"/>
  <c r="AF61" i="1" s="1"/>
  <c r="AD61" i="1"/>
  <c r="AB61" i="1" s="1"/>
  <c r="Z57" i="1"/>
  <c r="AD56" i="1"/>
  <c r="AB56" i="1" s="1"/>
  <c r="X57" i="1"/>
  <c r="AF57" i="1" s="1"/>
  <c r="AA61" i="1" l="1"/>
  <c r="AC61" i="1" s="1"/>
  <c r="AA56" i="1"/>
  <c r="AC56" i="1" s="1"/>
  <c r="AA58" i="1"/>
  <c r="AC58" i="1" s="1"/>
  <c r="AA59" i="1"/>
  <c r="AC59" i="1" s="1"/>
  <c r="AC60" i="1"/>
  <c r="AA57" i="1"/>
  <c r="AC57" i="1" s="1"/>
  <c r="X62" i="1"/>
  <c r="AF55" i="1"/>
  <c r="AA55" i="1" s="1"/>
  <c r="AC55" i="1" s="1"/>
  <c r="Y62" i="1"/>
  <c r="W52" i="1" l="1"/>
  <c r="V52" i="1"/>
  <c r="U52" i="1"/>
  <c r="S52" i="1"/>
  <c r="R52" i="1"/>
  <c r="Q52" i="1"/>
  <c r="P52" i="1"/>
  <c r="G52" i="1"/>
  <c r="K51" i="1"/>
  <c r="Z51" i="1" s="1"/>
  <c r="T50" i="1"/>
  <c r="K50" i="1"/>
  <c r="T49" i="1"/>
  <c r="K49" i="1"/>
  <c r="T48" i="1"/>
  <c r="K48" i="1"/>
  <c r="K47" i="1"/>
  <c r="AD47" i="1" s="1"/>
  <c r="AB47" i="1" s="1"/>
  <c r="Y45" i="1"/>
  <c r="W44" i="1"/>
  <c r="V44" i="1"/>
  <c r="U44" i="1"/>
  <c r="S44" i="1"/>
  <c r="R44" i="1"/>
  <c r="Q44" i="1"/>
  <c r="P44" i="1"/>
  <c r="G44" i="1"/>
  <c r="T43" i="1"/>
  <c r="K43" i="1"/>
  <c r="T42" i="1"/>
  <c r="K42" i="1"/>
  <c r="Y40" i="1"/>
  <c r="Y43" i="1" l="1"/>
  <c r="Y42" i="1"/>
  <c r="T52" i="1"/>
  <c r="T44" i="1"/>
  <c r="Y48" i="1"/>
  <c r="Y47" i="1"/>
  <c r="Y51" i="1"/>
  <c r="Y50" i="1"/>
  <c r="Y49" i="1"/>
  <c r="Z48" i="1"/>
  <c r="X48" i="1"/>
  <c r="AF48" i="1" s="1"/>
  <c r="AD48" i="1"/>
  <c r="AB48" i="1" s="1"/>
  <c r="X49" i="1"/>
  <c r="AF49" i="1" s="1"/>
  <c r="AD49" i="1"/>
  <c r="AB49" i="1" s="1"/>
  <c r="Z49" i="1"/>
  <c r="X47" i="1"/>
  <c r="X50" i="1"/>
  <c r="AF50" i="1" s="1"/>
  <c r="AD51" i="1"/>
  <c r="AB51" i="1" s="1"/>
  <c r="Z50" i="1"/>
  <c r="X51" i="1"/>
  <c r="AF51" i="1" s="1"/>
  <c r="AA51" i="1" s="1"/>
  <c r="K52" i="1"/>
  <c r="AD50" i="1"/>
  <c r="AB50" i="1" s="1"/>
  <c r="Z47" i="1"/>
  <c r="K44" i="1"/>
  <c r="Z42" i="1"/>
  <c r="Y44" i="1"/>
  <c r="X42" i="1"/>
  <c r="AD42" i="1"/>
  <c r="AB42" i="1" s="1"/>
  <c r="X43" i="1"/>
  <c r="AF43" i="1" s="1"/>
  <c r="Z43" i="1"/>
  <c r="AD43" i="1"/>
  <c r="AB43" i="1" s="1"/>
  <c r="AC51" i="1" l="1"/>
  <c r="AA48" i="1"/>
  <c r="AC48" i="1"/>
  <c r="AA50" i="1"/>
  <c r="AC50" i="1" s="1"/>
  <c r="AA49" i="1"/>
  <c r="AC49" i="1" s="1"/>
  <c r="Y52" i="1"/>
  <c r="X52" i="1"/>
  <c r="AF47" i="1"/>
  <c r="AA47" i="1" s="1"/>
  <c r="AC47" i="1" s="1"/>
  <c r="AA43" i="1"/>
  <c r="AC43" i="1" s="1"/>
  <c r="X44" i="1"/>
  <c r="AF42" i="1"/>
  <c r="AA42" i="1" s="1"/>
  <c r="AC42" i="1" s="1"/>
  <c r="W39" i="1" l="1"/>
  <c r="V39" i="1"/>
  <c r="U39" i="1"/>
  <c r="S39" i="1"/>
  <c r="R39" i="1"/>
  <c r="Q39" i="1"/>
  <c r="P39" i="1"/>
  <c r="G39" i="1"/>
  <c r="T38" i="1"/>
  <c r="T39" i="1" s="1"/>
  <c r="K38" i="1"/>
  <c r="Y36" i="1"/>
  <c r="W35" i="1"/>
  <c r="V35" i="1"/>
  <c r="U35" i="1"/>
  <c r="T35" i="1"/>
  <c r="S35" i="1"/>
  <c r="R35" i="1"/>
  <c r="Q35" i="1"/>
  <c r="P35" i="1"/>
  <c r="G35" i="1"/>
  <c r="K34" i="1"/>
  <c r="Z34" i="1" s="1"/>
  <c r="Y32" i="1"/>
  <c r="Y38" i="1" l="1"/>
  <c r="Y39" i="1" s="1"/>
  <c r="Y34" i="1"/>
  <c r="Y35" i="1" s="1"/>
  <c r="Z38" i="1"/>
  <c r="AD38" i="1"/>
  <c r="AB38" i="1" s="1"/>
  <c r="K39" i="1"/>
  <c r="X38" i="1"/>
  <c r="AD34" i="1"/>
  <c r="AB34" i="1" s="1"/>
  <c r="X34" i="1"/>
  <c r="AF34" i="1" s="1"/>
  <c r="AA34" i="1" s="1"/>
  <c r="K35" i="1"/>
  <c r="AC34" i="1" l="1"/>
  <c r="X39" i="1"/>
  <c r="AF38" i="1"/>
  <c r="AA38" i="1" s="1"/>
  <c r="AC38" i="1" s="1"/>
  <c r="X35" i="1"/>
  <c r="W31" i="1" l="1"/>
  <c r="V31" i="1"/>
  <c r="U31" i="1"/>
  <c r="S31" i="1"/>
  <c r="R31" i="1"/>
  <c r="Q31" i="1"/>
  <c r="P31" i="1"/>
  <c r="G31" i="1"/>
  <c r="T30" i="1"/>
  <c r="K30" i="1"/>
  <c r="T29" i="1"/>
  <c r="K29" i="1"/>
  <c r="T28" i="1"/>
  <c r="K28" i="1"/>
  <c r="T27" i="1"/>
  <c r="K27" i="1"/>
  <c r="Z27" i="1" s="1"/>
  <c r="T26" i="1"/>
  <c r="K26" i="1"/>
  <c r="T25" i="1"/>
  <c r="K25" i="1"/>
  <c r="Z25" i="1" s="1"/>
  <c r="Y23" i="1"/>
  <c r="W22" i="1"/>
  <c r="V22" i="1"/>
  <c r="U22" i="1"/>
  <c r="S22" i="1"/>
  <c r="R22" i="1"/>
  <c r="P22" i="1"/>
  <c r="G22" i="1"/>
  <c r="T21" i="1"/>
  <c r="Q21" i="1"/>
  <c r="K21" i="1"/>
  <c r="T20" i="1"/>
  <c r="Q20" i="1"/>
  <c r="K20" i="1"/>
  <c r="T19" i="1"/>
  <c r="Q19" i="1"/>
  <c r="K19" i="1"/>
  <c r="T18" i="1"/>
  <c r="Q18" i="1"/>
  <c r="K18" i="1"/>
  <c r="T17" i="1"/>
  <c r="Q17" i="1"/>
  <c r="K17" i="1"/>
  <c r="T16" i="1"/>
  <c r="Q16" i="1"/>
  <c r="K16" i="1"/>
  <c r="Y14" i="1"/>
  <c r="Y17" i="1" s="1"/>
  <c r="Y26" i="1" l="1"/>
  <c r="T22" i="1"/>
  <c r="Q22" i="1"/>
  <c r="AD16" i="1"/>
  <c r="AB16" i="1" s="1"/>
  <c r="AB168" i="1" s="1"/>
  <c r="X16" i="1"/>
  <c r="AF16" i="1" s="1"/>
  <c r="Y25" i="1"/>
  <c r="Y30" i="1"/>
  <c r="Y16" i="1"/>
  <c r="Y29" i="1"/>
  <c r="Y21" i="1"/>
  <c r="Y28" i="1"/>
  <c r="Y20" i="1"/>
  <c r="Y27" i="1"/>
  <c r="Y19" i="1"/>
  <c r="T31" i="1"/>
  <c r="Y18" i="1"/>
  <c r="Z19" i="1"/>
  <c r="X19" i="1"/>
  <c r="AF19" i="1" s="1"/>
  <c r="AD19" i="1"/>
  <c r="AB19" i="1" s="1"/>
  <c r="Z17" i="1"/>
  <c r="X17" i="1"/>
  <c r="AF17" i="1" s="1"/>
  <c r="AD17" i="1"/>
  <c r="AB17" i="1" s="1"/>
  <c r="X28" i="1"/>
  <c r="AF28" i="1" s="1"/>
  <c r="AD28" i="1"/>
  <c r="AB28" i="1" s="1"/>
  <c r="Z28" i="1"/>
  <c r="AD20" i="1"/>
  <c r="AB20" i="1" s="1"/>
  <c r="Z20" i="1"/>
  <c r="X20" i="1"/>
  <c r="AF20" i="1" s="1"/>
  <c r="AD29" i="1"/>
  <c r="AB29" i="1" s="1"/>
  <c r="X29" i="1"/>
  <c r="AF29" i="1" s="1"/>
  <c r="Z29" i="1"/>
  <c r="AD18" i="1"/>
  <c r="AB18" i="1" s="1"/>
  <c r="Z18" i="1"/>
  <c r="X18" i="1"/>
  <c r="AF18" i="1" s="1"/>
  <c r="AD26" i="1"/>
  <c r="AB26" i="1" s="1"/>
  <c r="Z26" i="1"/>
  <c r="X26" i="1"/>
  <c r="AF26" i="1" s="1"/>
  <c r="Z30" i="1"/>
  <c r="X30" i="1"/>
  <c r="AF30" i="1" s="1"/>
  <c r="AD30" i="1"/>
  <c r="AB30" i="1" s="1"/>
  <c r="Z21" i="1"/>
  <c r="X21" i="1"/>
  <c r="AF21" i="1" s="1"/>
  <c r="AD21" i="1"/>
  <c r="AB21" i="1" s="1"/>
  <c r="AD27" i="1"/>
  <c r="AB27" i="1" s="1"/>
  <c r="Z16" i="1"/>
  <c r="AA16" i="1" s="1"/>
  <c r="AD25" i="1"/>
  <c r="AB25" i="1" s="1"/>
  <c r="X27" i="1"/>
  <c r="AF27" i="1" s="1"/>
  <c r="AA27" i="1" s="1"/>
  <c r="X25" i="1"/>
  <c r="K31" i="1"/>
  <c r="K22" i="1"/>
  <c r="Y31" i="1" l="1"/>
  <c r="AC16" i="1"/>
  <c r="AA26" i="1"/>
  <c r="AC26" i="1" s="1"/>
  <c r="AA17" i="1"/>
  <c r="AC17" i="1" s="1"/>
  <c r="AA21" i="1"/>
  <c r="AC21" i="1" s="1"/>
  <c r="AA19" i="1"/>
  <c r="AC19" i="1" s="1"/>
  <c r="AA30" i="1"/>
  <c r="AC30" i="1" s="1"/>
  <c r="Y22" i="1"/>
  <c r="X31" i="1"/>
  <c r="AF25" i="1"/>
  <c r="AA25" i="1" s="1"/>
  <c r="AC25" i="1" s="1"/>
  <c r="AA29" i="1"/>
  <c r="AC29" i="1" s="1"/>
  <c r="AC27" i="1"/>
  <c r="AA28" i="1"/>
  <c r="AC28" i="1" s="1"/>
  <c r="X22" i="1"/>
  <c r="AA18" i="1"/>
  <c r="AC18" i="1" s="1"/>
  <c r="AA20" i="1"/>
  <c r="AC20" i="1" s="1"/>
  <c r="AC168" i="1" l="1"/>
  <c r="X170" i="1"/>
  <c r="X172" i="1" s="1"/>
</calcChain>
</file>

<file path=xl/sharedStrings.xml><?xml version="1.0" encoding="utf-8"?>
<sst xmlns="http://schemas.openxmlformats.org/spreadsheetml/2006/main" count="1161" uniqueCount="266">
  <si>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</si>
  <si>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</si>
  <si>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</si>
  <si>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</si>
  <si>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</si>
  <si>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</si>
  <si>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</si>
  <si>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</si>
  <si>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</si>
  <si>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</si>
  <si>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</si>
  <si>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</si>
  <si>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</si>
  <si>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</si>
  <si>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</si>
  <si>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</si>
  <si>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</si>
  <si>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</si>
  <si>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</si>
  <si>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</si>
  <si>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</si>
  <si>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</si>
  <si>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</si>
  <si>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</si>
  <si>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</si>
  <si>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</si>
  <si>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</si>
  <si>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</si>
  <si>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</si>
  <si>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</si>
  <si>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</si>
  <si>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</si>
  <si>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</si>
  <si>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</si>
  <si>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</si>
  <si>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</si>
  <si>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</si>
  <si>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</si>
  <si>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</si>
  <si>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</si>
  <si>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</si>
  <si>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</si>
  <si>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</si>
  <si>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</si>
  <si>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</si>
  <si>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</si>
  <si>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</si>
  <si>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</si>
  <si>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</si>
  <si>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</si>
  <si>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</si>
  <si>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</si>
  <si>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</si>
  <si>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</si>
  <si>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</si>
  <si>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</si>
  <si>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</si>
  <si>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</si>
  <si>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</si>
  <si>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</si>
  <si>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Payment</t>
  </si>
  <si>
    <t>SUBTOTAL</t>
  </si>
  <si>
    <t>PO#</t>
  </si>
  <si>
    <t>old labor</t>
  </si>
  <si>
    <t>labor amount</t>
  </si>
  <si>
    <t>Dia Handling Service Fee</t>
  </si>
  <si>
    <t>PI PG250129</t>
  </si>
  <si>
    <t>14K WG</t>
  </si>
  <si>
    <t>14K YG</t>
  </si>
  <si>
    <t>Development Cost</t>
  </si>
  <si>
    <t>Extra Cost</t>
  </si>
  <si>
    <t>18K WG</t>
  </si>
  <si>
    <t>18K YG</t>
  </si>
  <si>
    <t>TOTAL</t>
  </si>
  <si>
    <t>Mounting</t>
  </si>
  <si>
    <t>11 Mar London AM + 1%</t>
  </si>
  <si>
    <t>PG250227DM-14K</t>
  </si>
  <si>
    <t>K02885B01 OV 6.75"</t>
  </si>
  <si>
    <t>OV 4.50*3.50</t>
  </si>
  <si>
    <t>K02886B01 OV 6.75"</t>
  </si>
  <si>
    <t>EM 4.00*3.00</t>
  </si>
  <si>
    <t>K02887B01 OV 6.75"</t>
  </si>
  <si>
    <t>MQ 5.00*3.00</t>
  </si>
  <si>
    <t>K02890B01 OV 6.75"</t>
  </si>
  <si>
    <t>EM 4.30*3.00
EM 4.00*2.80
EM 3.45*2.40
EM 2.90*2.10</t>
  </si>
  <si>
    <t>1pcs
1pcs
1pcs
1pcs</t>
  </si>
  <si>
    <t>K02891B01 OV 6.75"</t>
  </si>
  <si>
    <t>OV 5.25*3.40
OV 4.40*3.10
OV 3.90*2.70
OV 3.35*2.40</t>
  </si>
  <si>
    <t>K02892B01 OV 6.75"</t>
  </si>
  <si>
    <t>MQ 5.25*2.80
MQ 4.50*2.50
MQ 4.00*2.30
MQ 3.50*1.80</t>
  </si>
  <si>
    <t>PG250227DM-18K</t>
  </si>
  <si>
    <t>K02885B01 OV 6.25"</t>
  </si>
  <si>
    <t>K02886B01 OV 6.25"</t>
  </si>
  <si>
    <t>K02887B01 OV 6.25"</t>
  </si>
  <si>
    <t>K02890B01 OV 6.25"</t>
  </si>
  <si>
    <t>K02891B01 OV 6.25"</t>
  </si>
  <si>
    <t>K02892B01 OV 6.25"</t>
  </si>
  <si>
    <t>19 Mar London AM + 1%</t>
  </si>
  <si>
    <t>PG250317RM-2-14K</t>
  </si>
  <si>
    <t>PON026698</t>
  </si>
  <si>
    <t>PO # VI1330-SSP</t>
  </si>
  <si>
    <t>K0215TB01 C5 7"</t>
  </si>
  <si>
    <t>B4L2</t>
  </si>
  <si>
    <t>K0218TB01 C5 7"</t>
  </si>
  <si>
    <t>B3L2</t>
  </si>
  <si>
    <t>20 Mar London AM + 1%</t>
  </si>
  <si>
    <t>PG250318RM-14K</t>
  </si>
  <si>
    <t>K01965B01 6.5"</t>
  </si>
  <si>
    <t>BG363D</t>
  </si>
  <si>
    <t>PON026743</t>
  </si>
  <si>
    <t>PO # VI1335-SSP</t>
  </si>
  <si>
    <t>24 Mar London AM + 1%</t>
  </si>
  <si>
    <t>PG250319RM-1-14K</t>
  </si>
  <si>
    <t>K0038B12 OV H 6"</t>
  </si>
  <si>
    <t>BG278E</t>
  </si>
  <si>
    <t>PON026745</t>
  </si>
  <si>
    <t>VI1337-SSP</t>
  </si>
  <si>
    <t>K01965B01 6"</t>
  </si>
  <si>
    <t>PON026751</t>
  </si>
  <si>
    <t>25 Mar London AM + 1%</t>
  </si>
  <si>
    <t>PG250319RM-14K</t>
  </si>
  <si>
    <t>K0215TB05 C5 7"</t>
  </si>
  <si>
    <t>B4L7</t>
  </si>
  <si>
    <t>PON026739</t>
  </si>
  <si>
    <t>PO # VI-STC-178</t>
  </si>
  <si>
    <t>K0038B76 OV H 6.75"</t>
  </si>
  <si>
    <t>BG272F</t>
  </si>
  <si>
    <t>14K RG</t>
  </si>
  <si>
    <t>LGB4L7</t>
  </si>
  <si>
    <t>PG250319RM-2-14K</t>
  </si>
  <si>
    <t>K0165B01 OV H 6.25"</t>
  </si>
  <si>
    <t>BG295</t>
  </si>
  <si>
    <t>PON026744</t>
  </si>
  <si>
    <t>VI1338</t>
  </si>
  <si>
    <t>K0098B104 6.25"</t>
  </si>
  <si>
    <t>BG305</t>
  </si>
  <si>
    <t>1.50mm
1.60mm</t>
  </si>
  <si>
    <t>16pcs
12pcs</t>
  </si>
  <si>
    <t>K0098B104 6.75"</t>
  </si>
  <si>
    <t>K0632B08 OV H 6.75"</t>
  </si>
  <si>
    <t>BG297</t>
  </si>
  <si>
    <t>PON026746</t>
  </si>
  <si>
    <t>EM3.4*2.5</t>
  </si>
  <si>
    <t>PG250321RM-14K</t>
  </si>
  <si>
    <t>K0038B12 OV H 6.25"</t>
  </si>
  <si>
    <t>BG272</t>
  </si>
  <si>
    <t>PON026758</t>
  </si>
  <si>
    <t>PO # VI1340-SSP</t>
  </si>
  <si>
    <t>K0098B216 6.25"</t>
  </si>
  <si>
    <t>BG342</t>
  </si>
  <si>
    <t>26 Mar London AM + 1%</t>
  </si>
  <si>
    <t>PG250324RM-1-14K</t>
  </si>
  <si>
    <t>K0215TB14 C5 7"</t>
  </si>
  <si>
    <t>B4L10</t>
  </si>
  <si>
    <t>PON026779</t>
  </si>
  <si>
    <t>PO # VI-STC-179</t>
  </si>
  <si>
    <t>K0038B12 OV H 6.75"</t>
  </si>
  <si>
    <t>K0038B188 OV H 6.75"</t>
  </si>
  <si>
    <t>BG321B</t>
  </si>
  <si>
    <t>PG250324RM-1-18K</t>
  </si>
  <si>
    <t>PON026780</t>
  </si>
  <si>
    <t>18K RG</t>
  </si>
  <si>
    <t>K0038B189 OV H 6.25"</t>
  </si>
  <si>
    <t>BG321C</t>
  </si>
  <si>
    <t>K0038B76 OV H 6.25"</t>
  </si>
  <si>
    <t>K0038B190 OV H 6.25"</t>
  </si>
  <si>
    <t>BG321D</t>
  </si>
  <si>
    <t>PG250324RM-14K</t>
  </si>
  <si>
    <t>K0098B147 6.25"</t>
  </si>
  <si>
    <t>BG420</t>
  </si>
  <si>
    <t>PON026774</t>
  </si>
  <si>
    <t>PO # VI1341-SP</t>
  </si>
  <si>
    <t>28pcs
21pcs</t>
  </si>
  <si>
    <t>28 Mar London AM + 1%</t>
  </si>
  <si>
    <t>PG250326RM-1-14K</t>
  </si>
  <si>
    <t>K0038B60 6.25"</t>
  </si>
  <si>
    <t>BG272BBS</t>
  </si>
  <si>
    <t>PON026791</t>
  </si>
  <si>
    <t>PO # VI1342-SSP</t>
  </si>
  <si>
    <t>K0038B189 OV H 7.25"</t>
  </si>
  <si>
    <t>PON026796</t>
  </si>
  <si>
    <t>K0098B176 7.25"</t>
  </si>
  <si>
    <t>BG328A</t>
  </si>
  <si>
    <t>K0098B11 7.25"</t>
  </si>
  <si>
    <t>BM334</t>
  </si>
  <si>
    <t>1.30mm
1.40mm
1.70mm
1.80mm</t>
  </si>
  <si>
    <t>24pcs
24pcs
24pcs
12pcs</t>
  </si>
  <si>
    <t>PG250326RM-1-18K</t>
  </si>
  <si>
    <t>K0038B12 OV H 6.5"</t>
  </si>
  <si>
    <t>PG250326RM-2-14K</t>
  </si>
  <si>
    <t>PON026782</t>
  </si>
  <si>
    <t>PO # VI1344</t>
  </si>
  <si>
    <t>PG250326RM-2-18K</t>
  </si>
  <si>
    <t>PON026789</t>
  </si>
  <si>
    <t>K0257B01 6.75"</t>
  </si>
  <si>
    <t>BG306</t>
  </si>
  <si>
    <t>PON026794</t>
  </si>
  <si>
    <t>PG250326RM-3-14K</t>
  </si>
  <si>
    <t>K0038B76 OV H 8"</t>
  </si>
  <si>
    <t>PON026800</t>
  </si>
  <si>
    <t>PO # VI1345-SSP</t>
  </si>
  <si>
    <t>31 Mar London AM + 1%</t>
  </si>
  <si>
    <t>PG250327RM-14K</t>
  </si>
  <si>
    <t>K0038B12 OV H 8"</t>
  </si>
  <si>
    <t>PON026807</t>
  </si>
  <si>
    <t>PO # VI1346-SSP</t>
  </si>
  <si>
    <t>1 Apr London AM + 1%</t>
  </si>
  <si>
    <t>PG250328RM-14K</t>
  </si>
  <si>
    <t>K0038B11 OV F 5.5"</t>
  </si>
  <si>
    <t>BG258A</t>
  </si>
  <si>
    <t>PON026819</t>
  </si>
  <si>
    <t>PO # VI1348-SP</t>
  </si>
  <si>
    <t>K0038B11 OV F 5.75"</t>
  </si>
  <si>
    <t>3 Apr London AM + 1%</t>
  </si>
  <si>
    <t>PG250331RM-14K</t>
  </si>
  <si>
    <t>K0127B02 OV H 6.75"</t>
  </si>
  <si>
    <t>BG444</t>
  </si>
  <si>
    <t>PON026831</t>
  </si>
  <si>
    <t>PO # VI1349-SP</t>
  </si>
  <si>
    <t>PO # VI1350</t>
  </si>
  <si>
    <t>7 Apr London AM + 1%</t>
  </si>
  <si>
    <t>PG250403RM-14K</t>
  </si>
  <si>
    <t>K0259B01 OV H 6.75"</t>
  </si>
  <si>
    <t>BG307</t>
  </si>
  <si>
    <t>PON026849</t>
  </si>
  <si>
    <t>PO # VI1351</t>
  </si>
  <si>
    <t>1.50mm
2.00mm</t>
  </si>
  <si>
    <t>24pcs
12pcs</t>
  </si>
  <si>
    <t>K0151B02 OV H 6.75"</t>
  </si>
  <si>
    <t>BG308</t>
  </si>
  <si>
    <t>1.00mm
BT2*1</t>
  </si>
  <si>
    <t>34pcs
26pcs</t>
  </si>
  <si>
    <t>K0098B211 6.75"</t>
  </si>
  <si>
    <t>BG341</t>
  </si>
  <si>
    <t>1.30mm
2.00mm</t>
  </si>
  <si>
    <t>57pcs
2pcs</t>
  </si>
  <si>
    <t>K0098B216 6.75"</t>
  </si>
  <si>
    <t>K0098B213 6.75"</t>
  </si>
  <si>
    <t>BG346</t>
  </si>
  <si>
    <t>PG250403RM-18K</t>
  </si>
  <si>
    <t>K0249B01 OV F 6.75"</t>
  </si>
  <si>
    <t>BG284</t>
  </si>
  <si>
    <t>66pcs
21pcs</t>
  </si>
  <si>
    <t>K0098B120 6.75"</t>
  </si>
  <si>
    <t>BG320A</t>
  </si>
  <si>
    <t>K0107R145 #6.5</t>
  </si>
  <si>
    <t>RB2597</t>
  </si>
  <si>
    <t>1.50mm
2.30mm
2.80mm
PR3.0*3.0</t>
  </si>
  <si>
    <t>64pcs
2pcs
2pcs
22pcs</t>
  </si>
  <si>
    <t>8 Apr London AM + 1%</t>
  </si>
  <si>
    <t>PG250404RM-1-14K</t>
  </si>
  <si>
    <t>K0038B190 OV H 5.75"</t>
  </si>
  <si>
    <t>PON026859</t>
  </si>
  <si>
    <t>PO # VI1353-SP</t>
  </si>
  <si>
    <t>K0038B19 OV H 7.5"</t>
  </si>
  <si>
    <t>BG272CR</t>
  </si>
  <si>
    <t>PON026868</t>
  </si>
  <si>
    <t>PG250404RM-14K</t>
  </si>
  <si>
    <t>PON026857</t>
  </si>
  <si>
    <t>PO # VI1352-SSP</t>
  </si>
  <si>
    <t>PG250401RM-18K</t>
  </si>
  <si>
    <t>K0107R153 #6</t>
  </si>
  <si>
    <t>R4710B</t>
  </si>
  <si>
    <t>PON026835</t>
  </si>
  <si>
    <t>1.50mm
2.30mm
2.80mm
OV4.55*3.4
OV4.6*3.05
OV4.65*3.55</t>
  </si>
  <si>
    <t>64pcs
2pcs
2pcs
8pcs
4pcs
4pcs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</si>
</sst>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</numFmts>
  <fonts count="35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55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4" fontId="12" fillId="5" borderId="12" xfId="0" applyNumberFormat="1" applyFont="1" applyFill="1" applyBorder="1" applyAlignment="1">
      <alignment horizontal="center" vertical="center" wrapText="1"/>
    </xf>
    <xf numFmtId="176" fontId="12" fillId="0" borderId="13" xfId="0" applyNumberFormat="1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74" fontId="13" fillId="5" borderId="0" xfId="0" applyNumberFormat="1" applyFont="1" applyFill="1" applyBorder="1" applyAlignment="1">
      <alignment horizontal="center" vertical="center"/>
    </xf>
    <xf numFmtId="172" fontId="13" fillId="0" borderId="0" xfId="0" applyNumberFormat="1" applyFont="1" applyBorder="1" applyAlignment="1">
      <alignment horizontal="center" vertical="center"/>
    </xf>
    <xf numFmtId="167" fontId="17" fillId="0" borderId="0" xfId="0" applyNumberFormat="1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1" fontId="17" fillId="0" borderId="0" xfId="0" applyNumberFormat="1" applyFont="1" applyBorder="1" applyAlignment="1">
      <alignment horizontal="center" vertical="center"/>
    </xf>
    <xf numFmtId="171" fontId="17" fillId="0" borderId="8" xfId="0" applyNumberFormat="1" applyFont="1" applyBorder="1" applyAlignment="1">
      <alignment horizontal="center" vertical="center"/>
    </xf>
    <xf numFmtId="174" fontId="12" fillId="0" borderId="13" xfId="0" applyNumberFormat="1" applyFont="1" applyFill="1" applyBorder="1" applyAlignment="1">
      <alignment horizontal="center" vertical="center" wrapText="1"/>
    </xf>
    <xf numFmtId="174" fontId="12" fillId="0" borderId="12" xfId="0" applyNumberFormat="1" applyFont="1" applyFill="1" applyBorder="1" applyAlignment="1">
      <alignment horizontal="center" vertical="center" wrapText="1"/>
    </xf>
    <xf numFmtId="174" fontId="13" fillId="0" borderId="13" xfId="0" applyNumberFormat="1" applyFont="1" applyFill="1" applyBorder="1" applyAlignment="1">
      <alignment horizontal="center" vertical="center"/>
    </xf>
    <xf numFmtId="174" fontId="13" fillId="0" borderId="20" xfId="0" applyNumberFormat="1" applyFont="1" applyFill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171" fontId="28" fillId="0" borderId="25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2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182"/>
  <sheetViews>
    <sheetView showGridLines="0" tabSelected="1" view="pageBreakPreview" topLeftCell="P166" zoomScaleSheetLayoutView="100" workbookViewId="0">
      <selection activeCell="AD168" sqref="AD168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0.2695312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9.7265625" style="24" customWidth="1"/>
    <col min="12" max="12" width="14.81640625" style="24" customWidth="1"/>
    <col min="13" max="14" width="8.54296875" style="24" customWidth="1"/>
    <col min="15" max="15" width="11.81640625" style="25" customWidth="1"/>
    <col min="16" max="16" width="9.1796875" style="25" customWidth="1"/>
    <col min="17" max="19" width="12.453125" style="26" customWidth="1"/>
    <col min="20" max="21" width="8.453125" style="26" customWidth="1"/>
    <col min="22" max="22" width="9.1796875" style="26" customWidth="1"/>
    <col min="23" max="23" width="10" style="26" customWidth="1"/>
    <col min="24" max="24" width="13.453125" style="29" customWidth="1"/>
    <col min="25" max="25" width="14.54296875" style="22" customWidth="1"/>
    <col min="26" max="27" width="11.26953125" style="22" customWidth="1"/>
    <col min="28" max="29" width="8.7265625" style="22"/>
    <col min="30" max="30" width="8.81640625" style="22" bestFit="1" customWidth="1"/>
    <col min="31" max="16384" width="8.7265625" style="22"/>
  </cols>
  <sheetData>
    <row r="1" spans="1:32" s="1" customFormat="1" ht="31.5" customHeight="1">
      <c r="A1" s="144" t="s">
        <v>38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</row>
    <row r="2" spans="1:32" s="2" customFormat="1" ht="15.5">
      <c r="A2" s="147" t="s">
        <v>42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9"/>
    </row>
    <row r="3" spans="1:32" s="3" customFormat="1" ht="20">
      <c r="A3" s="150" t="s">
        <v>44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2"/>
    </row>
    <row r="4" spans="1:32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/>
      <c r="O4" s="6" t="s">
        <v>66</v>
      </c>
      <c r="P4" s="6"/>
      <c r="Q4" s="6"/>
      <c r="R4" s="6"/>
      <c r="S4" s="6"/>
      <c r="T4" s="6"/>
      <c r="U4" s="6"/>
      <c r="V4" s="83"/>
      <c r="W4" s="6"/>
      <c r="X4" s="6"/>
      <c r="Y4" s="49"/>
      <c r="Z4" s="7" t="s">
        <v>59</v>
      </c>
      <c r="AA4" s="7">
        <v>0.24</v>
      </c>
    </row>
    <row r="5" spans="1:32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9"/>
    </row>
    <row r="6" spans="1:32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1"/>
    </row>
    <row r="7" spans="1:32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20"/>
    </row>
    <row r="8" spans="1:32" s="7" customFormat="1" ht="12" customHeight="1">
      <c r="A8" s="4" t="s">
        <v>1</v>
      </c>
      <c r="B8" s="46"/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9"/>
    </row>
    <row r="9" spans="1:32" s="7" customFormat="1" ht="12" customHeight="1">
      <c r="A9" s="8"/>
      <c r="B9" s="43" t="s">
        <v>50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1"/>
    </row>
    <row r="10" spans="1:32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Y10" s="14"/>
    </row>
    <row r="11" spans="1:32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Y11" s="14"/>
    </row>
    <row r="12" spans="1:32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20"/>
    </row>
    <row r="13" spans="1:32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9"/>
      <c r="AA13" s="7" t="s">
        <v>57</v>
      </c>
      <c r="AB13" s="7">
        <v>73</v>
      </c>
    </row>
    <row r="14" spans="1:32" ht="16" customHeight="1">
      <c r="A14" s="56" t="s">
        <v>74</v>
      </c>
      <c r="K14" s="51"/>
      <c r="L14" s="51"/>
      <c r="M14" s="51"/>
      <c r="N14" s="51"/>
      <c r="W14" s="52"/>
      <c r="X14" s="91" t="s">
        <v>75</v>
      </c>
      <c r="Y14" s="101">
        <f>1.01*2913.45</f>
        <v>2942.5844999999999</v>
      </c>
      <c r="AA14" s="22" t="s">
        <v>58</v>
      </c>
    </row>
    <row r="15" spans="1:32" s="100" customFormat="1" ht="28">
      <c r="A15" s="95" t="s">
        <v>62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69</v>
      </c>
      <c r="R15" s="48" t="s">
        <v>53</v>
      </c>
      <c r="S15" s="48" t="s">
        <v>65</v>
      </c>
      <c r="T15" s="48" t="s">
        <v>12</v>
      </c>
      <c r="U15" s="48" t="s">
        <v>51</v>
      </c>
      <c r="V15" s="48" t="s">
        <v>48</v>
      </c>
      <c r="W15" s="48" t="s">
        <v>14</v>
      </c>
      <c r="X15" s="53" t="s">
        <v>11</v>
      </c>
      <c r="Y15" s="53" t="s">
        <v>21</v>
      </c>
      <c r="AA15" s="100" t="s">
        <v>54</v>
      </c>
      <c r="AB15" s="100" t="s">
        <v>55</v>
      </c>
      <c r="AC15" s="100" t="s">
        <v>56</v>
      </c>
      <c r="AD15" s="100" t="s">
        <v>60</v>
      </c>
      <c r="AE15" s="100" t="s">
        <v>63</v>
      </c>
      <c r="AF15" s="100" t="s">
        <v>64</v>
      </c>
    </row>
    <row r="16" spans="1:32" s="27" customFormat="1" ht="28">
      <c r="A16" s="103" t="s">
        <v>76</v>
      </c>
      <c r="B16" s="102" t="s">
        <v>77</v>
      </c>
      <c r="C16" s="105"/>
      <c r="D16" s="105"/>
      <c r="E16" s="102"/>
      <c r="F16" s="102" t="s">
        <v>68</v>
      </c>
      <c r="G16" s="104">
        <v>2</v>
      </c>
      <c r="H16" s="112">
        <v>21.35</v>
      </c>
      <c r="I16" s="112"/>
      <c r="J16" s="112">
        <v>0.32</v>
      </c>
      <c r="K16" s="113">
        <f>H16-I16-J16</f>
        <v>21.03</v>
      </c>
      <c r="L16" s="106" t="s">
        <v>78</v>
      </c>
      <c r="M16" s="106"/>
      <c r="N16" s="107">
        <v>1</v>
      </c>
      <c r="O16" s="115">
        <v>8.5</v>
      </c>
      <c r="P16" s="124"/>
      <c r="Q16" s="38">
        <f t="shared" ref="Q16:Q21" si="0">200/2*G16</f>
        <v>200</v>
      </c>
      <c r="R16" s="38"/>
      <c r="S16" s="38"/>
      <c r="T16" s="38">
        <f t="shared" ref="T16:T21" si="1">G16*2</f>
        <v>4</v>
      </c>
      <c r="U16" s="38"/>
      <c r="V16" s="38"/>
      <c r="W16" s="38"/>
      <c r="X16" s="38">
        <f t="shared" ref="X16:X21" si="2">K16*O16</f>
        <v>178.755</v>
      </c>
      <c r="Y16" s="116">
        <f>$Y$14/31.1035*K16*IF(LEFT(F16,3)="10K",0.417*1.07,IF(LEFT(F16,3)="14K",0.585*1.05,IF(LEFT(F16,3)="18K",0.75*1.05,0)))</f>
        <v>1222.0926129695613</v>
      </c>
      <c r="Z16" s="27">
        <f>2*K16</f>
        <v>42.06</v>
      </c>
      <c r="AA16" s="109">
        <f>(SUM(Q16:W16)+AF16)-Z16</f>
        <v>340.69499999999999</v>
      </c>
      <c r="AB16" s="109">
        <f t="shared" ref="AB16:AB21" si="3">AD16*$AB$13+P16*$AB$14</f>
        <v>942.99045750000005</v>
      </c>
      <c r="AC16" s="109">
        <f t="shared" ref="AC16" si="4">SUM(AA16:AB16)</f>
        <v>1283.6854575</v>
      </c>
      <c r="AD16" s="27">
        <f t="shared" ref="AD16:AD21" si="5">K16*IF(LEFT(F16,3)="10K",0.417*1.07,IF(LEFT(F16,3)="14K",0.585*1.05,IF(LEFT(F16,3)="18K",0.75*1.05,0)))</f>
        <v>12.9176775</v>
      </c>
      <c r="AF16" s="27">
        <f>IF(AE16&gt;0,AE16*K16,X16)</f>
        <v>178.755</v>
      </c>
    </row>
    <row r="17" spans="1:32" s="27" customFormat="1" ht="28">
      <c r="A17" s="119">
        <v>2</v>
      </c>
      <c r="B17" s="120" t="s">
        <v>79</v>
      </c>
      <c r="C17" s="121"/>
      <c r="D17" s="121"/>
      <c r="E17" s="120"/>
      <c r="F17" s="120" t="s">
        <v>68</v>
      </c>
      <c r="G17" s="122">
        <v>2</v>
      </c>
      <c r="H17" s="112">
        <v>21.17</v>
      </c>
      <c r="I17" s="123"/>
      <c r="J17" s="123">
        <v>0.32</v>
      </c>
      <c r="K17" s="113">
        <f t="shared" ref="K17:K21" si="6">H17-I17-J17</f>
        <v>20.85</v>
      </c>
      <c r="L17" s="106" t="s">
        <v>80</v>
      </c>
      <c r="M17" s="106"/>
      <c r="N17" s="107">
        <v>1</v>
      </c>
      <c r="O17" s="115">
        <v>8.5</v>
      </c>
      <c r="P17" s="124"/>
      <c r="Q17" s="38">
        <f t="shared" si="0"/>
        <v>200</v>
      </c>
      <c r="R17" s="38"/>
      <c r="S17" s="38"/>
      <c r="T17" s="38">
        <f t="shared" si="1"/>
        <v>4</v>
      </c>
      <c r="U17" s="38"/>
      <c r="V17" s="38"/>
      <c r="W17" s="38"/>
      <c r="X17" s="38">
        <f t="shared" si="2"/>
        <v>177.22500000000002</v>
      </c>
      <c r="Y17" s="116">
        <f t="shared" ref="Y17:Y21" si="7">$Y$14/31.1035*K17*IF(LEFT(F17,3)="10K",0.417*1.07,IF(LEFT(F17,3)="14K",0.585*1.05,IF(LEFT(F17,3)="18K",0.75*1.05,0)))</f>
        <v>1211.6324764819472</v>
      </c>
      <c r="Z17" s="27">
        <f t="shared" ref="Z17:Z21" si="8">2*K17</f>
        <v>41.7</v>
      </c>
      <c r="AA17" s="109">
        <f t="shared" ref="AA17:AA21" si="9">(SUM(Q17:W17)+AF17)-Z17</f>
        <v>339.52500000000003</v>
      </c>
      <c r="AB17" s="109">
        <f t="shared" si="3"/>
        <v>934.91921250000007</v>
      </c>
      <c r="AC17" s="109">
        <f t="shared" ref="AC17:AC21" si="10">SUM(AA17:AB17)</f>
        <v>1274.4442125</v>
      </c>
      <c r="AD17" s="27">
        <f t="shared" si="5"/>
        <v>12.807112500000001</v>
      </c>
      <c r="AF17" s="27">
        <f>IF(AE17&gt;0,AE17*K17,X17)</f>
        <v>177.22500000000002</v>
      </c>
    </row>
    <row r="18" spans="1:32" s="27" customFormat="1" ht="28">
      <c r="A18" s="119">
        <v>3</v>
      </c>
      <c r="B18" s="120" t="s">
        <v>81</v>
      </c>
      <c r="C18" s="121"/>
      <c r="D18" s="121"/>
      <c r="E18" s="120"/>
      <c r="F18" s="120" t="s">
        <v>68</v>
      </c>
      <c r="G18" s="122">
        <v>2</v>
      </c>
      <c r="H18" s="112">
        <v>20.29</v>
      </c>
      <c r="I18" s="123"/>
      <c r="J18" s="123">
        <v>0.32</v>
      </c>
      <c r="K18" s="113">
        <f t="shared" si="6"/>
        <v>19.97</v>
      </c>
      <c r="L18" s="106" t="s">
        <v>82</v>
      </c>
      <c r="M18" s="106"/>
      <c r="N18" s="107">
        <v>1</v>
      </c>
      <c r="O18" s="115">
        <v>8.5</v>
      </c>
      <c r="P18" s="124"/>
      <c r="Q18" s="38">
        <f t="shared" si="0"/>
        <v>200</v>
      </c>
      <c r="R18" s="38"/>
      <c r="S18" s="38"/>
      <c r="T18" s="38">
        <f t="shared" si="1"/>
        <v>4</v>
      </c>
      <c r="U18" s="38"/>
      <c r="V18" s="38"/>
      <c r="W18" s="38"/>
      <c r="X18" s="38">
        <f t="shared" si="2"/>
        <v>169.745</v>
      </c>
      <c r="Y18" s="116">
        <f t="shared" si="7"/>
        <v>1160.4940314313901</v>
      </c>
      <c r="Z18" s="27">
        <f t="shared" si="8"/>
        <v>39.94</v>
      </c>
      <c r="AA18" s="109">
        <f t="shared" si="9"/>
        <v>333.80500000000001</v>
      </c>
      <c r="AB18" s="109">
        <f t="shared" si="3"/>
        <v>895.45979249999993</v>
      </c>
      <c r="AC18" s="109">
        <f t="shared" si="10"/>
        <v>1229.2647924999999</v>
      </c>
      <c r="AD18" s="27">
        <f t="shared" si="5"/>
        <v>12.266572499999999</v>
      </c>
      <c r="AF18" s="27">
        <f t="shared" ref="AF18:AF21" si="11">IF(AE18&gt;0,AE18*K18,X18)</f>
        <v>169.745</v>
      </c>
    </row>
    <row r="19" spans="1:32" s="27" customFormat="1" ht="56">
      <c r="A19" s="119">
        <v>4</v>
      </c>
      <c r="B19" s="120" t="s">
        <v>83</v>
      </c>
      <c r="C19" s="121"/>
      <c r="D19" s="121"/>
      <c r="E19" s="120"/>
      <c r="F19" s="120" t="s">
        <v>68</v>
      </c>
      <c r="G19" s="122">
        <v>2</v>
      </c>
      <c r="H19" s="112">
        <v>17.73</v>
      </c>
      <c r="I19" s="123"/>
      <c r="J19" s="123">
        <v>0.32</v>
      </c>
      <c r="K19" s="113">
        <f t="shared" si="6"/>
        <v>17.41</v>
      </c>
      <c r="L19" s="106" t="s">
        <v>84</v>
      </c>
      <c r="M19" s="106"/>
      <c r="N19" s="107" t="s">
        <v>85</v>
      </c>
      <c r="O19" s="115">
        <v>8.5</v>
      </c>
      <c r="P19" s="124"/>
      <c r="Q19" s="38">
        <f t="shared" si="0"/>
        <v>200</v>
      </c>
      <c r="R19" s="38"/>
      <c r="S19" s="38"/>
      <c r="T19" s="38">
        <f t="shared" si="1"/>
        <v>4</v>
      </c>
      <c r="U19" s="38"/>
      <c r="V19" s="38"/>
      <c r="W19" s="38"/>
      <c r="X19" s="38">
        <f t="shared" si="2"/>
        <v>147.98500000000001</v>
      </c>
      <c r="Y19" s="116">
        <f t="shared" si="7"/>
        <v>1011.7276458297698</v>
      </c>
      <c r="Z19" s="27">
        <f t="shared" si="8"/>
        <v>34.82</v>
      </c>
      <c r="AA19" s="109">
        <f t="shared" si="9"/>
        <v>317.16500000000002</v>
      </c>
      <c r="AB19" s="109">
        <f t="shared" si="3"/>
        <v>780.66875249999998</v>
      </c>
      <c r="AC19" s="109">
        <f t="shared" si="10"/>
        <v>1097.8337524999999</v>
      </c>
      <c r="AD19" s="27">
        <f t="shared" si="5"/>
        <v>10.6940925</v>
      </c>
      <c r="AF19" s="27">
        <f t="shared" si="11"/>
        <v>147.98500000000001</v>
      </c>
    </row>
    <row r="20" spans="1:32" s="27" customFormat="1" ht="56">
      <c r="A20" s="119">
        <v>5</v>
      </c>
      <c r="B20" s="120" t="s">
        <v>86</v>
      </c>
      <c r="C20" s="121"/>
      <c r="D20" s="121"/>
      <c r="E20" s="120"/>
      <c r="F20" s="120" t="s">
        <v>68</v>
      </c>
      <c r="G20" s="122">
        <v>2</v>
      </c>
      <c r="H20" s="112">
        <v>19.310000000000002</v>
      </c>
      <c r="I20" s="123"/>
      <c r="J20" s="123">
        <v>0.32</v>
      </c>
      <c r="K20" s="113">
        <f t="shared" si="6"/>
        <v>18.990000000000002</v>
      </c>
      <c r="L20" s="106" t="s">
        <v>87</v>
      </c>
      <c r="M20" s="106"/>
      <c r="N20" s="107" t="s">
        <v>85</v>
      </c>
      <c r="O20" s="115">
        <v>8.5</v>
      </c>
      <c r="P20" s="124"/>
      <c r="Q20" s="38">
        <f t="shared" si="0"/>
        <v>200</v>
      </c>
      <c r="R20" s="38"/>
      <c r="S20" s="38"/>
      <c r="T20" s="38">
        <f t="shared" si="1"/>
        <v>4</v>
      </c>
      <c r="U20" s="38"/>
      <c r="V20" s="38"/>
      <c r="W20" s="38"/>
      <c r="X20" s="38">
        <f t="shared" si="2"/>
        <v>161.41500000000002</v>
      </c>
      <c r="Y20" s="116">
        <f t="shared" si="7"/>
        <v>1103.5443994432699</v>
      </c>
      <c r="Z20" s="27">
        <f t="shared" si="8"/>
        <v>37.980000000000004</v>
      </c>
      <c r="AA20" s="109">
        <f t="shared" si="9"/>
        <v>327.435</v>
      </c>
      <c r="AB20" s="109">
        <f t="shared" si="3"/>
        <v>851.51634750000005</v>
      </c>
      <c r="AC20" s="109">
        <f t="shared" si="10"/>
        <v>1178.9513475000001</v>
      </c>
      <c r="AD20" s="27">
        <f t="shared" si="5"/>
        <v>11.664607500000001</v>
      </c>
      <c r="AF20" s="27">
        <f t="shared" si="11"/>
        <v>161.41500000000002</v>
      </c>
    </row>
    <row r="21" spans="1:32" s="27" customFormat="1" ht="56.5" thickBot="1">
      <c r="A21" s="103">
        <v>6</v>
      </c>
      <c r="B21" s="102" t="s">
        <v>88</v>
      </c>
      <c r="C21" s="105"/>
      <c r="D21" s="105"/>
      <c r="E21" s="102"/>
      <c r="F21" s="102" t="s">
        <v>68</v>
      </c>
      <c r="G21" s="104">
        <v>2</v>
      </c>
      <c r="H21" s="112">
        <v>17.7</v>
      </c>
      <c r="I21" s="112"/>
      <c r="J21" s="112">
        <v>0.32</v>
      </c>
      <c r="K21" s="113">
        <f t="shared" si="6"/>
        <v>17.38</v>
      </c>
      <c r="L21" s="106" t="s">
        <v>89</v>
      </c>
      <c r="M21" s="106"/>
      <c r="N21" s="107" t="s">
        <v>85</v>
      </c>
      <c r="O21" s="115">
        <v>8.5</v>
      </c>
      <c r="P21" s="124"/>
      <c r="Q21" s="38">
        <f t="shared" si="0"/>
        <v>200</v>
      </c>
      <c r="R21" s="38"/>
      <c r="S21" s="38"/>
      <c r="T21" s="38">
        <f t="shared" si="1"/>
        <v>4</v>
      </c>
      <c r="U21" s="38"/>
      <c r="V21" s="38"/>
      <c r="W21" s="38"/>
      <c r="X21" s="38">
        <f t="shared" si="2"/>
        <v>147.72999999999999</v>
      </c>
      <c r="Y21" s="116">
        <f t="shared" si="7"/>
        <v>1009.9842897485008</v>
      </c>
      <c r="Z21" s="27">
        <f t="shared" si="8"/>
        <v>34.76</v>
      </c>
      <c r="AA21" s="109">
        <f t="shared" si="9"/>
        <v>316.97000000000003</v>
      </c>
      <c r="AB21" s="109">
        <f t="shared" si="3"/>
        <v>779.32354499999985</v>
      </c>
      <c r="AC21" s="109">
        <f t="shared" si="10"/>
        <v>1096.293545</v>
      </c>
      <c r="AD21" s="27">
        <f t="shared" si="5"/>
        <v>10.675664999999999</v>
      </c>
      <c r="AF21" s="27">
        <f t="shared" si="11"/>
        <v>147.72999999999999</v>
      </c>
    </row>
    <row r="22" spans="1:32" s="28" customFormat="1" ht="16" customHeight="1">
      <c r="A22" s="94" t="s">
        <v>61</v>
      </c>
      <c r="B22" s="72"/>
      <c r="C22" s="72"/>
      <c r="D22" s="72"/>
      <c r="E22" s="72"/>
      <c r="F22" s="72"/>
      <c r="G22" s="73">
        <f>SUM(G16:G21)</f>
        <v>12</v>
      </c>
      <c r="H22" s="114"/>
      <c r="I22" s="114"/>
      <c r="J22" s="114"/>
      <c r="K22" s="114">
        <f>SUM(K16:K21)</f>
        <v>115.63</v>
      </c>
      <c r="L22" s="74"/>
      <c r="M22" s="74"/>
      <c r="N22" s="74"/>
      <c r="O22" s="75"/>
      <c r="P22" s="125">
        <f t="shared" ref="P22:Y22" si="12">SUM(P16:P21)</f>
        <v>0</v>
      </c>
      <c r="Q22" s="76">
        <f t="shared" si="12"/>
        <v>1200</v>
      </c>
      <c r="R22" s="76">
        <f t="shared" si="12"/>
        <v>0</v>
      </c>
      <c r="S22" s="76">
        <f t="shared" si="12"/>
        <v>0</v>
      </c>
      <c r="T22" s="76">
        <f t="shared" si="12"/>
        <v>24</v>
      </c>
      <c r="U22" s="76">
        <f t="shared" si="12"/>
        <v>0</v>
      </c>
      <c r="V22" s="76">
        <f t="shared" si="12"/>
        <v>0</v>
      </c>
      <c r="W22" s="76">
        <f t="shared" si="12"/>
        <v>0</v>
      </c>
      <c r="X22" s="76">
        <f t="shared" si="12"/>
        <v>982.85500000000002</v>
      </c>
      <c r="Y22" s="117">
        <f t="shared" si="12"/>
        <v>6719.4754559044386</v>
      </c>
      <c r="AA22" s="110"/>
      <c r="AB22" s="110"/>
      <c r="AC22" s="110"/>
      <c r="AD22" s="110"/>
    </row>
    <row r="23" spans="1:32" ht="16" customHeight="1">
      <c r="A23" s="56" t="s">
        <v>74</v>
      </c>
      <c r="K23" s="51"/>
      <c r="L23" s="51"/>
      <c r="M23" s="51"/>
      <c r="N23" s="51"/>
      <c r="W23" s="52"/>
      <c r="X23" s="91" t="s">
        <v>75</v>
      </c>
      <c r="Y23" s="101">
        <f>1.01*2913.45</f>
        <v>2942.5844999999999</v>
      </c>
    </row>
    <row r="24" spans="1:32" s="100" customFormat="1" ht="28">
      <c r="A24" s="95" t="s">
        <v>62</v>
      </c>
      <c r="B24" s="96" t="s">
        <v>4</v>
      </c>
      <c r="C24" s="96" t="s">
        <v>23</v>
      </c>
      <c r="D24" s="96" t="s">
        <v>45</v>
      </c>
      <c r="E24" s="96" t="s">
        <v>46</v>
      </c>
      <c r="F24" s="96" t="s">
        <v>5</v>
      </c>
      <c r="G24" s="96" t="s">
        <v>6</v>
      </c>
      <c r="H24" s="97" t="s">
        <v>7</v>
      </c>
      <c r="I24" s="97" t="s">
        <v>47</v>
      </c>
      <c r="J24" s="97" t="s">
        <v>8</v>
      </c>
      <c r="K24" s="98" t="s">
        <v>13</v>
      </c>
      <c r="L24" s="98" t="s">
        <v>19</v>
      </c>
      <c r="M24" s="98" t="s">
        <v>22</v>
      </c>
      <c r="N24" s="98" t="s">
        <v>20</v>
      </c>
      <c r="O24" s="99" t="s">
        <v>9</v>
      </c>
      <c r="P24" s="99" t="s">
        <v>49</v>
      </c>
      <c r="Q24" s="48" t="s">
        <v>70</v>
      </c>
      <c r="R24" s="48" t="s">
        <v>53</v>
      </c>
      <c r="S24" s="48" t="s">
        <v>65</v>
      </c>
      <c r="T24" s="48" t="s">
        <v>12</v>
      </c>
      <c r="U24" s="48" t="s">
        <v>51</v>
      </c>
      <c r="V24" s="48" t="s">
        <v>48</v>
      </c>
      <c r="W24" s="48" t="s">
        <v>14</v>
      </c>
      <c r="X24" s="53" t="s">
        <v>11</v>
      </c>
      <c r="Y24" s="53" t="s">
        <v>21</v>
      </c>
    </row>
    <row r="25" spans="1:32" s="27" customFormat="1" ht="28">
      <c r="A25" s="103" t="s">
        <v>90</v>
      </c>
      <c r="B25" s="102" t="s">
        <v>91</v>
      </c>
      <c r="C25" s="105"/>
      <c r="D25" s="105"/>
      <c r="E25" s="102"/>
      <c r="F25" s="102" t="s">
        <v>72</v>
      </c>
      <c r="G25" s="104">
        <v>2</v>
      </c>
      <c r="H25" s="112">
        <v>22.32</v>
      </c>
      <c r="I25" s="112"/>
      <c r="J25" s="112">
        <v>0.28000000000000003</v>
      </c>
      <c r="K25" s="113">
        <f>H25-I25-J25</f>
        <v>22.04</v>
      </c>
      <c r="L25" s="106" t="s">
        <v>78</v>
      </c>
      <c r="M25" s="106"/>
      <c r="N25" s="107">
        <v>1</v>
      </c>
      <c r="O25" s="115">
        <v>8.5</v>
      </c>
      <c r="P25" s="124"/>
      <c r="Q25" s="38"/>
      <c r="R25" s="38"/>
      <c r="S25" s="38"/>
      <c r="T25" s="38">
        <f t="shared" ref="T25:T30" si="13">G25*2</f>
        <v>4</v>
      </c>
      <c r="U25" s="38"/>
      <c r="V25" s="38"/>
      <c r="W25" s="38"/>
      <c r="X25" s="38">
        <f t="shared" ref="X25:X30" si="14">K25*O25</f>
        <v>187.34</v>
      </c>
      <c r="Y25" s="116">
        <f>$Y$23/31.1035*K25*IF(LEFT(F25,3)="10K",0.417*1.07,IF(LEFT(F25,3)="14K",0.585*1.05,IF(LEFT(F25,3)="18K",0.75*1.05,0)))</f>
        <v>1642.0328218448083</v>
      </c>
      <c r="Z25" s="27">
        <f>2*K25</f>
        <v>44.08</v>
      </c>
      <c r="AA25" s="109">
        <f>(SUM(Q25:W25)+AF25)-Z25</f>
        <v>147.26</v>
      </c>
      <c r="AB25" s="109">
        <f t="shared" ref="AB25:AB30" si="15">AD25*$AB$13+P25*$AB$14</f>
        <v>1267.0245</v>
      </c>
      <c r="AC25" s="109">
        <f t="shared" ref="AC25" si="16">SUM(AA25:AB25)</f>
        <v>1414.2845</v>
      </c>
      <c r="AD25" s="27">
        <f t="shared" ref="AD25:AD30" si="17">K25*IF(LEFT(F25,3)="10K",0.417*1.07,IF(LEFT(F25,3)="14K",0.585*1.05,IF(LEFT(F25,3)="18K",0.75*1.05,0)))</f>
        <v>17.3565</v>
      </c>
      <c r="AF25" s="27">
        <f>IF(AE25&gt;0,AE25*K25,X25)</f>
        <v>187.34</v>
      </c>
    </row>
    <row r="26" spans="1:32" s="27" customFormat="1" ht="28">
      <c r="A26" s="119">
        <v>2</v>
      </c>
      <c r="B26" s="120" t="s">
        <v>92</v>
      </c>
      <c r="C26" s="121"/>
      <c r="D26" s="121"/>
      <c r="E26" s="120"/>
      <c r="F26" s="102" t="s">
        <v>72</v>
      </c>
      <c r="G26" s="122">
        <v>1</v>
      </c>
      <c r="H26" s="112">
        <v>9.7899999999999991</v>
      </c>
      <c r="I26" s="123"/>
      <c r="J26" s="123">
        <v>0.14000000000000001</v>
      </c>
      <c r="K26" s="113">
        <f t="shared" ref="K26:K30" si="18">H26-I26-J26</f>
        <v>9.6499999999999986</v>
      </c>
      <c r="L26" s="106" t="s">
        <v>80</v>
      </c>
      <c r="M26" s="106"/>
      <c r="N26" s="107">
        <v>1</v>
      </c>
      <c r="O26" s="115">
        <v>8.5</v>
      </c>
      <c r="P26" s="124"/>
      <c r="Q26" s="38"/>
      <c r="R26" s="38"/>
      <c r="S26" s="38"/>
      <c r="T26" s="38">
        <f t="shared" si="13"/>
        <v>2</v>
      </c>
      <c r="U26" s="38"/>
      <c r="V26" s="38"/>
      <c r="W26" s="38"/>
      <c r="X26" s="38">
        <f t="shared" si="14"/>
        <v>82.024999999999991</v>
      </c>
      <c r="Y26" s="116">
        <f t="shared" ref="Y26:Y30" si="19">$Y$23/31.1035*K26*IF(LEFT(F26,3)="10K",0.417*1.07,IF(LEFT(F26,3)="14K",0.585*1.05,IF(LEFT(F26,3)="18K",0.75*1.05,0)))</f>
        <v>718.94812753186932</v>
      </c>
      <c r="Z26" s="27">
        <f t="shared" ref="Z26:Z30" si="20">2*K26</f>
        <v>19.299999999999997</v>
      </c>
      <c r="AA26" s="109">
        <f t="shared" ref="AA26:AA30" si="21">(SUM(Q26:W26)+AF26)-Z26</f>
        <v>64.724999999999994</v>
      </c>
      <c r="AB26" s="109">
        <f t="shared" si="15"/>
        <v>554.75437499999998</v>
      </c>
      <c r="AC26" s="109">
        <f t="shared" ref="AC26:AC30" si="22">SUM(AA26:AB26)</f>
        <v>619.479375</v>
      </c>
      <c r="AD26" s="27">
        <f t="shared" si="17"/>
        <v>7.5993749999999993</v>
      </c>
      <c r="AF26" s="27">
        <f>IF(AE26&gt;0,AE26*K26,X26)</f>
        <v>82.024999999999991</v>
      </c>
    </row>
    <row r="27" spans="1:32" s="27" customFormat="1" ht="28">
      <c r="A27" s="119">
        <v>3</v>
      </c>
      <c r="B27" s="120" t="s">
        <v>93</v>
      </c>
      <c r="C27" s="121"/>
      <c r="D27" s="121"/>
      <c r="E27" s="120"/>
      <c r="F27" s="102" t="s">
        <v>72</v>
      </c>
      <c r="G27" s="122">
        <v>2</v>
      </c>
      <c r="H27" s="112">
        <v>22.7</v>
      </c>
      <c r="I27" s="123"/>
      <c r="J27" s="123">
        <v>0.28000000000000003</v>
      </c>
      <c r="K27" s="113">
        <f t="shared" si="18"/>
        <v>22.419999999999998</v>
      </c>
      <c r="L27" s="106" t="s">
        <v>82</v>
      </c>
      <c r="M27" s="106"/>
      <c r="N27" s="107">
        <v>1</v>
      </c>
      <c r="O27" s="115">
        <v>8.5</v>
      </c>
      <c r="P27" s="124"/>
      <c r="Q27" s="38"/>
      <c r="R27" s="38"/>
      <c r="S27" s="38"/>
      <c r="T27" s="38">
        <f t="shared" si="13"/>
        <v>4</v>
      </c>
      <c r="U27" s="38"/>
      <c r="V27" s="38"/>
      <c r="W27" s="38"/>
      <c r="X27" s="38">
        <f t="shared" si="14"/>
        <v>190.57</v>
      </c>
      <c r="Y27" s="116">
        <f t="shared" si="19"/>
        <v>1670.3437325662705</v>
      </c>
      <c r="Z27" s="27">
        <f t="shared" si="20"/>
        <v>44.839999999999996</v>
      </c>
      <c r="AA27" s="109">
        <f t="shared" si="21"/>
        <v>149.72999999999999</v>
      </c>
      <c r="AB27" s="109">
        <f t="shared" si="15"/>
        <v>1288.8697500000001</v>
      </c>
      <c r="AC27" s="109">
        <f t="shared" si="22"/>
        <v>1438.5997500000001</v>
      </c>
      <c r="AD27" s="27">
        <f t="shared" si="17"/>
        <v>17.655750000000001</v>
      </c>
      <c r="AF27" s="27">
        <f t="shared" ref="AF27:AF30" si="23">IF(AE27&gt;0,AE27*K27,X27)</f>
        <v>190.57</v>
      </c>
    </row>
    <row r="28" spans="1:32" s="27" customFormat="1" ht="56">
      <c r="A28" s="119">
        <v>4</v>
      </c>
      <c r="B28" s="120" t="s">
        <v>94</v>
      </c>
      <c r="C28" s="121"/>
      <c r="D28" s="121"/>
      <c r="E28" s="120"/>
      <c r="F28" s="102" t="s">
        <v>72</v>
      </c>
      <c r="G28" s="122">
        <v>2</v>
      </c>
      <c r="H28" s="112">
        <v>20.350000000000001</v>
      </c>
      <c r="I28" s="123"/>
      <c r="J28" s="123">
        <v>0.28000000000000003</v>
      </c>
      <c r="K28" s="113">
        <f t="shared" si="18"/>
        <v>20.07</v>
      </c>
      <c r="L28" s="106" t="s">
        <v>84</v>
      </c>
      <c r="M28" s="106"/>
      <c r="N28" s="107" t="s">
        <v>85</v>
      </c>
      <c r="O28" s="115">
        <v>8.5</v>
      </c>
      <c r="P28" s="124"/>
      <c r="Q28" s="38"/>
      <c r="R28" s="38"/>
      <c r="S28" s="38"/>
      <c r="T28" s="38">
        <f t="shared" si="13"/>
        <v>4</v>
      </c>
      <c r="U28" s="38"/>
      <c r="V28" s="38"/>
      <c r="W28" s="38"/>
      <c r="X28" s="38">
        <f t="shared" si="14"/>
        <v>170.595</v>
      </c>
      <c r="Y28" s="116">
        <f t="shared" si="19"/>
        <v>1495.2631004730176</v>
      </c>
      <c r="Z28" s="27">
        <f t="shared" si="20"/>
        <v>40.14</v>
      </c>
      <c r="AA28" s="109">
        <f t="shared" si="21"/>
        <v>134.45499999999998</v>
      </c>
      <c r="AB28" s="109">
        <f t="shared" si="15"/>
        <v>1153.7741250000001</v>
      </c>
      <c r="AC28" s="109">
        <f t="shared" si="22"/>
        <v>1288.2291250000001</v>
      </c>
      <c r="AD28" s="27">
        <f t="shared" si="17"/>
        <v>15.805125000000002</v>
      </c>
      <c r="AF28" s="27">
        <f t="shared" si="23"/>
        <v>170.595</v>
      </c>
    </row>
    <row r="29" spans="1:32" s="27" customFormat="1" ht="56">
      <c r="A29" s="119">
        <v>5</v>
      </c>
      <c r="B29" s="120" t="s">
        <v>95</v>
      </c>
      <c r="C29" s="121"/>
      <c r="D29" s="121"/>
      <c r="E29" s="120"/>
      <c r="F29" s="120" t="s">
        <v>72</v>
      </c>
      <c r="G29" s="122">
        <v>2</v>
      </c>
      <c r="H29" s="112">
        <v>20.119999999999997</v>
      </c>
      <c r="I29" s="123"/>
      <c r="J29" s="123">
        <v>0.28000000000000003</v>
      </c>
      <c r="K29" s="113">
        <f t="shared" si="18"/>
        <v>19.839999999999996</v>
      </c>
      <c r="L29" s="106" t="s">
        <v>87</v>
      </c>
      <c r="M29" s="106"/>
      <c r="N29" s="107" t="s">
        <v>85</v>
      </c>
      <c r="O29" s="115">
        <v>8.5</v>
      </c>
      <c r="P29" s="124"/>
      <c r="Q29" s="38"/>
      <c r="R29" s="38"/>
      <c r="S29" s="38"/>
      <c r="T29" s="38">
        <f t="shared" si="13"/>
        <v>4</v>
      </c>
      <c r="U29" s="38"/>
      <c r="V29" s="38"/>
      <c r="W29" s="38"/>
      <c r="X29" s="38">
        <f t="shared" si="14"/>
        <v>168.63999999999996</v>
      </c>
      <c r="Y29" s="116">
        <f t="shared" si="19"/>
        <v>1478.127549246869</v>
      </c>
      <c r="Z29" s="27">
        <f t="shared" si="20"/>
        <v>39.679999999999993</v>
      </c>
      <c r="AA29" s="109">
        <f t="shared" si="21"/>
        <v>132.95999999999998</v>
      </c>
      <c r="AB29" s="109">
        <f t="shared" si="15"/>
        <v>1140.5519999999999</v>
      </c>
      <c r="AC29" s="109">
        <f t="shared" si="22"/>
        <v>1273.5119999999999</v>
      </c>
      <c r="AD29" s="27">
        <f t="shared" si="17"/>
        <v>15.623999999999999</v>
      </c>
      <c r="AF29" s="27">
        <f t="shared" si="23"/>
        <v>168.63999999999996</v>
      </c>
    </row>
    <row r="30" spans="1:32" s="27" customFormat="1" ht="56.5" thickBot="1">
      <c r="A30" s="103">
        <v>6</v>
      </c>
      <c r="B30" s="102" t="s">
        <v>96</v>
      </c>
      <c r="C30" s="105"/>
      <c r="D30" s="105"/>
      <c r="E30" s="102"/>
      <c r="F30" s="102" t="s">
        <v>72</v>
      </c>
      <c r="G30" s="104">
        <v>1</v>
      </c>
      <c r="H30" s="112">
        <v>10.42</v>
      </c>
      <c r="I30" s="112"/>
      <c r="J30" s="112">
        <v>0.14000000000000001</v>
      </c>
      <c r="K30" s="113">
        <f t="shared" si="18"/>
        <v>10.28</v>
      </c>
      <c r="L30" s="106" t="s">
        <v>89</v>
      </c>
      <c r="M30" s="106"/>
      <c r="N30" s="107" t="s">
        <v>85</v>
      </c>
      <c r="O30" s="115">
        <v>8.5</v>
      </c>
      <c r="P30" s="124"/>
      <c r="Q30" s="38"/>
      <c r="R30" s="38"/>
      <c r="S30" s="38"/>
      <c r="T30" s="38">
        <f t="shared" si="13"/>
        <v>2</v>
      </c>
      <c r="U30" s="38"/>
      <c r="V30" s="38"/>
      <c r="W30" s="38"/>
      <c r="X30" s="38">
        <f t="shared" si="14"/>
        <v>87.38</v>
      </c>
      <c r="Y30" s="116">
        <f t="shared" si="19"/>
        <v>765.88463741218834</v>
      </c>
      <c r="Z30" s="27">
        <f t="shared" si="20"/>
        <v>20.56</v>
      </c>
      <c r="AA30" s="109">
        <f t="shared" si="21"/>
        <v>68.819999999999993</v>
      </c>
      <c r="AB30" s="109">
        <f t="shared" si="15"/>
        <v>590.97150000000011</v>
      </c>
      <c r="AC30" s="109">
        <f t="shared" si="22"/>
        <v>659.79150000000004</v>
      </c>
      <c r="AD30" s="27">
        <f t="shared" si="17"/>
        <v>8.0955000000000013</v>
      </c>
      <c r="AF30" s="27">
        <f t="shared" si="23"/>
        <v>87.38</v>
      </c>
    </row>
    <row r="31" spans="1:32" s="28" customFormat="1" ht="16" customHeight="1">
      <c r="A31" s="94" t="s">
        <v>61</v>
      </c>
      <c r="B31" s="72"/>
      <c r="C31" s="72"/>
      <c r="D31" s="72"/>
      <c r="E31" s="72"/>
      <c r="F31" s="72"/>
      <c r="G31" s="73">
        <f>SUM(G25:G30)</f>
        <v>10</v>
      </c>
      <c r="H31" s="114"/>
      <c r="I31" s="114"/>
      <c r="J31" s="114"/>
      <c r="K31" s="114">
        <f>SUM(K25:K30)</f>
        <v>104.30000000000001</v>
      </c>
      <c r="L31" s="74"/>
      <c r="M31" s="74"/>
      <c r="N31" s="74"/>
      <c r="O31" s="75"/>
      <c r="P31" s="125">
        <f t="shared" ref="P31:Y31" si="24">SUM(P25:P30)</f>
        <v>0</v>
      </c>
      <c r="Q31" s="76">
        <f t="shared" si="24"/>
        <v>0</v>
      </c>
      <c r="R31" s="76">
        <f t="shared" si="24"/>
        <v>0</v>
      </c>
      <c r="S31" s="76">
        <f t="shared" si="24"/>
        <v>0</v>
      </c>
      <c r="T31" s="76">
        <f t="shared" si="24"/>
        <v>20</v>
      </c>
      <c r="U31" s="76">
        <f t="shared" si="24"/>
        <v>0</v>
      </c>
      <c r="V31" s="76">
        <f t="shared" si="24"/>
        <v>0</v>
      </c>
      <c r="W31" s="76">
        <f t="shared" si="24"/>
        <v>0</v>
      </c>
      <c r="X31" s="76">
        <f t="shared" si="24"/>
        <v>886.55</v>
      </c>
      <c r="Y31" s="117">
        <f t="shared" si="24"/>
        <v>7770.5999690750223</v>
      </c>
      <c r="AA31" s="110"/>
      <c r="AB31" s="110"/>
      <c r="AC31" s="110"/>
      <c r="AD31" s="110"/>
    </row>
    <row r="32" spans="1:32" ht="16" customHeight="1">
      <c r="A32" s="56" t="s">
        <v>74</v>
      </c>
      <c r="K32" s="51"/>
      <c r="L32" s="51"/>
      <c r="M32" s="51"/>
      <c r="N32" s="51"/>
      <c r="W32" s="52"/>
      <c r="X32" s="91" t="s">
        <v>97</v>
      </c>
      <c r="Y32" s="101">
        <f>3034*1.01</f>
        <v>3064.34</v>
      </c>
    </row>
    <row r="33" spans="1:32" s="100" customFormat="1" ht="28">
      <c r="A33" s="95" t="s">
        <v>62</v>
      </c>
      <c r="B33" s="96" t="s">
        <v>4</v>
      </c>
      <c r="C33" s="96" t="s">
        <v>23</v>
      </c>
      <c r="D33" s="96" t="s">
        <v>45</v>
      </c>
      <c r="E33" s="96" t="s">
        <v>46</v>
      </c>
      <c r="F33" s="96" t="s">
        <v>5</v>
      </c>
      <c r="G33" s="96" t="s">
        <v>6</v>
      </c>
      <c r="H33" s="97" t="s">
        <v>7</v>
      </c>
      <c r="I33" s="97" t="s">
        <v>47</v>
      </c>
      <c r="J33" s="97" t="s">
        <v>8</v>
      </c>
      <c r="K33" s="98" t="s">
        <v>13</v>
      </c>
      <c r="L33" s="98" t="s">
        <v>19</v>
      </c>
      <c r="M33" s="98" t="s">
        <v>22</v>
      </c>
      <c r="N33" s="98" t="s">
        <v>20</v>
      </c>
      <c r="O33" s="99" t="s">
        <v>9</v>
      </c>
      <c r="P33" s="99" t="s">
        <v>49</v>
      </c>
      <c r="Q33" s="48" t="s">
        <v>70</v>
      </c>
      <c r="R33" s="48" t="s">
        <v>53</v>
      </c>
      <c r="S33" s="48" t="s">
        <v>65</v>
      </c>
      <c r="T33" s="48" t="s">
        <v>12</v>
      </c>
      <c r="U33" s="48" t="s">
        <v>51</v>
      </c>
      <c r="V33" s="48" t="s">
        <v>48</v>
      </c>
      <c r="W33" s="48" t="s">
        <v>14</v>
      </c>
      <c r="X33" s="53" t="s">
        <v>11</v>
      </c>
      <c r="Y33" s="53" t="s">
        <v>21</v>
      </c>
    </row>
    <row r="34" spans="1:32" s="27" customFormat="1" ht="28.5" thickBot="1">
      <c r="A34" s="103" t="s">
        <v>98</v>
      </c>
      <c r="B34" s="120" t="s">
        <v>103</v>
      </c>
      <c r="C34" s="121" t="s">
        <v>104</v>
      </c>
      <c r="D34" s="121" t="s">
        <v>99</v>
      </c>
      <c r="E34" s="120" t="s">
        <v>100</v>
      </c>
      <c r="F34" s="120" t="s">
        <v>68</v>
      </c>
      <c r="G34" s="122">
        <v>1</v>
      </c>
      <c r="H34" s="135">
        <v>5.52</v>
      </c>
      <c r="I34" s="136"/>
      <c r="J34" s="136"/>
      <c r="K34" s="137">
        <f t="shared" ref="K34" si="25">H34-I34-J34</f>
        <v>5.52</v>
      </c>
      <c r="L34" s="106">
        <v>1.8</v>
      </c>
      <c r="M34" s="106"/>
      <c r="N34" s="107">
        <v>74</v>
      </c>
      <c r="O34" s="115">
        <v>9</v>
      </c>
      <c r="P34" s="124"/>
      <c r="Q34" s="38"/>
      <c r="R34" s="38"/>
      <c r="S34" s="38"/>
      <c r="T34" s="38"/>
      <c r="U34" s="38"/>
      <c r="V34" s="38"/>
      <c r="W34" s="38"/>
      <c r="X34" s="38">
        <f t="shared" ref="X34" si="26">K34*O34</f>
        <v>49.679999999999993</v>
      </c>
      <c r="Y34" s="116">
        <f t="shared" ref="Y34" si="27">$Y$32/31.1035*K34*IF(LEFT(F34,3)="10K",0.417*1.07,IF(LEFT(F34,3)="14K",0.585*1.05,IF(LEFT(F34,3)="18K",0.75*1.05,0)))</f>
        <v>334.05035010207854</v>
      </c>
      <c r="Z34" s="27">
        <f t="shared" ref="Z34" si="28">2*K34</f>
        <v>11.04</v>
      </c>
      <c r="AA34" s="109">
        <f t="shared" ref="AA34" si="29">(SUM(Q34:W34)+AF34)-Z34</f>
        <v>38.639999999999993</v>
      </c>
      <c r="AB34" s="109">
        <f>AD34*$AB$13+P34*$AB$14</f>
        <v>247.51817999999997</v>
      </c>
      <c r="AC34" s="109">
        <f t="shared" ref="AC34" si="30">SUM(AA34:AB34)</f>
        <v>286.15817999999996</v>
      </c>
      <c r="AD34" s="27">
        <f t="shared" ref="AD34" si="31">K34*IF(LEFT(F34,3)="10K",0.417*1.07,IF(LEFT(F34,3)="14K",0.585*1.05,IF(LEFT(F34,3)="18K",0.75*1.05,0)))</f>
        <v>3.3906599999999996</v>
      </c>
      <c r="AF34" s="27">
        <f t="shared" ref="AF34" si="32">IF(AE34&gt;0,AE34*K34,X34)</f>
        <v>49.679999999999993</v>
      </c>
    </row>
    <row r="35" spans="1:32" s="28" customFormat="1" ht="16" customHeight="1">
      <c r="A35" s="94" t="s">
        <v>61</v>
      </c>
      <c r="B35" s="72"/>
      <c r="C35" s="72"/>
      <c r="D35" s="72"/>
      <c r="E35" s="72"/>
      <c r="F35" s="72"/>
      <c r="G35" s="73">
        <f>SUM(G34:G34)</f>
        <v>1</v>
      </c>
      <c r="H35" s="138"/>
      <c r="I35" s="138"/>
      <c r="J35" s="138"/>
      <c r="K35" s="138">
        <f>SUM(K34:K34)</f>
        <v>5.52</v>
      </c>
      <c r="L35" s="74"/>
      <c r="M35" s="74"/>
      <c r="N35" s="74"/>
      <c r="O35" s="75"/>
      <c r="P35" s="125">
        <f t="shared" ref="P35:Y35" si="33">SUM(P34:P34)</f>
        <v>0</v>
      </c>
      <c r="Q35" s="76">
        <f t="shared" si="33"/>
        <v>0</v>
      </c>
      <c r="R35" s="76">
        <f t="shared" si="33"/>
        <v>0</v>
      </c>
      <c r="S35" s="76">
        <f t="shared" si="33"/>
        <v>0</v>
      </c>
      <c r="T35" s="76">
        <f t="shared" si="33"/>
        <v>0</v>
      </c>
      <c r="U35" s="76">
        <f t="shared" si="33"/>
        <v>0</v>
      </c>
      <c r="V35" s="76">
        <f t="shared" si="33"/>
        <v>0</v>
      </c>
      <c r="W35" s="76">
        <f t="shared" si="33"/>
        <v>0</v>
      </c>
      <c r="X35" s="76">
        <f t="shared" si="33"/>
        <v>49.679999999999993</v>
      </c>
      <c r="Y35" s="117">
        <f t="shared" si="33"/>
        <v>334.05035010207854</v>
      </c>
      <c r="AA35" s="110"/>
      <c r="AB35" s="110"/>
      <c r="AC35" s="110"/>
      <c r="AD35" s="110"/>
    </row>
    <row r="36" spans="1:32" ht="16" customHeight="1">
      <c r="A36" s="56" t="s">
        <v>74</v>
      </c>
      <c r="K36" s="51"/>
      <c r="L36" s="51"/>
      <c r="M36" s="51"/>
      <c r="N36" s="51"/>
      <c r="W36" s="52"/>
      <c r="X36" s="91" t="s">
        <v>105</v>
      </c>
      <c r="Y36" s="101">
        <f>1.01*3026.2</f>
        <v>3056.462</v>
      </c>
    </row>
    <row r="37" spans="1:32" s="100" customFormat="1" ht="28">
      <c r="A37" s="95" t="s">
        <v>62</v>
      </c>
      <c r="B37" s="96" t="s">
        <v>4</v>
      </c>
      <c r="C37" s="96" t="s">
        <v>23</v>
      </c>
      <c r="D37" s="96" t="s">
        <v>45</v>
      </c>
      <c r="E37" s="96" t="s">
        <v>46</v>
      </c>
      <c r="F37" s="96" t="s">
        <v>5</v>
      </c>
      <c r="G37" s="96" t="s">
        <v>6</v>
      </c>
      <c r="H37" s="97" t="s">
        <v>7</v>
      </c>
      <c r="I37" s="97" t="s">
        <v>47</v>
      </c>
      <c r="J37" s="97" t="s">
        <v>8</v>
      </c>
      <c r="K37" s="98" t="s">
        <v>13</v>
      </c>
      <c r="L37" s="98" t="s">
        <v>19</v>
      </c>
      <c r="M37" s="98" t="s">
        <v>22</v>
      </c>
      <c r="N37" s="98" t="s">
        <v>20</v>
      </c>
      <c r="O37" s="99" t="s">
        <v>9</v>
      </c>
      <c r="P37" s="99" t="s">
        <v>49</v>
      </c>
      <c r="Q37" s="48" t="s">
        <v>70</v>
      </c>
      <c r="R37" s="48" t="s">
        <v>53</v>
      </c>
      <c r="S37" s="48" t="s">
        <v>65</v>
      </c>
      <c r="T37" s="48" t="s">
        <v>12</v>
      </c>
      <c r="U37" s="48" t="s">
        <v>51</v>
      </c>
      <c r="V37" s="48" t="s">
        <v>48</v>
      </c>
      <c r="W37" s="48" t="s">
        <v>14</v>
      </c>
      <c r="X37" s="53" t="s">
        <v>11</v>
      </c>
      <c r="Y37" s="53" t="s">
        <v>21</v>
      </c>
    </row>
    <row r="38" spans="1:32" s="27" customFormat="1" ht="28.5" thickBot="1">
      <c r="A38" s="103" t="s">
        <v>106</v>
      </c>
      <c r="B38" s="102" t="s">
        <v>107</v>
      </c>
      <c r="C38" s="105" t="s">
        <v>108</v>
      </c>
      <c r="D38" s="105" t="s">
        <v>109</v>
      </c>
      <c r="E38" s="102" t="s">
        <v>110</v>
      </c>
      <c r="F38" s="102" t="s">
        <v>68</v>
      </c>
      <c r="G38" s="104">
        <v>1</v>
      </c>
      <c r="H38" s="135">
        <v>13.5</v>
      </c>
      <c r="I38" s="135"/>
      <c r="J38" s="135">
        <v>0.18</v>
      </c>
      <c r="K38" s="137">
        <f>H38-I38-J38</f>
        <v>13.32</v>
      </c>
      <c r="L38" s="106">
        <v>2.5</v>
      </c>
      <c r="M38" s="106"/>
      <c r="N38" s="107">
        <v>7</v>
      </c>
      <c r="O38" s="115">
        <v>10.5</v>
      </c>
      <c r="P38" s="124"/>
      <c r="Q38" s="38"/>
      <c r="R38" s="38"/>
      <c r="S38" s="38"/>
      <c r="T38" s="38">
        <f>G38*2</f>
        <v>2</v>
      </c>
      <c r="U38" s="38"/>
      <c r="V38" s="38"/>
      <c r="W38" s="38"/>
      <c r="X38" s="38">
        <f t="shared" ref="X38" si="34">K38*O38</f>
        <v>139.86000000000001</v>
      </c>
      <c r="Y38" s="116">
        <f>$Y$36/31.1035*K38*IF(LEFT(F38,3)="10K",0.417*1.07,IF(LEFT(F38,3)="14K",0.585*1.05,IF(LEFT(F38,3)="18K",0.75*1.05,0)))</f>
        <v>804.00570213062838</v>
      </c>
      <c r="Z38" s="27">
        <f>2*K38</f>
        <v>26.64</v>
      </c>
      <c r="AA38" s="109">
        <f>(SUM(Q38:W38)+AF38)-Z38</f>
        <v>115.22000000000001</v>
      </c>
      <c r="AB38" s="109">
        <f>AD38*$AB$13+P38*$AB$14</f>
        <v>597.27213000000006</v>
      </c>
      <c r="AC38" s="109">
        <f t="shared" ref="AC38" si="35">SUM(AA38:AB38)</f>
        <v>712.49213000000009</v>
      </c>
      <c r="AD38" s="27">
        <f t="shared" ref="AD38" si="36">K38*IF(LEFT(F38,3)="10K",0.417*1.07,IF(LEFT(F38,3)="14K",0.585*1.05,IF(LEFT(F38,3)="18K",0.75*1.05,0)))</f>
        <v>8.1818100000000005</v>
      </c>
      <c r="AF38" s="27">
        <f>IF(AE38&gt;0,AE38*K38,X38)</f>
        <v>139.86000000000001</v>
      </c>
    </row>
    <row r="39" spans="1:32" s="28" customFormat="1" ht="16" customHeight="1">
      <c r="A39" s="94" t="s">
        <v>61</v>
      </c>
      <c r="B39" s="72"/>
      <c r="C39" s="72"/>
      <c r="D39" s="72"/>
      <c r="E39" s="72"/>
      <c r="F39" s="72"/>
      <c r="G39" s="73">
        <f>SUM(G38:G38)</f>
        <v>1</v>
      </c>
      <c r="H39" s="138"/>
      <c r="I39" s="138"/>
      <c r="J39" s="138"/>
      <c r="K39" s="138">
        <f>SUM(K38:K38)</f>
        <v>13.32</v>
      </c>
      <c r="L39" s="74"/>
      <c r="M39" s="74"/>
      <c r="N39" s="74"/>
      <c r="O39" s="75"/>
      <c r="P39" s="125">
        <f t="shared" ref="P39:Y39" si="37">SUM(P38:P38)</f>
        <v>0</v>
      </c>
      <c r="Q39" s="76">
        <f t="shared" si="37"/>
        <v>0</v>
      </c>
      <c r="R39" s="76">
        <f t="shared" si="37"/>
        <v>0</v>
      </c>
      <c r="S39" s="76">
        <f t="shared" si="37"/>
        <v>0</v>
      </c>
      <c r="T39" s="76">
        <f t="shared" si="37"/>
        <v>2</v>
      </c>
      <c r="U39" s="76">
        <f t="shared" si="37"/>
        <v>0</v>
      </c>
      <c r="V39" s="76">
        <f t="shared" si="37"/>
        <v>0</v>
      </c>
      <c r="W39" s="76">
        <f t="shared" si="37"/>
        <v>0</v>
      </c>
      <c r="X39" s="76">
        <f t="shared" si="37"/>
        <v>139.86000000000001</v>
      </c>
      <c r="Y39" s="117">
        <f t="shared" si="37"/>
        <v>804.00570213062838</v>
      </c>
      <c r="AA39" s="110"/>
      <c r="AB39" s="110"/>
      <c r="AC39" s="110"/>
      <c r="AD39" s="110"/>
    </row>
    <row r="40" spans="1:32" ht="16" customHeight="1">
      <c r="A40" s="56" t="s">
        <v>74</v>
      </c>
      <c r="K40" s="51"/>
      <c r="L40" s="51"/>
      <c r="M40" s="51"/>
      <c r="N40" s="51"/>
      <c r="W40" s="52"/>
      <c r="X40" s="91" t="s">
        <v>111</v>
      </c>
      <c r="Y40" s="101">
        <f>3030.25*1.01</f>
        <v>3060.5525000000002</v>
      </c>
    </row>
    <row r="41" spans="1:32" s="100" customFormat="1" ht="28">
      <c r="A41" s="95" t="s">
        <v>62</v>
      </c>
      <c r="B41" s="96" t="s">
        <v>4</v>
      </c>
      <c r="C41" s="96" t="s">
        <v>23</v>
      </c>
      <c r="D41" s="96" t="s">
        <v>45</v>
      </c>
      <c r="E41" s="96" t="s">
        <v>46</v>
      </c>
      <c r="F41" s="96" t="s">
        <v>5</v>
      </c>
      <c r="G41" s="96" t="s">
        <v>6</v>
      </c>
      <c r="H41" s="97" t="s">
        <v>7</v>
      </c>
      <c r="I41" s="97" t="s">
        <v>47</v>
      </c>
      <c r="J41" s="97" t="s">
        <v>8</v>
      </c>
      <c r="K41" s="98" t="s">
        <v>13</v>
      </c>
      <c r="L41" s="98" t="s">
        <v>19</v>
      </c>
      <c r="M41" s="98" t="s">
        <v>22</v>
      </c>
      <c r="N41" s="98" t="s">
        <v>20</v>
      </c>
      <c r="O41" s="99" t="s">
        <v>9</v>
      </c>
      <c r="P41" s="99" t="s">
        <v>49</v>
      </c>
      <c r="Q41" s="48" t="s">
        <v>70</v>
      </c>
      <c r="R41" s="48" t="s">
        <v>53</v>
      </c>
      <c r="S41" s="48" t="s">
        <v>65</v>
      </c>
      <c r="T41" s="48" t="s">
        <v>12</v>
      </c>
      <c r="U41" s="48" t="s">
        <v>51</v>
      </c>
      <c r="V41" s="48" t="s">
        <v>48</v>
      </c>
      <c r="W41" s="48" t="s">
        <v>14</v>
      </c>
      <c r="X41" s="53" t="s">
        <v>11</v>
      </c>
      <c r="Y41" s="53" t="s">
        <v>21</v>
      </c>
    </row>
    <row r="42" spans="1:32" s="27" customFormat="1" ht="28">
      <c r="A42" s="103" t="s">
        <v>112</v>
      </c>
      <c r="B42" s="102" t="s">
        <v>113</v>
      </c>
      <c r="C42" s="105" t="s">
        <v>114</v>
      </c>
      <c r="D42" s="105" t="s">
        <v>115</v>
      </c>
      <c r="E42" s="102" t="s">
        <v>116</v>
      </c>
      <c r="F42" s="102" t="s">
        <v>67</v>
      </c>
      <c r="G42" s="104">
        <v>1</v>
      </c>
      <c r="H42" s="112">
        <v>5.08</v>
      </c>
      <c r="I42" s="112"/>
      <c r="J42" s="112">
        <v>0.28000000000000003</v>
      </c>
      <c r="K42" s="113">
        <f>H42-I42-J42</f>
        <v>4.8</v>
      </c>
      <c r="L42" s="106">
        <v>1.8</v>
      </c>
      <c r="M42" s="106"/>
      <c r="N42" s="107">
        <v>37</v>
      </c>
      <c r="O42" s="115">
        <v>10.5</v>
      </c>
      <c r="P42" s="124"/>
      <c r="Q42" s="38"/>
      <c r="R42" s="38"/>
      <c r="S42" s="38"/>
      <c r="T42" s="38">
        <f>G42*2</f>
        <v>2</v>
      </c>
      <c r="U42" s="38"/>
      <c r="V42" s="38"/>
      <c r="W42" s="38"/>
      <c r="X42" s="38">
        <f t="shared" ref="X42:X43" si="38">K42*O42</f>
        <v>50.4</v>
      </c>
      <c r="Y42" s="116">
        <f>$Y$40/31.1035*K42*IF(LEFT(F42,3)="10K",0.417*1.07,IF(LEFT(F42,3)="14K",0.585*1.05,IF(LEFT(F42,3)="18K",0.75*1.05,0)))</f>
        <v>290.11953609722377</v>
      </c>
      <c r="Z42" s="27">
        <f>2*K42</f>
        <v>9.6</v>
      </c>
      <c r="AA42" s="109">
        <f>(SUM(Q42:W42)+AF42)-Z42</f>
        <v>42.8</v>
      </c>
      <c r="AB42" s="109">
        <f>AD42*$AB$13+P42*$AB$14</f>
        <v>215.23319999999998</v>
      </c>
      <c r="AC42" s="109">
        <f t="shared" ref="AC42" si="39">SUM(AA42:AB42)</f>
        <v>258.03319999999997</v>
      </c>
      <c r="AD42" s="27">
        <f t="shared" ref="AD42:AD43" si="40">K42*IF(LEFT(F42,3)="10K",0.417*1.07,IF(LEFT(F42,3)="14K",0.585*1.05,IF(LEFT(F42,3)="18K",0.75*1.05,0)))</f>
        <v>2.9483999999999999</v>
      </c>
      <c r="AF42" s="27">
        <f>IF(AE42&gt;0,AE42*K42,X42)</f>
        <v>50.4</v>
      </c>
    </row>
    <row r="43" spans="1:32" s="27" customFormat="1" ht="28.5" thickBot="1">
      <c r="A43" s="119">
        <v>2</v>
      </c>
      <c r="B43" s="120" t="s">
        <v>117</v>
      </c>
      <c r="C43" s="121" t="s">
        <v>108</v>
      </c>
      <c r="D43" s="121" t="s">
        <v>118</v>
      </c>
      <c r="E43" s="120" t="s">
        <v>116</v>
      </c>
      <c r="F43" s="102" t="s">
        <v>67</v>
      </c>
      <c r="G43" s="122">
        <v>1</v>
      </c>
      <c r="H43" s="112">
        <v>12.55</v>
      </c>
      <c r="I43" s="123"/>
      <c r="J43" s="123">
        <v>0.16</v>
      </c>
      <c r="K43" s="113">
        <f t="shared" ref="K43" si="41">H43-I43-J43</f>
        <v>12.39</v>
      </c>
      <c r="L43" s="106">
        <v>2.5</v>
      </c>
      <c r="M43" s="106"/>
      <c r="N43" s="107">
        <v>7</v>
      </c>
      <c r="O43" s="115">
        <v>10.5</v>
      </c>
      <c r="P43" s="124"/>
      <c r="Q43" s="38"/>
      <c r="R43" s="38"/>
      <c r="S43" s="38"/>
      <c r="T43" s="38">
        <f>G43*2</f>
        <v>2</v>
      </c>
      <c r="U43" s="38"/>
      <c r="V43" s="38"/>
      <c r="W43" s="38"/>
      <c r="X43" s="38">
        <f t="shared" si="38"/>
        <v>130.095</v>
      </c>
      <c r="Y43" s="116">
        <f>$Y$40/31.1035*K43*IF(LEFT(F43,3)="10K",0.417*1.07,IF(LEFT(F43,3)="14K",0.585*1.05,IF(LEFT(F43,3)="18K",0.75*1.05,0)))</f>
        <v>748.87105255095889</v>
      </c>
      <c r="Z43" s="27">
        <f t="shared" ref="Z43" si="42">2*K43</f>
        <v>24.78</v>
      </c>
      <c r="AA43" s="109">
        <f t="shared" ref="AA43" si="43">(SUM(Q43:W43)+AF43)-Z43</f>
        <v>107.315</v>
      </c>
      <c r="AB43" s="109">
        <f>AD43*$AB$13+P43*$AB$14</f>
        <v>555.57069749999994</v>
      </c>
      <c r="AC43" s="109">
        <f t="shared" ref="AC43" si="44">SUM(AA43:AB43)</f>
        <v>662.88569749999988</v>
      </c>
      <c r="AD43" s="27">
        <f t="shared" si="40"/>
        <v>7.6105574999999996</v>
      </c>
      <c r="AF43" s="27">
        <f>IF(AE43&gt;0,AE43*K43,X43)</f>
        <v>130.095</v>
      </c>
    </row>
    <row r="44" spans="1:32" s="28" customFormat="1" ht="16" customHeight="1">
      <c r="A44" s="94" t="s">
        <v>61</v>
      </c>
      <c r="B44" s="72"/>
      <c r="C44" s="72"/>
      <c r="D44" s="72"/>
      <c r="E44" s="72"/>
      <c r="F44" s="72"/>
      <c r="G44" s="73">
        <f>SUM(G42:G43)</f>
        <v>2</v>
      </c>
      <c r="H44" s="114"/>
      <c r="I44" s="114"/>
      <c r="J44" s="114"/>
      <c r="K44" s="114">
        <f>SUM(K42:K43)</f>
        <v>17.190000000000001</v>
      </c>
      <c r="L44" s="74"/>
      <c r="M44" s="74"/>
      <c r="N44" s="74"/>
      <c r="O44" s="75"/>
      <c r="P44" s="125">
        <f t="shared" ref="P44:Y44" si="45">SUM(P42:P43)</f>
        <v>0</v>
      </c>
      <c r="Q44" s="76">
        <f t="shared" si="45"/>
        <v>0</v>
      </c>
      <c r="R44" s="76">
        <f t="shared" si="45"/>
        <v>0</v>
      </c>
      <c r="S44" s="76">
        <f t="shared" si="45"/>
        <v>0</v>
      </c>
      <c r="T44" s="76">
        <f t="shared" si="45"/>
        <v>4</v>
      </c>
      <c r="U44" s="76">
        <f t="shared" si="45"/>
        <v>0</v>
      </c>
      <c r="V44" s="76">
        <f t="shared" si="45"/>
        <v>0</v>
      </c>
      <c r="W44" s="76">
        <f t="shared" si="45"/>
        <v>0</v>
      </c>
      <c r="X44" s="76">
        <f t="shared" si="45"/>
        <v>180.495</v>
      </c>
      <c r="Y44" s="117">
        <f t="shared" si="45"/>
        <v>1038.9905886481827</v>
      </c>
      <c r="AA44" s="110"/>
      <c r="AB44" s="110"/>
      <c r="AC44" s="110"/>
      <c r="AD44" s="110"/>
    </row>
    <row r="45" spans="1:32" ht="16" customHeight="1">
      <c r="A45" s="56" t="s">
        <v>74</v>
      </c>
      <c r="K45" s="51"/>
      <c r="L45" s="51"/>
      <c r="M45" s="51"/>
      <c r="N45" s="51"/>
      <c r="W45" s="52"/>
      <c r="X45" s="91" t="s">
        <v>119</v>
      </c>
      <c r="Y45" s="101">
        <f>1.01*3021.35</f>
        <v>3051.5634999999997</v>
      </c>
    </row>
    <row r="46" spans="1:32" s="100" customFormat="1" ht="28">
      <c r="A46" s="95" t="s">
        <v>62</v>
      </c>
      <c r="B46" s="96" t="s">
        <v>4</v>
      </c>
      <c r="C46" s="96" t="s">
        <v>23</v>
      </c>
      <c r="D46" s="96" t="s">
        <v>45</v>
      </c>
      <c r="E46" s="96" t="s">
        <v>46</v>
      </c>
      <c r="F46" s="96" t="s">
        <v>5</v>
      </c>
      <c r="G46" s="96" t="s">
        <v>6</v>
      </c>
      <c r="H46" s="97" t="s">
        <v>7</v>
      </c>
      <c r="I46" s="97" t="s">
        <v>47</v>
      </c>
      <c r="J46" s="97" t="s">
        <v>8</v>
      </c>
      <c r="K46" s="98" t="s">
        <v>13</v>
      </c>
      <c r="L46" s="98" t="s">
        <v>19</v>
      </c>
      <c r="M46" s="98" t="s">
        <v>22</v>
      </c>
      <c r="N46" s="98" t="s">
        <v>20</v>
      </c>
      <c r="O46" s="99" t="s">
        <v>9</v>
      </c>
      <c r="P46" s="99" t="s">
        <v>49</v>
      </c>
      <c r="Q46" s="48" t="s">
        <v>70</v>
      </c>
      <c r="R46" s="48" t="s">
        <v>53</v>
      </c>
      <c r="S46" s="48" t="s">
        <v>65</v>
      </c>
      <c r="T46" s="48" t="s">
        <v>12</v>
      </c>
      <c r="U46" s="48" t="s">
        <v>51</v>
      </c>
      <c r="V46" s="48" t="s">
        <v>48</v>
      </c>
      <c r="W46" s="48" t="s">
        <v>14</v>
      </c>
      <c r="X46" s="53" t="s">
        <v>11</v>
      </c>
      <c r="Y46" s="53" t="s">
        <v>21</v>
      </c>
    </row>
    <row r="47" spans="1:32" s="27" customFormat="1" ht="28">
      <c r="A47" s="103" t="s">
        <v>120</v>
      </c>
      <c r="B47" s="102" t="s">
        <v>121</v>
      </c>
      <c r="C47" s="105" t="s">
        <v>122</v>
      </c>
      <c r="D47" s="105" t="s">
        <v>123</v>
      </c>
      <c r="E47" s="102" t="s">
        <v>124</v>
      </c>
      <c r="F47" s="102" t="s">
        <v>67</v>
      </c>
      <c r="G47" s="104">
        <v>2</v>
      </c>
      <c r="H47" s="112">
        <v>13.35</v>
      </c>
      <c r="I47" s="112"/>
      <c r="J47" s="112">
        <v>0</v>
      </c>
      <c r="K47" s="113">
        <f>H47-I47-J47</f>
        <v>13.35</v>
      </c>
      <c r="L47" s="106">
        <v>3.15</v>
      </c>
      <c r="M47" s="106"/>
      <c r="N47" s="107">
        <v>53</v>
      </c>
      <c r="O47" s="115">
        <v>6.5</v>
      </c>
      <c r="P47" s="124"/>
      <c r="Q47" s="38"/>
      <c r="R47" s="38"/>
      <c r="S47" s="38"/>
      <c r="T47" s="38"/>
      <c r="U47" s="38"/>
      <c r="V47" s="38"/>
      <c r="W47" s="38"/>
      <c r="X47" s="38">
        <f t="shared" ref="X47:X51" si="46">K47*O47</f>
        <v>86.774999999999991</v>
      </c>
      <c r="Y47" s="116">
        <f>$Y$45/31.1035*K47*IF(LEFT(F47,3)="10K",0.417*1.07,IF(LEFT(F47,3)="14K",0.585*1.05,IF(LEFT(F47,3)="18K",0.75*1.05,0)))</f>
        <v>804.52506780044837</v>
      </c>
      <c r="Z47" s="27">
        <f>2*K47</f>
        <v>26.7</v>
      </c>
      <c r="AA47" s="109">
        <f>(SUM(Q47:W47)+AF47)-Z47</f>
        <v>60.074999999999989</v>
      </c>
      <c r="AB47" s="109">
        <f>AD47*$AB$13+P47*$AB$14</f>
        <v>598.61733749999996</v>
      </c>
      <c r="AC47" s="109">
        <f t="shared" ref="AC47" si="47">SUM(AA47:AB47)</f>
        <v>658.69233749999989</v>
      </c>
      <c r="AD47" s="27">
        <f t="shared" ref="AD47:AD51" si="48">K47*IF(LEFT(F47,3)="10K",0.417*1.07,IF(LEFT(F47,3)="14K",0.585*1.05,IF(LEFT(F47,3)="18K",0.75*1.05,0)))</f>
        <v>8.2002375000000001</v>
      </c>
      <c r="AF47" s="27">
        <f>IF(AE47&gt;0,AE47*K47,X47)</f>
        <v>86.774999999999991</v>
      </c>
    </row>
    <row r="48" spans="1:32" s="27" customFormat="1" ht="28">
      <c r="A48" s="119">
        <v>2</v>
      </c>
      <c r="B48" s="120" t="s">
        <v>125</v>
      </c>
      <c r="C48" s="121" t="s">
        <v>126</v>
      </c>
      <c r="D48" s="121" t="s">
        <v>123</v>
      </c>
      <c r="E48" s="120" t="s">
        <v>124</v>
      </c>
      <c r="F48" s="120" t="s">
        <v>67</v>
      </c>
      <c r="G48" s="122">
        <v>1</v>
      </c>
      <c r="H48" s="112">
        <v>14.92</v>
      </c>
      <c r="I48" s="123"/>
      <c r="J48" s="123">
        <v>0.44</v>
      </c>
      <c r="K48" s="113">
        <f t="shared" ref="K48:K51" si="49">H48-I48-J48</f>
        <v>14.48</v>
      </c>
      <c r="L48" s="106">
        <v>4</v>
      </c>
      <c r="M48" s="106"/>
      <c r="N48" s="107">
        <v>20</v>
      </c>
      <c r="O48" s="115">
        <v>8.5</v>
      </c>
      <c r="P48" s="124"/>
      <c r="Q48" s="38"/>
      <c r="R48" s="38"/>
      <c r="S48" s="38"/>
      <c r="T48" s="38">
        <f>G48*2</f>
        <v>2</v>
      </c>
      <c r="U48" s="38"/>
      <c r="V48" s="38"/>
      <c r="W48" s="38"/>
      <c r="X48" s="38">
        <f t="shared" si="46"/>
        <v>123.08</v>
      </c>
      <c r="Y48" s="116">
        <f t="shared" ref="Y48:Y51" si="50">$Y$45/31.1035*K48*IF(LEFT(F48,3)="10K",0.417*1.07,IF(LEFT(F48,3)="14K",0.585*1.05,IF(LEFT(F48,3)="18K",0.75*1.05,0)))</f>
        <v>872.62344432587952</v>
      </c>
      <c r="Z48" s="27">
        <f t="shared" ref="Z48:Z51" si="51">2*K48</f>
        <v>28.96</v>
      </c>
      <c r="AA48" s="109">
        <f t="shared" ref="AA48:AA51" si="52">(SUM(Q48:W48)+AF48)-Z48</f>
        <v>96.12</v>
      </c>
      <c r="AB48" s="109">
        <f>AD48*$AB$13+P48*$AB$14</f>
        <v>649.28682000000003</v>
      </c>
      <c r="AC48" s="109">
        <f t="shared" ref="AC48:AC51" si="53">SUM(AA48:AB48)</f>
        <v>745.40682000000004</v>
      </c>
      <c r="AD48" s="27">
        <f t="shared" si="48"/>
        <v>8.8943399999999997</v>
      </c>
      <c r="AF48" s="27">
        <f>IF(AE48&gt;0,AE48*K48,X48)</f>
        <v>123.08</v>
      </c>
    </row>
    <row r="49" spans="1:32" s="27" customFormat="1" ht="28">
      <c r="A49" s="119">
        <v>2</v>
      </c>
      <c r="B49" s="120" t="s">
        <v>125</v>
      </c>
      <c r="C49" s="121" t="s">
        <v>126</v>
      </c>
      <c r="D49" s="121" t="s">
        <v>123</v>
      </c>
      <c r="E49" s="120" t="s">
        <v>124</v>
      </c>
      <c r="F49" s="120" t="s">
        <v>68</v>
      </c>
      <c r="G49" s="122">
        <v>2</v>
      </c>
      <c r="H49" s="112">
        <v>31.73</v>
      </c>
      <c r="I49" s="123"/>
      <c r="J49" s="123">
        <v>0.88</v>
      </c>
      <c r="K49" s="113">
        <f t="shared" si="49"/>
        <v>30.85</v>
      </c>
      <c r="L49" s="106">
        <v>4</v>
      </c>
      <c r="M49" s="106"/>
      <c r="N49" s="107">
        <v>20</v>
      </c>
      <c r="O49" s="115">
        <v>8.5</v>
      </c>
      <c r="P49" s="124"/>
      <c r="Q49" s="38"/>
      <c r="R49" s="38"/>
      <c r="S49" s="38"/>
      <c r="T49" s="38">
        <f t="shared" ref="T49:T50" si="54">G49*2</f>
        <v>4</v>
      </c>
      <c r="U49" s="38"/>
      <c r="V49" s="38"/>
      <c r="W49" s="38"/>
      <c r="X49" s="38">
        <f t="shared" si="46"/>
        <v>262.22500000000002</v>
      </c>
      <c r="Y49" s="116">
        <f t="shared" si="50"/>
        <v>1859.1459431942947</v>
      </c>
      <c r="Z49" s="27">
        <f t="shared" si="51"/>
        <v>61.7</v>
      </c>
      <c r="AA49" s="109">
        <f t="shared" si="52"/>
        <v>204.52500000000003</v>
      </c>
      <c r="AB49" s="109">
        <f>AD49*$AB$13+P49*$AB$14</f>
        <v>1383.3217125000001</v>
      </c>
      <c r="AC49" s="109">
        <f t="shared" si="53"/>
        <v>1587.8467125000002</v>
      </c>
      <c r="AD49" s="27">
        <f t="shared" si="48"/>
        <v>18.949612500000001</v>
      </c>
      <c r="AF49" s="27">
        <f t="shared" ref="AF49:AF51" si="55">IF(AE49&gt;0,AE49*K49,X49)</f>
        <v>262.22500000000002</v>
      </c>
    </row>
    <row r="50" spans="1:32" s="27" customFormat="1" ht="28">
      <c r="A50" s="119">
        <v>2</v>
      </c>
      <c r="B50" s="120" t="s">
        <v>125</v>
      </c>
      <c r="C50" s="121" t="s">
        <v>126</v>
      </c>
      <c r="D50" s="121" t="s">
        <v>123</v>
      </c>
      <c r="E50" s="120" t="s">
        <v>124</v>
      </c>
      <c r="F50" s="120" t="s">
        <v>127</v>
      </c>
      <c r="G50" s="122">
        <v>1</v>
      </c>
      <c r="H50" s="112">
        <v>16.03</v>
      </c>
      <c r="I50" s="123"/>
      <c r="J50" s="123">
        <v>0.44</v>
      </c>
      <c r="K50" s="113">
        <f t="shared" si="49"/>
        <v>15.590000000000002</v>
      </c>
      <c r="L50" s="106">
        <v>4</v>
      </c>
      <c r="M50" s="106"/>
      <c r="N50" s="107">
        <v>20</v>
      </c>
      <c r="O50" s="115">
        <v>8.5</v>
      </c>
      <c r="P50" s="124"/>
      <c r="Q50" s="38"/>
      <c r="R50" s="38"/>
      <c r="S50" s="38"/>
      <c r="T50" s="38">
        <f t="shared" si="54"/>
        <v>2</v>
      </c>
      <c r="U50" s="38"/>
      <c r="V50" s="38"/>
      <c r="W50" s="38"/>
      <c r="X50" s="38">
        <f t="shared" si="46"/>
        <v>132.51500000000001</v>
      </c>
      <c r="Y50" s="116">
        <f t="shared" si="50"/>
        <v>939.5165398508608</v>
      </c>
      <c r="Z50" s="27">
        <f t="shared" si="51"/>
        <v>31.180000000000003</v>
      </c>
      <c r="AA50" s="109">
        <f t="shared" si="52"/>
        <v>103.33500000000001</v>
      </c>
      <c r="AB50" s="109">
        <f>AD50*$AB$13+P50*$AB$14</f>
        <v>699.05949750000002</v>
      </c>
      <c r="AC50" s="109">
        <f t="shared" si="53"/>
        <v>802.39449750000006</v>
      </c>
      <c r="AD50" s="27">
        <f t="shared" si="48"/>
        <v>9.5761575000000008</v>
      </c>
      <c r="AF50" s="27">
        <f t="shared" si="55"/>
        <v>132.51500000000001</v>
      </c>
    </row>
    <row r="51" spans="1:32" s="27" customFormat="1" ht="28.5" thickBot="1">
      <c r="A51" s="119">
        <v>3</v>
      </c>
      <c r="B51" s="120" t="s">
        <v>121</v>
      </c>
      <c r="C51" s="121" t="s">
        <v>128</v>
      </c>
      <c r="D51" s="121" t="s">
        <v>123</v>
      </c>
      <c r="E51" s="120" t="s">
        <v>124</v>
      </c>
      <c r="F51" s="120" t="s">
        <v>67</v>
      </c>
      <c r="G51" s="122">
        <v>1</v>
      </c>
      <c r="H51" s="112">
        <v>6.7</v>
      </c>
      <c r="I51" s="123"/>
      <c r="J51" s="123">
        <v>0</v>
      </c>
      <c r="K51" s="113">
        <f t="shared" si="49"/>
        <v>6.7</v>
      </c>
      <c r="L51" s="106">
        <v>3.15</v>
      </c>
      <c r="M51" s="106"/>
      <c r="N51" s="107">
        <v>53</v>
      </c>
      <c r="O51" s="115">
        <v>6.5</v>
      </c>
      <c r="P51" s="124"/>
      <c r="Q51" s="38"/>
      <c r="R51" s="38"/>
      <c r="S51" s="38"/>
      <c r="T51" s="38"/>
      <c r="U51" s="38"/>
      <c r="V51" s="38"/>
      <c r="W51" s="38"/>
      <c r="X51" s="38">
        <f t="shared" si="46"/>
        <v>43.550000000000004</v>
      </c>
      <c r="Y51" s="116">
        <f t="shared" si="50"/>
        <v>403.76913515078678</v>
      </c>
      <c r="Z51" s="27">
        <f t="shared" si="51"/>
        <v>13.4</v>
      </c>
      <c r="AA51" s="109">
        <f t="shared" si="52"/>
        <v>30.150000000000006</v>
      </c>
      <c r="AB51" s="109">
        <f>AD51*$AB$13+P51*$AB$14</f>
        <v>300.42967499999997</v>
      </c>
      <c r="AC51" s="109">
        <f t="shared" si="53"/>
        <v>330.57967499999995</v>
      </c>
      <c r="AD51" s="27">
        <f t="shared" si="48"/>
        <v>4.115475</v>
      </c>
      <c r="AF51" s="27">
        <f t="shared" si="55"/>
        <v>43.550000000000004</v>
      </c>
    </row>
    <row r="52" spans="1:32" s="28" customFormat="1" ht="16" customHeight="1">
      <c r="A52" s="94" t="s">
        <v>61</v>
      </c>
      <c r="B52" s="72"/>
      <c r="C52" s="72"/>
      <c r="D52" s="72"/>
      <c r="E52" s="72"/>
      <c r="F52" s="72"/>
      <c r="G52" s="73">
        <f>SUM(G47:G51)</f>
        <v>7</v>
      </c>
      <c r="H52" s="114"/>
      <c r="I52" s="114"/>
      <c r="J52" s="114"/>
      <c r="K52" s="114">
        <f>SUM(K47:K51)</f>
        <v>80.97</v>
      </c>
      <c r="L52" s="74"/>
      <c r="M52" s="74"/>
      <c r="N52" s="74"/>
      <c r="O52" s="75"/>
      <c r="P52" s="125">
        <f t="shared" ref="P52:Y52" si="56">SUM(P47:P51)</f>
        <v>0</v>
      </c>
      <c r="Q52" s="76">
        <f t="shared" si="56"/>
        <v>0</v>
      </c>
      <c r="R52" s="76">
        <f t="shared" si="56"/>
        <v>0</v>
      </c>
      <c r="S52" s="76">
        <f t="shared" si="56"/>
        <v>0</v>
      </c>
      <c r="T52" s="76">
        <f t="shared" si="56"/>
        <v>8</v>
      </c>
      <c r="U52" s="76">
        <f t="shared" si="56"/>
        <v>0</v>
      </c>
      <c r="V52" s="76">
        <f t="shared" si="56"/>
        <v>0</v>
      </c>
      <c r="W52" s="76">
        <f t="shared" si="56"/>
        <v>0</v>
      </c>
      <c r="X52" s="76">
        <f t="shared" si="56"/>
        <v>648.14499999999998</v>
      </c>
      <c r="Y52" s="117">
        <f t="shared" si="56"/>
        <v>4879.5801303222697</v>
      </c>
      <c r="AA52" s="110"/>
      <c r="AB52" s="110"/>
      <c r="AC52" s="110"/>
      <c r="AD52" s="110"/>
    </row>
    <row r="53" spans="1:32" ht="16" customHeight="1">
      <c r="A53" s="56" t="s">
        <v>74</v>
      </c>
      <c r="K53" s="51"/>
      <c r="L53" s="51"/>
      <c r="M53" s="51"/>
      <c r="N53" s="51"/>
      <c r="W53" s="52"/>
      <c r="X53" s="91" t="s">
        <v>111</v>
      </c>
      <c r="Y53" s="101">
        <f>3030.25*1.01</f>
        <v>3060.5525000000002</v>
      </c>
    </row>
    <row r="54" spans="1:32" s="100" customFormat="1" ht="28">
      <c r="A54" s="95" t="s">
        <v>62</v>
      </c>
      <c r="B54" s="96" t="s">
        <v>4</v>
      </c>
      <c r="C54" s="96" t="s">
        <v>23</v>
      </c>
      <c r="D54" s="96" t="s">
        <v>45</v>
      </c>
      <c r="E54" s="96" t="s">
        <v>46</v>
      </c>
      <c r="F54" s="96" t="s">
        <v>5</v>
      </c>
      <c r="G54" s="96" t="s">
        <v>6</v>
      </c>
      <c r="H54" s="97" t="s">
        <v>7</v>
      </c>
      <c r="I54" s="97" t="s">
        <v>47</v>
      </c>
      <c r="J54" s="97" t="s">
        <v>8</v>
      </c>
      <c r="K54" s="98" t="s">
        <v>13</v>
      </c>
      <c r="L54" s="98" t="s">
        <v>19</v>
      </c>
      <c r="M54" s="98" t="s">
        <v>22</v>
      </c>
      <c r="N54" s="98" t="s">
        <v>20</v>
      </c>
      <c r="O54" s="99" t="s">
        <v>9</v>
      </c>
      <c r="P54" s="99" t="s">
        <v>49</v>
      </c>
      <c r="Q54" s="48" t="s">
        <v>70</v>
      </c>
      <c r="R54" s="48" t="s">
        <v>53</v>
      </c>
      <c r="S54" s="48" t="s">
        <v>65</v>
      </c>
      <c r="T54" s="48" t="s">
        <v>12</v>
      </c>
      <c r="U54" s="48" t="s">
        <v>51</v>
      </c>
      <c r="V54" s="48" t="s">
        <v>48</v>
      </c>
      <c r="W54" s="48" t="s">
        <v>14</v>
      </c>
      <c r="X54" s="53" t="s">
        <v>11</v>
      </c>
      <c r="Y54" s="53" t="s">
        <v>21</v>
      </c>
    </row>
    <row r="55" spans="1:32" s="27" customFormat="1" ht="28">
      <c r="A55" s="103" t="s">
        <v>129</v>
      </c>
      <c r="B55" s="102" t="s">
        <v>130</v>
      </c>
      <c r="C55" s="105" t="s">
        <v>131</v>
      </c>
      <c r="D55" s="105" t="s">
        <v>132</v>
      </c>
      <c r="E55" s="102" t="s">
        <v>133</v>
      </c>
      <c r="F55" s="102" t="s">
        <v>67</v>
      </c>
      <c r="G55" s="104">
        <v>3</v>
      </c>
      <c r="H55" s="135">
        <v>16.420000000000002</v>
      </c>
      <c r="I55" s="135"/>
      <c r="J55" s="135">
        <v>0.9</v>
      </c>
      <c r="K55" s="137">
        <f>H55-I55-J55</f>
        <v>15.520000000000001</v>
      </c>
      <c r="L55" s="106">
        <v>1.5</v>
      </c>
      <c r="M55" s="106"/>
      <c r="N55" s="107">
        <v>13</v>
      </c>
      <c r="O55" s="115">
        <v>8.5</v>
      </c>
      <c r="P55" s="124"/>
      <c r="Q55" s="38"/>
      <c r="R55" s="38"/>
      <c r="S55" s="38"/>
      <c r="T55" s="38">
        <f t="shared" ref="T55:T61" si="57">G55*2</f>
        <v>6</v>
      </c>
      <c r="U55" s="38"/>
      <c r="V55" s="38"/>
      <c r="W55" s="38"/>
      <c r="X55" s="38">
        <f t="shared" ref="X55:X61" si="58">K55*O55</f>
        <v>131.92000000000002</v>
      </c>
      <c r="Y55" s="116">
        <f>$Y$53/31.1035*K55*IF(LEFT(F55,3)="10K",0.417*1.07,IF(LEFT(F55,3)="14K",0.585*1.05,IF(LEFT(F55,3)="18K",0.75*1.05,0)))</f>
        <v>938.05316671435696</v>
      </c>
      <c r="Z55" s="27">
        <f>2*K55</f>
        <v>31.040000000000003</v>
      </c>
      <c r="AA55" s="109">
        <f>(SUM(Q55:W55)+AF55)-Z55</f>
        <v>106.88000000000001</v>
      </c>
      <c r="AB55" s="109">
        <f t="shared" ref="AB55:AB61" si="59">AD55*$AB$13+P55*$AB$14</f>
        <v>695.92068000000006</v>
      </c>
      <c r="AC55" s="109">
        <f t="shared" ref="AC55" si="60">SUM(AA55:AB55)</f>
        <v>802.80068000000006</v>
      </c>
      <c r="AD55" s="27">
        <f t="shared" ref="AD55:AD61" si="61">K55*IF(LEFT(F55,3)="10K",0.417*1.07,IF(LEFT(F55,3)="14K",0.585*1.05,IF(LEFT(F55,3)="18K",0.75*1.05,0)))</f>
        <v>9.5331600000000005</v>
      </c>
      <c r="AF55" s="27">
        <f>IF(AE55&gt;0,AE55*K55,X55)</f>
        <v>131.92000000000002</v>
      </c>
    </row>
    <row r="56" spans="1:32" s="27" customFormat="1" ht="28">
      <c r="A56" s="103">
        <v>1</v>
      </c>
      <c r="B56" s="102" t="s">
        <v>130</v>
      </c>
      <c r="C56" s="105" t="s">
        <v>131</v>
      </c>
      <c r="D56" s="105" t="s">
        <v>132</v>
      </c>
      <c r="E56" s="102" t="s">
        <v>133</v>
      </c>
      <c r="F56" s="120" t="s">
        <v>68</v>
      </c>
      <c r="G56" s="122">
        <v>1</v>
      </c>
      <c r="H56" s="135">
        <v>5.51</v>
      </c>
      <c r="I56" s="136"/>
      <c r="J56" s="136">
        <v>0.3</v>
      </c>
      <c r="K56" s="137">
        <f>H56-I56-J56</f>
        <v>5.21</v>
      </c>
      <c r="L56" s="106">
        <v>1.5</v>
      </c>
      <c r="M56" s="106"/>
      <c r="N56" s="107">
        <v>13</v>
      </c>
      <c r="O56" s="115">
        <v>8.5</v>
      </c>
      <c r="P56" s="124"/>
      <c r="Q56" s="38"/>
      <c r="R56" s="38"/>
      <c r="S56" s="38"/>
      <c r="T56" s="38">
        <f t="shared" si="57"/>
        <v>2</v>
      </c>
      <c r="U56" s="38"/>
      <c r="V56" s="38"/>
      <c r="W56" s="38"/>
      <c r="X56" s="38">
        <f t="shared" si="58"/>
        <v>44.284999999999997</v>
      </c>
      <c r="Y56" s="116">
        <f t="shared" ref="Y56:Y61" si="62">$Y$53/31.1035*K56*IF(LEFT(F56,3)="10K",0.417*1.07,IF(LEFT(F56,3)="14K",0.585*1.05,IF(LEFT(F56,3)="18K",0.75*1.05,0)))</f>
        <v>314.90057980552831</v>
      </c>
      <c r="Z56" s="27">
        <f t="shared" ref="Z56:Z61" si="63">2*K56</f>
        <v>10.42</v>
      </c>
      <c r="AA56" s="109">
        <f t="shared" ref="AA56:AA61" si="64">(SUM(Q56:W56)+AF56)-Z56</f>
        <v>35.864999999999995</v>
      </c>
      <c r="AB56" s="109">
        <f t="shared" si="59"/>
        <v>233.61770249999998</v>
      </c>
      <c r="AC56" s="109">
        <f t="shared" ref="AC56:AC61" si="65">SUM(AA56:AB56)</f>
        <v>269.48270249999996</v>
      </c>
      <c r="AD56" s="27">
        <f t="shared" si="61"/>
        <v>3.2002424999999999</v>
      </c>
      <c r="AF56" s="27">
        <f>IF(AE56&gt;0,AE56*K56,X56)</f>
        <v>44.284999999999997</v>
      </c>
    </row>
    <row r="57" spans="1:32" s="27" customFormat="1" ht="28">
      <c r="A57" s="119">
        <v>2</v>
      </c>
      <c r="B57" s="120" t="s">
        <v>134</v>
      </c>
      <c r="C57" s="121" t="s">
        <v>135</v>
      </c>
      <c r="D57" s="121" t="s">
        <v>132</v>
      </c>
      <c r="E57" s="120" t="s">
        <v>133</v>
      </c>
      <c r="F57" s="120" t="s">
        <v>67</v>
      </c>
      <c r="G57" s="122">
        <v>1</v>
      </c>
      <c r="H57" s="135">
        <v>5.93</v>
      </c>
      <c r="I57" s="136"/>
      <c r="J57" s="136">
        <v>0.3</v>
      </c>
      <c r="K57" s="137">
        <f t="shared" ref="K57:K61" si="66">H57-I57-J57</f>
        <v>5.63</v>
      </c>
      <c r="L57" s="106" t="s">
        <v>136</v>
      </c>
      <c r="M57" s="106"/>
      <c r="N57" s="107" t="s">
        <v>137</v>
      </c>
      <c r="O57" s="115">
        <v>9.5</v>
      </c>
      <c r="P57" s="124"/>
      <c r="Q57" s="38"/>
      <c r="R57" s="38"/>
      <c r="S57" s="38"/>
      <c r="T57" s="38">
        <f t="shared" si="57"/>
        <v>2</v>
      </c>
      <c r="U57" s="38"/>
      <c r="V57" s="38"/>
      <c r="W57" s="38"/>
      <c r="X57" s="38">
        <f t="shared" si="58"/>
        <v>53.484999999999999</v>
      </c>
      <c r="Y57" s="116">
        <f t="shared" si="62"/>
        <v>340.28603921403544</v>
      </c>
      <c r="Z57" s="27">
        <f t="shared" si="63"/>
        <v>11.26</v>
      </c>
      <c r="AA57" s="109">
        <f t="shared" si="64"/>
        <v>44.225000000000001</v>
      </c>
      <c r="AB57" s="109">
        <f t="shared" si="59"/>
        <v>252.45060749999996</v>
      </c>
      <c r="AC57" s="109">
        <f t="shared" si="65"/>
        <v>296.67560749999996</v>
      </c>
      <c r="AD57" s="27">
        <f t="shared" si="61"/>
        <v>3.4582274999999996</v>
      </c>
      <c r="AF57" s="27">
        <f t="shared" ref="AF57:AF61" si="67">IF(AE57&gt;0,AE57*K57,X57)</f>
        <v>53.484999999999999</v>
      </c>
    </row>
    <row r="58" spans="1:32" s="27" customFormat="1" ht="28">
      <c r="A58" s="119">
        <v>2</v>
      </c>
      <c r="B58" s="120" t="s">
        <v>134</v>
      </c>
      <c r="C58" s="121" t="s">
        <v>135</v>
      </c>
      <c r="D58" s="121" t="s">
        <v>132</v>
      </c>
      <c r="E58" s="120" t="s">
        <v>133</v>
      </c>
      <c r="F58" s="120" t="s">
        <v>68</v>
      </c>
      <c r="G58" s="122">
        <v>2</v>
      </c>
      <c r="H58" s="135">
        <v>11.56</v>
      </c>
      <c r="I58" s="136"/>
      <c r="J58" s="136">
        <v>0.6</v>
      </c>
      <c r="K58" s="137">
        <f t="shared" si="66"/>
        <v>10.96</v>
      </c>
      <c r="L58" s="106" t="s">
        <v>136</v>
      </c>
      <c r="M58" s="106"/>
      <c r="N58" s="107" t="s">
        <v>137</v>
      </c>
      <c r="O58" s="115">
        <v>9.5</v>
      </c>
      <c r="P58" s="124"/>
      <c r="Q58" s="38"/>
      <c r="R58" s="38"/>
      <c r="S58" s="38"/>
      <c r="T58" s="38">
        <f t="shared" si="57"/>
        <v>4</v>
      </c>
      <c r="U58" s="38"/>
      <c r="V58" s="38"/>
      <c r="W58" s="38"/>
      <c r="X58" s="38">
        <f t="shared" si="58"/>
        <v>104.12</v>
      </c>
      <c r="Y58" s="116">
        <f t="shared" si="62"/>
        <v>662.43960742199431</v>
      </c>
      <c r="Z58" s="27">
        <f t="shared" si="63"/>
        <v>21.92</v>
      </c>
      <c r="AA58" s="109">
        <f t="shared" si="64"/>
        <v>86.2</v>
      </c>
      <c r="AB58" s="109">
        <f t="shared" si="59"/>
        <v>491.44914000000006</v>
      </c>
      <c r="AC58" s="109">
        <f t="shared" si="65"/>
        <v>577.6491400000001</v>
      </c>
      <c r="AD58" s="27">
        <f t="shared" si="61"/>
        <v>6.7321800000000005</v>
      </c>
      <c r="AF58" s="27">
        <f t="shared" si="67"/>
        <v>104.12</v>
      </c>
    </row>
    <row r="59" spans="1:32" s="27" customFormat="1" ht="28">
      <c r="A59" s="119">
        <v>3</v>
      </c>
      <c r="B59" s="120" t="s">
        <v>138</v>
      </c>
      <c r="C59" s="121" t="s">
        <v>135</v>
      </c>
      <c r="D59" s="121" t="s">
        <v>132</v>
      </c>
      <c r="E59" s="120" t="s">
        <v>133</v>
      </c>
      <c r="F59" s="120" t="s">
        <v>67</v>
      </c>
      <c r="G59" s="122">
        <v>2</v>
      </c>
      <c r="H59" s="135">
        <v>12.34</v>
      </c>
      <c r="I59" s="136"/>
      <c r="J59" s="136">
        <v>0.64</v>
      </c>
      <c r="K59" s="137">
        <f t="shared" si="66"/>
        <v>11.7</v>
      </c>
      <c r="L59" s="106" t="s">
        <v>136</v>
      </c>
      <c r="M59" s="106"/>
      <c r="N59" s="107" t="s">
        <v>137</v>
      </c>
      <c r="O59" s="115">
        <v>9.5</v>
      </c>
      <c r="P59" s="124"/>
      <c r="Q59" s="38"/>
      <c r="R59" s="38"/>
      <c r="S59" s="38"/>
      <c r="T59" s="38">
        <f t="shared" si="57"/>
        <v>4</v>
      </c>
      <c r="U59" s="38"/>
      <c r="V59" s="38"/>
      <c r="W59" s="38"/>
      <c r="X59" s="38">
        <f t="shared" si="58"/>
        <v>111.14999999999999</v>
      </c>
      <c r="Y59" s="116">
        <f t="shared" si="62"/>
        <v>707.16636923698286</v>
      </c>
      <c r="Z59" s="27">
        <f t="shared" si="63"/>
        <v>23.4</v>
      </c>
      <c r="AA59" s="109">
        <f t="shared" si="64"/>
        <v>91.75</v>
      </c>
      <c r="AB59" s="109">
        <f t="shared" si="59"/>
        <v>524.63092499999993</v>
      </c>
      <c r="AC59" s="109">
        <f t="shared" si="65"/>
        <v>616.38092499999993</v>
      </c>
      <c r="AD59" s="27">
        <f t="shared" si="61"/>
        <v>7.1867249999999991</v>
      </c>
      <c r="AF59" s="27">
        <f t="shared" si="67"/>
        <v>111.14999999999999</v>
      </c>
    </row>
    <row r="60" spans="1:32" s="27" customFormat="1" ht="28">
      <c r="A60" s="119">
        <v>3</v>
      </c>
      <c r="B60" s="120" t="s">
        <v>138</v>
      </c>
      <c r="C60" s="121" t="s">
        <v>135</v>
      </c>
      <c r="D60" s="121" t="s">
        <v>132</v>
      </c>
      <c r="E60" s="120" t="s">
        <v>133</v>
      </c>
      <c r="F60" s="102" t="s">
        <v>68</v>
      </c>
      <c r="G60" s="104">
        <v>3</v>
      </c>
      <c r="H60" s="135">
        <v>18.12</v>
      </c>
      <c r="I60" s="135"/>
      <c r="J60" s="135">
        <v>0.96</v>
      </c>
      <c r="K60" s="137">
        <f t="shared" si="66"/>
        <v>17.16</v>
      </c>
      <c r="L60" s="106" t="s">
        <v>136</v>
      </c>
      <c r="M60" s="106"/>
      <c r="N60" s="107" t="s">
        <v>137</v>
      </c>
      <c r="O60" s="115">
        <v>9.5</v>
      </c>
      <c r="P60" s="124"/>
      <c r="Q60" s="38"/>
      <c r="R60" s="38"/>
      <c r="S60" s="38"/>
      <c r="T60" s="38">
        <f t="shared" si="57"/>
        <v>6</v>
      </c>
      <c r="U60" s="38"/>
      <c r="V60" s="38"/>
      <c r="W60" s="38"/>
      <c r="X60" s="38">
        <f t="shared" si="58"/>
        <v>163.02000000000001</v>
      </c>
      <c r="Y60" s="116">
        <f t="shared" si="62"/>
        <v>1037.177341547575</v>
      </c>
      <c r="Z60" s="27">
        <f t="shared" si="63"/>
        <v>34.32</v>
      </c>
      <c r="AA60" s="109">
        <f t="shared" si="64"/>
        <v>134.70000000000002</v>
      </c>
      <c r="AB60" s="109">
        <f t="shared" si="59"/>
        <v>769.45868999999993</v>
      </c>
      <c r="AC60" s="109">
        <f t="shared" si="65"/>
        <v>904.15868999999998</v>
      </c>
      <c r="AD60" s="27">
        <f t="shared" si="61"/>
        <v>10.540529999999999</v>
      </c>
      <c r="AF60" s="27">
        <f t="shared" si="67"/>
        <v>163.02000000000001</v>
      </c>
    </row>
    <row r="61" spans="1:32" s="27" customFormat="1" ht="28.5" thickBot="1">
      <c r="A61" s="119">
        <v>4</v>
      </c>
      <c r="B61" s="120" t="s">
        <v>139</v>
      </c>
      <c r="C61" s="121" t="s">
        <v>140</v>
      </c>
      <c r="D61" s="121" t="s">
        <v>141</v>
      </c>
      <c r="E61" s="120" t="s">
        <v>133</v>
      </c>
      <c r="F61" s="120" t="s">
        <v>67</v>
      </c>
      <c r="G61" s="122">
        <v>1</v>
      </c>
      <c r="H61" s="135">
        <v>8.65</v>
      </c>
      <c r="I61" s="136"/>
      <c r="J61" s="136">
        <v>0.32</v>
      </c>
      <c r="K61" s="137">
        <f t="shared" si="66"/>
        <v>8.33</v>
      </c>
      <c r="L61" s="106" t="s">
        <v>142</v>
      </c>
      <c r="M61" s="106"/>
      <c r="N61" s="107">
        <v>23</v>
      </c>
      <c r="O61" s="115">
        <v>10.5</v>
      </c>
      <c r="P61" s="124"/>
      <c r="Q61" s="38"/>
      <c r="R61" s="38"/>
      <c r="S61" s="38"/>
      <c r="T61" s="38">
        <f t="shared" si="57"/>
        <v>2</v>
      </c>
      <c r="U61" s="38"/>
      <c r="V61" s="38"/>
      <c r="W61" s="38"/>
      <c r="X61" s="38">
        <f t="shared" si="58"/>
        <v>87.465000000000003</v>
      </c>
      <c r="Y61" s="116">
        <f t="shared" si="62"/>
        <v>503.47827826872378</v>
      </c>
      <c r="Z61" s="27">
        <f t="shared" si="63"/>
        <v>16.66</v>
      </c>
      <c r="AA61" s="109">
        <f t="shared" si="64"/>
        <v>72.805000000000007</v>
      </c>
      <c r="AB61" s="109">
        <f t="shared" si="59"/>
        <v>373.51928249999997</v>
      </c>
      <c r="AC61" s="109">
        <f t="shared" si="65"/>
        <v>446.32428249999998</v>
      </c>
      <c r="AD61" s="27">
        <f t="shared" si="61"/>
        <v>5.1167024999999997</v>
      </c>
      <c r="AF61" s="27">
        <f t="shared" si="67"/>
        <v>87.465000000000003</v>
      </c>
    </row>
    <row r="62" spans="1:32" s="28" customFormat="1" ht="16" customHeight="1">
      <c r="A62" s="94" t="s">
        <v>61</v>
      </c>
      <c r="B62" s="72"/>
      <c r="C62" s="72"/>
      <c r="D62" s="72"/>
      <c r="E62" s="72"/>
      <c r="F62" s="72"/>
      <c r="G62" s="73">
        <f>SUM(G55:G61)</f>
        <v>13</v>
      </c>
      <c r="H62" s="138"/>
      <c r="I62" s="138"/>
      <c r="J62" s="138"/>
      <c r="K62" s="138">
        <f>SUM(K55:K61)</f>
        <v>74.509999999999991</v>
      </c>
      <c r="L62" s="74"/>
      <c r="M62" s="74"/>
      <c r="N62" s="74"/>
      <c r="O62" s="75"/>
      <c r="P62" s="125">
        <f t="shared" ref="P62:Y62" si="68">SUM(P55:P61)</f>
        <v>0</v>
      </c>
      <c r="Q62" s="76">
        <f t="shared" si="68"/>
        <v>0</v>
      </c>
      <c r="R62" s="76">
        <f t="shared" si="68"/>
        <v>0</v>
      </c>
      <c r="S62" s="76">
        <f t="shared" si="68"/>
        <v>0</v>
      </c>
      <c r="T62" s="76">
        <f t="shared" si="68"/>
        <v>26</v>
      </c>
      <c r="U62" s="76">
        <f t="shared" si="68"/>
        <v>0</v>
      </c>
      <c r="V62" s="76">
        <f t="shared" si="68"/>
        <v>0</v>
      </c>
      <c r="W62" s="76">
        <f t="shared" si="68"/>
        <v>0</v>
      </c>
      <c r="X62" s="76">
        <f t="shared" si="68"/>
        <v>695.44500000000005</v>
      </c>
      <c r="Y62" s="117">
        <f t="shared" si="68"/>
        <v>4503.5013822091969</v>
      </c>
      <c r="AA62" s="110"/>
      <c r="AB62" s="110"/>
      <c r="AC62" s="110"/>
      <c r="AD62" s="110"/>
    </row>
    <row r="63" spans="1:32" ht="16" customHeight="1">
      <c r="A63" s="56" t="s">
        <v>74</v>
      </c>
      <c r="K63" s="51"/>
      <c r="L63" s="51"/>
      <c r="M63" s="51"/>
      <c r="N63" s="51"/>
      <c r="W63" s="52"/>
      <c r="X63" s="91" t="s">
        <v>119</v>
      </c>
      <c r="Y63" s="101">
        <f>1.01*3021.35</f>
        <v>3051.5634999999997</v>
      </c>
    </row>
    <row r="64" spans="1:32" s="100" customFormat="1" ht="28">
      <c r="A64" s="95" t="s">
        <v>62</v>
      </c>
      <c r="B64" s="96" t="s">
        <v>4</v>
      </c>
      <c r="C64" s="96" t="s">
        <v>23</v>
      </c>
      <c r="D64" s="96" t="s">
        <v>45</v>
      </c>
      <c r="E64" s="96" t="s">
        <v>46</v>
      </c>
      <c r="F64" s="96" t="s">
        <v>5</v>
      </c>
      <c r="G64" s="96" t="s">
        <v>6</v>
      </c>
      <c r="H64" s="97" t="s">
        <v>7</v>
      </c>
      <c r="I64" s="97" t="s">
        <v>47</v>
      </c>
      <c r="J64" s="97" t="s">
        <v>8</v>
      </c>
      <c r="K64" s="98" t="s">
        <v>13</v>
      </c>
      <c r="L64" s="98" t="s">
        <v>19</v>
      </c>
      <c r="M64" s="98" t="s">
        <v>22</v>
      </c>
      <c r="N64" s="98" t="s">
        <v>20</v>
      </c>
      <c r="O64" s="99" t="s">
        <v>9</v>
      </c>
      <c r="P64" s="99" t="s">
        <v>49</v>
      </c>
      <c r="Q64" s="48" t="s">
        <v>70</v>
      </c>
      <c r="R64" s="48" t="s">
        <v>53</v>
      </c>
      <c r="S64" s="48" t="s">
        <v>65</v>
      </c>
      <c r="T64" s="48" t="s">
        <v>12</v>
      </c>
      <c r="U64" s="48" t="s">
        <v>51</v>
      </c>
      <c r="V64" s="48" t="s">
        <v>48</v>
      </c>
      <c r="W64" s="48" t="s">
        <v>14</v>
      </c>
      <c r="X64" s="53" t="s">
        <v>11</v>
      </c>
      <c r="Y64" s="53" t="s">
        <v>21</v>
      </c>
    </row>
    <row r="65" spans="1:32" s="27" customFormat="1" ht="28">
      <c r="A65" s="103" t="s">
        <v>143</v>
      </c>
      <c r="B65" s="102" t="s">
        <v>144</v>
      </c>
      <c r="C65" s="105" t="s">
        <v>145</v>
      </c>
      <c r="D65" s="105" t="s">
        <v>146</v>
      </c>
      <c r="E65" s="102" t="s">
        <v>147</v>
      </c>
      <c r="F65" s="102" t="s">
        <v>68</v>
      </c>
      <c r="G65" s="104">
        <v>1</v>
      </c>
      <c r="H65" s="135">
        <v>5.15</v>
      </c>
      <c r="I65" s="135"/>
      <c r="J65" s="135">
        <v>0.3</v>
      </c>
      <c r="K65" s="137">
        <f>H65-I65-J65</f>
        <v>4.8500000000000005</v>
      </c>
      <c r="L65" s="106">
        <v>1.8</v>
      </c>
      <c r="M65" s="106"/>
      <c r="N65" s="107">
        <v>37</v>
      </c>
      <c r="O65" s="115">
        <v>10.5</v>
      </c>
      <c r="P65" s="124"/>
      <c r="Q65" s="38"/>
      <c r="R65" s="38"/>
      <c r="S65" s="38"/>
      <c r="T65" s="38">
        <f>G65*2</f>
        <v>2</v>
      </c>
      <c r="U65" s="38"/>
      <c r="V65" s="38"/>
      <c r="W65" s="38"/>
      <c r="X65" s="38">
        <f t="shared" ref="X65:X66" si="69">K65*O65</f>
        <v>50.925000000000004</v>
      </c>
      <c r="Y65" s="116">
        <f>$Y$63/31.1035*K65*IF(LEFT(F65,3)="10K",0.417*1.07,IF(LEFT(F65,3)="14K",0.585*1.05,IF(LEFT(F65,3)="18K",0.75*1.05,0)))</f>
        <v>292.28064260915164</v>
      </c>
      <c r="Z65" s="27">
        <f>2*K65</f>
        <v>9.7000000000000011</v>
      </c>
      <c r="AA65" s="109">
        <f>(SUM(Q65:W65)+AF65)-Z65</f>
        <v>43.225000000000001</v>
      </c>
      <c r="AB65" s="109">
        <f>AD65*$AB$13+P65*$AB$14</f>
        <v>217.47521250000003</v>
      </c>
      <c r="AC65" s="109">
        <f t="shared" ref="AC65" si="70">SUM(AA65:AB65)</f>
        <v>260.70021250000002</v>
      </c>
      <c r="AD65" s="27">
        <f t="shared" ref="AD65:AD66" si="71">K65*IF(LEFT(F65,3)="10K",0.417*1.07,IF(LEFT(F65,3)="14K",0.585*1.05,IF(LEFT(F65,3)="18K",0.75*1.05,0)))</f>
        <v>2.9791125000000003</v>
      </c>
      <c r="AF65" s="27">
        <f>IF(AE65&gt;0,AE65*K65,X65)</f>
        <v>50.925000000000004</v>
      </c>
    </row>
    <row r="66" spans="1:32" s="27" customFormat="1" ht="28.5" thickBot="1">
      <c r="A66" s="119">
        <v>2</v>
      </c>
      <c r="B66" s="120" t="s">
        <v>148</v>
      </c>
      <c r="C66" s="121" t="s">
        <v>149</v>
      </c>
      <c r="D66" s="121" t="s">
        <v>146</v>
      </c>
      <c r="E66" s="120" t="s">
        <v>147</v>
      </c>
      <c r="F66" s="102" t="s">
        <v>68</v>
      </c>
      <c r="G66" s="122">
        <v>1</v>
      </c>
      <c r="H66" s="135">
        <v>5.58</v>
      </c>
      <c r="I66" s="136"/>
      <c r="J66" s="136">
        <v>0.3</v>
      </c>
      <c r="K66" s="137">
        <f t="shared" ref="K66" si="72">H66-I66-J66</f>
        <v>5.28</v>
      </c>
      <c r="L66" s="106">
        <v>1.7</v>
      </c>
      <c r="M66" s="106"/>
      <c r="N66" s="107">
        <v>41</v>
      </c>
      <c r="O66" s="115">
        <v>11.5</v>
      </c>
      <c r="P66" s="124"/>
      <c r="Q66" s="38"/>
      <c r="R66" s="38"/>
      <c r="S66" s="38"/>
      <c r="T66" s="38">
        <f>G66*2</f>
        <v>2</v>
      </c>
      <c r="U66" s="38"/>
      <c r="V66" s="38"/>
      <c r="W66" s="38"/>
      <c r="X66" s="38">
        <f t="shared" si="69"/>
        <v>60.720000000000006</v>
      </c>
      <c r="Y66" s="116">
        <f>$Y$63/31.1035*K66*IF(LEFT(F66,3)="10K",0.417*1.07,IF(LEFT(F66,3)="14K",0.585*1.05,IF(LEFT(F66,3)="18K",0.75*1.05,0)))</f>
        <v>318.19418411882901</v>
      </c>
      <c r="Z66" s="27">
        <f t="shared" ref="Z66" si="73">2*K66</f>
        <v>10.56</v>
      </c>
      <c r="AA66" s="109">
        <f t="shared" ref="AA66" si="74">(SUM(Q66:W66)+AF66)-Z66</f>
        <v>52.160000000000004</v>
      </c>
      <c r="AB66" s="109">
        <f>AD66*$AB$13+P66*$AB$14</f>
        <v>236.75652000000002</v>
      </c>
      <c r="AC66" s="109">
        <f t="shared" ref="AC66" si="75">SUM(AA66:AB66)</f>
        <v>288.91652000000005</v>
      </c>
      <c r="AD66" s="27">
        <f t="shared" si="71"/>
        <v>3.2432400000000001</v>
      </c>
      <c r="AF66" s="27">
        <f>IF(AE66&gt;0,AE66*K66,X66)</f>
        <v>60.720000000000006</v>
      </c>
    </row>
    <row r="67" spans="1:32" s="28" customFormat="1" ht="16" customHeight="1">
      <c r="A67" s="94" t="s">
        <v>61</v>
      </c>
      <c r="B67" s="72"/>
      <c r="C67" s="72"/>
      <c r="D67" s="72"/>
      <c r="E67" s="72"/>
      <c r="F67" s="72"/>
      <c r="G67" s="73">
        <f>SUM(G65:G66)</f>
        <v>2</v>
      </c>
      <c r="H67" s="138"/>
      <c r="I67" s="138"/>
      <c r="J67" s="138"/>
      <c r="K67" s="138">
        <f>SUM(K65:K66)</f>
        <v>10.130000000000001</v>
      </c>
      <c r="L67" s="74"/>
      <c r="M67" s="74"/>
      <c r="N67" s="74"/>
      <c r="O67" s="75"/>
      <c r="P67" s="125">
        <f t="shared" ref="P67:Y67" si="76">SUM(P65:P66)</f>
        <v>0</v>
      </c>
      <c r="Q67" s="76">
        <f t="shared" si="76"/>
        <v>0</v>
      </c>
      <c r="R67" s="76">
        <f t="shared" si="76"/>
        <v>0</v>
      </c>
      <c r="S67" s="76">
        <f t="shared" si="76"/>
        <v>0</v>
      </c>
      <c r="T67" s="76">
        <f t="shared" si="76"/>
        <v>4</v>
      </c>
      <c r="U67" s="76">
        <f t="shared" si="76"/>
        <v>0</v>
      </c>
      <c r="V67" s="76">
        <f t="shared" si="76"/>
        <v>0</v>
      </c>
      <c r="W67" s="76">
        <f t="shared" si="76"/>
        <v>0</v>
      </c>
      <c r="X67" s="76">
        <f t="shared" si="76"/>
        <v>111.64500000000001</v>
      </c>
      <c r="Y67" s="117">
        <f t="shared" si="76"/>
        <v>610.4748267279806</v>
      </c>
      <c r="AA67" s="110"/>
      <c r="AB67" s="110"/>
      <c r="AC67" s="110"/>
      <c r="AD67" s="110"/>
    </row>
    <row r="68" spans="1:32" ht="16" customHeight="1">
      <c r="A68" s="56" t="s">
        <v>74</v>
      </c>
      <c r="K68" s="51"/>
      <c r="L68" s="51"/>
      <c r="M68" s="51"/>
      <c r="N68" s="51"/>
      <c r="W68" s="52"/>
      <c r="X68" s="91" t="s">
        <v>150</v>
      </c>
      <c r="Y68" s="101">
        <f>1.01*3021.85</f>
        <v>3052.0684999999999</v>
      </c>
    </row>
    <row r="69" spans="1:32" s="100" customFormat="1" ht="28">
      <c r="A69" s="95" t="s">
        <v>62</v>
      </c>
      <c r="B69" s="96" t="s">
        <v>4</v>
      </c>
      <c r="C69" s="96" t="s">
        <v>23</v>
      </c>
      <c r="D69" s="96" t="s">
        <v>45</v>
      </c>
      <c r="E69" s="96" t="s">
        <v>46</v>
      </c>
      <c r="F69" s="96" t="s">
        <v>5</v>
      </c>
      <c r="G69" s="96" t="s">
        <v>6</v>
      </c>
      <c r="H69" s="97" t="s">
        <v>7</v>
      </c>
      <c r="I69" s="97" t="s">
        <v>47</v>
      </c>
      <c r="J69" s="97" t="s">
        <v>8</v>
      </c>
      <c r="K69" s="98" t="s">
        <v>13</v>
      </c>
      <c r="L69" s="98" t="s">
        <v>19</v>
      </c>
      <c r="M69" s="98" t="s">
        <v>22</v>
      </c>
      <c r="N69" s="98" t="s">
        <v>20</v>
      </c>
      <c r="O69" s="99" t="s">
        <v>9</v>
      </c>
      <c r="P69" s="99" t="s">
        <v>49</v>
      </c>
      <c r="Q69" s="48" t="s">
        <v>70</v>
      </c>
      <c r="R69" s="48" t="s">
        <v>53</v>
      </c>
      <c r="S69" s="48" t="s">
        <v>65</v>
      </c>
      <c r="T69" s="48" t="s">
        <v>12</v>
      </c>
      <c r="U69" s="48" t="s">
        <v>51</v>
      </c>
      <c r="V69" s="48" t="s">
        <v>48</v>
      </c>
      <c r="W69" s="48" t="s">
        <v>14</v>
      </c>
      <c r="X69" s="53" t="s">
        <v>11</v>
      </c>
      <c r="Y69" s="53" t="s">
        <v>21</v>
      </c>
    </row>
    <row r="70" spans="1:32" s="27" customFormat="1" ht="28">
      <c r="A70" s="103" t="s">
        <v>151</v>
      </c>
      <c r="B70" s="102" t="s">
        <v>152</v>
      </c>
      <c r="C70" s="105" t="s">
        <v>153</v>
      </c>
      <c r="D70" s="105" t="s">
        <v>154</v>
      </c>
      <c r="E70" s="102" t="s">
        <v>155</v>
      </c>
      <c r="F70" s="102" t="s">
        <v>67</v>
      </c>
      <c r="G70" s="104">
        <v>1</v>
      </c>
      <c r="H70" s="112">
        <v>10.37</v>
      </c>
      <c r="I70" s="112"/>
      <c r="J70" s="112">
        <v>0</v>
      </c>
      <c r="K70" s="113">
        <f>H70-I70-J70</f>
        <v>10.37</v>
      </c>
      <c r="L70" s="106">
        <v>3.9</v>
      </c>
      <c r="M70" s="106"/>
      <c r="N70" s="107">
        <v>43</v>
      </c>
      <c r="O70" s="115">
        <v>8.5</v>
      </c>
      <c r="P70" s="124"/>
      <c r="Q70" s="38"/>
      <c r="R70" s="38"/>
      <c r="S70" s="38"/>
      <c r="T70" s="38"/>
      <c r="U70" s="38"/>
      <c r="V70" s="38"/>
      <c r="W70" s="38"/>
      <c r="X70" s="38">
        <f t="shared" ref="X70:X77" si="77">K70*O70</f>
        <v>88.144999999999996</v>
      </c>
      <c r="Y70" s="116">
        <f>$Y$68/31.1035*K70*IF(LEFT(F70,3)="10K",0.417*1.07,IF(LEFT(F70,3)="14K",0.585*1.05,IF(LEFT(F70,3)="18K",0.75*1.05,0)))</f>
        <v>625.04161909162144</v>
      </c>
      <c r="Z70" s="27">
        <f>2*K70</f>
        <v>20.74</v>
      </c>
      <c r="AA70" s="109">
        <f>(SUM(Q70:W70)+AF70)-Z70</f>
        <v>67.405000000000001</v>
      </c>
      <c r="AB70" s="109">
        <f t="shared" ref="AB70:AB77" si="78">AD70*$AB$13+P70*$AB$14</f>
        <v>464.99339249999991</v>
      </c>
      <c r="AC70" s="109">
        <f t="shared" ref="AC70" si="79">SUM(AA70:AB70)</f>
        <v>532.39839249999989</v>
      </c>
      <c r="AD70" s="27">
        <f t="shared" ref="AD70:AD77" si="80">K70*IF(LEFT(F70,3)="10K",0.417*1.07,IF(LEFT(F70,3)="14K",0.585*1.05,IF(LEFT(F70,3)="18K",0.75*1.05,0)))</f>
        <v>6.3697724999999989</v>
      </c>
      <c r="AF70" s="27">
        <f>IF(AE70&gt;0,AE70*K70,X70)</f>
        <v>88.144999999999996</v>
      </c>
    </row>
    <row r="71" spans="1:32" s="27" customFormat="1" ht="28">
      <c r="A71" s="103">
        <v>1</v>
      </c>
      <c r="B71" s="102" t="s">
        <v>152</v>
      </c>
      <c r="C71" s="105" t="s">
        <v>153</v>
      </c>
      <c r="D71" s="105" t="s">
        <v>154</v>
      </c>
      <c r="E71" s="102" t="s">
        <v>155</v>
      </c>
      <c r="F71" s="120" t="s">
        <v>68</v>
      </c>
      <c r="G71" s="122">
        <v>1</v>
      </c>
      <c r="H71" s="112">
        <v>10.4</v>
      </c>
      <c r="I71" s="123"/>
      <c r="J71" s="112">
        <v>0</v>
      </c>
      <c r="K71" s="113">
        <f>H71-I71-J71</f>
        <v>10.4</v>
      </c>
      <c r="L71" s="106">
        <v>3.9</v>
      </c>
      <c r="M71" s="106"/>
      <c r="N71" s="107">
        <v>43</v>
      </c>
      <c r="O71" s="115">
        <v>8.5</v>
      </c>
      <c r="P71" s="124"/>
      <c r="Q71" s="38"/>
      <c r="R71" s="38"/>
      <c r="S71" s="38"/>
      <c r="T71" s="38"/>
      <c r="U71" s="38"/>
      <c r="V71" s="38"/>
      <c r="W71" s="38"/>
      <c r="X71" s="38">
        <f t="shared" si="77"/>
        <v>88.4</v>
      </c>
      <c r="Y71" s="116">
        <f t="shared" ref="Y71:Y77" si="81">$Y$68/31.1035*K71*IF(LEFT(F71,3)="10K",0.417*1.07,IF(LEFT(F71,3)="14K",0.585*1.05,IF(LEFT(F71,3)="18K",0.75*1.05,0)))</f>
        <v>626.84983978330411</v>
      </c>
      <c r="Z71" s="27">
        <f t="shared" ref="Z71:Z77" si="82">2*K71</f>
        <v>20.8</v>
      </c>
      <c r="AA71" s="109">
        <f t="shared" ref="AA71:AA77" si="83">(SUM(Q71:W71)+AF71)-Z71</f>
        <v>67.600000000000009</v>
      </c>
      <c r="AB71" s="109">
        <f t="shared" si="78"/>
        <v>466.33859999999999</v>
      </c>
      <c r="AC71" s="109">
        <f t="shared" ref="AC71:AC77" si="84">SUM(AA71:AB71)</f>
        <v>533.93859999999995</v>
      </c>
      <c r="AD71" s="27">
        <f t="shared" si="80"/>
        <v>6.3881999999999994</v>
      </c>
      <c r="AF71" s="27">
        <f>IF(AE71&gt;0,AE71*K71,X71)</f>
        <v>88.4</v>
      </c>
    </row>
    <row r="72" spans="1:32" s="27" customFormat="1" ht="28">
      <c r="A72" s="119">
        <v>2</v>
      </c>
      <c r="B72" s="120" t="s">
        <v>101</v>
      </c>
      <c r="C72" s="121" t="s">
        <v>102</v>
      </c>
      <c r="D72" s="121" t="s">
        <v>154</v>
      </c>
      <c r="E72" s="120" t="s">
        <v>155</v>
      </c>
      <c r="F72" s="120" t="s">
        <v>67</v>
      </c>
      <c r="G72" s="122">
        <v>2</v>
      </c>
      <c r="H72" s="112">
        <v>11.13</v>
      </c>
      <c r="I72" s="123"/>
      <c r="J72" s="123">
        <v>0</v>
      </c>
      <c r="K72" s="113">
        <f t="shared" ref="K72:K77" si="85">H72-I72-J72</f>
        <v>11.13</v>
      </c>
      <c r="L72" s="106">
        <v>1.75</v>
      </c>
      <c r="M72" s="106"/>
      <c r="N72" s="107">
        <v>84</v>
      </c>
      <c r="O72" s="115">
        <v>9.5</v>
      </c>
      <c r="P72" s="124"/>
      <c r="Q72" s="38"/>
      <c r="R72" s="38"/>
      <c r="S72" s="38"/>
      <c r="T72" s="38"/>
      <c r="U72" s="38"/>
      <c r="V72" s="38"/>
      <c r="W72" s="38"/>
      <c r="X72" s="38">
        <f t="shared" si="77"/>
        <v>105.73500000000001</v>
      </c>
      <c r="Y72" s="116">
        <f t="shared" si="81"/>
        <v>670.84987661424748</v>
      </c>
      <c r="Z72" s="27">
        <f t="shared" si="82"/>
        <v>22.26</v>
      </c>
      <c r="AA72" s="109">
        <f t="shared" si="83"/>
        <v>83.475000000000009</v>
      </c>
      <c r="AB72" s="109">
        <f t="shared" si="78"/>
        <v>499.07198249999999</v>
      </c>
      <c r="AC72" s="109">
        <f t="shared" si="84"/>
        <v>582.54698250000001</v>
      </c>
      <c r="AD72" s="27">
        <f t="shared" si="80"/>
        <v>6.8366024999999997</v>
      </c>
      <c r="AF72" s="27">
        <f t="shared" ref="AF72:AF77" si="86">IF(AE72&gt;0,AE72*K72,X72)</f>
        <v>105.73500000000001</v>
      </c>
    </row>
    <row r="73" spans="1:32" s="27" customFormat="1" ht="28">
      <c r="A73" s="119">
        <v>3</v>
      </c>
      <c r="B73" s="120" t="s">
        <v>156</v>
      </c>
      <c r="C73" s="121" t="s">
        <v>145</v>
      </c>
      <c r="D73" s="121" t="s">
        <v>154</v>
      </c>
      <c r="E73" s="120" t="s">
        <v>155</v>
      </c>
      <c r="F73" s="120" t="s">
        <v>67</v>
      </c>
      <c r="G73" s="122">
        <v>7</v>
      </c>
      <c r="H73" s="112">
        <v>39.610000000000007</v>
      </c>
      <c r="I73" s="123"/>
      <c r="J73" s="123">
        <v>2.2399999999999998</v>
      </c>
      <c r="K73" s="113">
        <f t="shared" si="85"/>
        <v>37.370000000000005</v>
      </c>
      <c r="L73" s="106">
        <v>1.8</v>
      </c>
      <c r="M73" s="106"/>
      <c r="N73" s="107">
        <v>37</v>
      </c>
      <c r="O73" s="115">
        <v>8.5</v>
      </c>
      <c r="P73" s="124"/>
      <c r="Q73" s="38"/>
      <c r="R73" s="38"/>
      <c r="S73" s="38"/>
      <c r="T73" s="38">
        <f>G73*2</f>
        <v>14</v>
      </c>
      <c r="U73" s="38"/>
      <c r="V73" s="38"/>
      <c r="W73" s="38"/>
      <c r="X73" s="38">
        <f t="shared" si="77"/>
        <v>317.64500000000004</v>
      </c>
      <c r="Y73" s="116">
        <f t="shared" si="81"/>
        <v>2252.4402416059688</v>
      </c>
      <c r="Z73" s="27">
        <f t="shared" si="82"/>
        <v>74.740000000000009</v>
      </c>
      <c r="AA73" s="109">
        <f t="shared" si="83"/>
        <v>256.90500000000003</v>
      </c>
      <c r="AB73" s="109">
        <f t="shared" si="78"/>
        <v>1675.6801425000003</v>
      </c>
      <c r="AC73" s="109">
        <f t="shared" si="84"/>
        <v>1932.5851425000003</v>
      </c>
      <c r="AD73" s="27">
        <f t="shared" si="80"/>
        <v>22.954522500000003</v>
      </c>
      <c r="AF73" s="27">
        <f t="shared" si="86"/>
        <v>317.64500000000004</v>
      </c>
    </row>
    <row r="74" spans="1:32" s="27" customFormat="1" ht="28">
      <c r="A74" s="119">
        <v>3</v>
      </c>
      <c r="B74" s="120" t="s">
        <v>156</v>
      </c>
      <c r="C74" s="121" t="s">
        <v>145</v>
      </c>
      <c r="D74" s="121" t="s">
        <v>154</v>
      </c>
      <c r="E74" s="120" t="s">
        <v>155</v>
      </c>
      <c r="F74" s="120" t="s">
        <v>68</v>
      </c>
      <c r="G74" s="122">
        <v>9</v>
      </c>
      <c r="H74" s="112">
        <v>49.94</v>
      </c>
      <c r="I74" s="123"/>
      <c r="J74" s="123">
        <v>2.88</v>
      </c>
      <c r="K74" s="113">
        <f t="shared" si="85"/>
        <v>47.059999999999995</v>
      </c>
      <c r="L74" s="106">
        <v>1.8</v>
      </c>
      <c r="M74" s="106"/>
      <c r="N74" s="107">
        <v>37</v>
      </c>
      <c r="O74" s="115">
        <v>8.5</v>
      </c>
      <c r="P74" s="124"/>
      <c r="Q74" s="38"/>
      <c r="R74" s="38"/>
      <c r="S74" s="38"/>
      <c r="T74" s="38">
        <f t="shared" ref="T74:T75" si="87">G74*2</f>
        <v>18</v>
      </c>
      <c r="U74" s="38"/>
      <c r="V74" s="38"/>
      <c r="W74" s="38"/>
      <c r="X74" s="38">
        <f t="shared" si="77"/>
        <v>400.00999999999993</v>
      </c>
      <c r="Y74" s="116">
        <f t="shared" si="81"/>
        <v>2836.4955250194507</v>
      </c>
      <c r="Z74" s="27">
        <f t="shared" si="82"/>
        <v>94.11999999999999</v>
      </c>
      <c r="AA74" s="109">
        <f t="shared" si="83"/>
        <v>323.88999999999993</v>
      </c>
      <c r="AB74" s="109">
        <f t="shared" si="78"/>
        <v>2110.1821649999997</v>
      </c>
      <c r="AC74" s="109">
        <f t="shared" si="84"/>
        <v>2434.0721649999996</v>
      </c>
      <c r="AD74" s="27">
        <f t="shared" si="80"/>
        <v>28.906604999999995</v>
      </c>
      <c r="AF74" s="27">
        <f t="shared" si="86"/>
        <v>400.00999999999993</v>
      </c>
    </row>
    <row r="75" spans="1:32" s="27" customFormat="1" ht="28">
      <c r="A75" s="119">
        <v>3</v>
      </c>
      <c r="B75" s="120" t="s">
        <v>156</v>
      </c>
      <c r="C75" s="121" t="s">
        <v>145</v>
      </c>
      <c r="D75" s="121" t="s">
        <v>154</v>
      </c>
      <c r="E75" s="120" t="s">
        <v>155</v>
      </c>
      <c r="F75" s="102" t="s">
        <v>127</v>
      </c>
      <c r="G75" s="104">
        <v>4</v>
      </c>
      <c r="H75" s="112">
        <v>22.68</v>
      </c>
      <c r="I75" s="112"/>
      <c r="J75" s="112">
        <v>1.28</v>
      </c>
      <c r="K75" s="113">
        <f t="shared" si="85"/>
        <v>21.4</v>
      </c>
      <c r="L75" s="106">
        <v>1.8</v>
      </c>
      <c r="M75" s="106"/>
      <c r="N75" s="107">
        <v>37</v>
      </c>
      <c r="O75" s="115">
        <v>8.5</v>
      </c>
      <c r="P75" s="124"/>
      <c r="Q75" s="38"/>
      <c r="R75" s="38"/>
      <c r="S75" s="38"/>
      <c r="T75" s="38">
        <f t="shared" si="87"/>
        <v>8</v>
      </c>
      <c r="U75" s="38"/>
      <c r="V75" s="38"/>
      <c r="W75" s="38"/>
      <c r="X75" s="38">
        <f t="shared" si="77"/>
        <v>181.89999999999998</v>
      </c>
      <c r="Y75" s="116">
        <f t="shared" si="81"/>
        <v>1289.8640934002601</v>
      </c>
      <c r="Z75" s="27">
        <f t="shared" si="82"/>
        <v>42.8</v>
      </c>
      <c r="AA75" s="109">
        <f t="shared" si="83"/>
        <v>147.09999999999997</v>
      </c>
      <c r="AB75" s="109">
        <f t="shared" si="78"/>
        <v>959.58134999999982</v>
      </c>
      <c r="AC75" s="109">
        <f t="shared" si="84"/>
        <v>1106.6813499999998</v>
      </c>
      <c r="AD75" s="27">
        <f t="shared" si="80"/>
        <v>13.144949999999998</v>
      </c>
      <c r="AF75" s="27">
        <f t="shared" si="86"/>
        <v>181.89999999999998</v>
      </c>
    </row>
    <row r="76" spans="1:32" s="27" customFormat="1" ht="28">
      <c r="A76" s="119">
        <v>4</v>
      </c>
      <c r="B76" s="120" t="s">
        <v>157</v>
      </c>
      <c r="C76" s="121" t="s">
        <v>158</v>
      </c>
      <c r="D76" s="121" t="s">
        <v>154</v>
      </c>
      <c r="E76" s="120" t="s">
        <v>155</v>
      </c>
      <c r="F76" s="120" t="s">
        <v>67</v>
      </c>
      <c r="G76" s="122">
        <v>1</v>
      </c>
      <c r="H76" s="112">
        <v>6.67</v>
      </c>
      <c r="I76" s="123"/>
      <c r="J76" s="123">
        <v>0.32</v>
      </c>
      <c r="K76" s="113">
        <f t="shared" si="85"/>
        <v>6.35</v>
      </c>
      <c r="L76" s="106">
        <v>2.25</v>
      </c>
      <c r="M76" s="106"/>
      <c r="N76" s="107">
        <v>32</v>
      </c>
      <c r="O76" s="115">
        <v>8.5</v>
      </c>
      <c r="P76" s="124"/>
      <c r="Q76" s="38"/>
      <c r="R76" s="38"/>
      <c r="S76" s="38"/>
      <c r="T76" s="38">
        <f>G76*2</f>
        <v>2</v>
      </c>
      <c r="U76" s="38"/>
      <c r="V76" s="38"/>
      <c r="W76" s="38"/>
      <c r="X76" s="38">
        <f t="shared" si="77"/>
        <v>53.974999999999994</v>
      </c>
      <c r="Y76" s="116">
        <f t="shared" si="81"/>
        <v>382.74004640615198</v>
      </c>
      <c r="Z76" s="27">
        <f t="shared" si="82"/>
        <v>12.7</v>
      </c>
      <c r="AA76" s="109">
        <f t="shared" si="83"/>
        <v>43.274999999999991</v>
      </c>
      <c r="AB76" s="109">
        <f t="shared" si="78"/>
        <v>284.73558749999995</v>
      </c>
      <c r="AC76" s="109">
        <f t="shared" si="84"/>
        <v>328.01058749999993</v>
      </c>
      <c r="AD76" s="27">
        <f t="shared" si="80"/>
        <v>3.9004874999999997</v>
      </c>
      <c r="AF76" s="27">
        <f t="shared" si="86"/>
        <v>53.974999999999994</v>
      </c>
    </row>
    <row r="77" spans="1:32" s="27" customFormat="1" ht="28.5" thickBot="1">
      <c r="A77" s="119">
        <v>4</v>
      </c>
      <c r="B77" s="120" t="s">
        <v>157</v>
      </c>
      <c r="C77" s="121" t="s">
        <v>158</v>
      </c>
      <c r="D77" s="121" t="s">
        <v>154</v>
      </c>
      <c r="E77" s="120" t="s">
        <v>155</v>
      </c>
      <c r="F77" s="120" t="s">
        <v>68</v>
      </c>
      <c r="G77" s="122">
        <v>1</v>
      </c>
      <c r="H77" s="112">
        <v>6.35</v>
      </c>
      <c r="I77" s="123"/>
      <c r="J77" s="123">
        <v>0.32</v>
      </c>
      <c r="K77" s="113">
        <f t="shared" si="85"/>
        <v>6.0299999999999994</v>
      </c>
      <c r="L77" s="106">
        <v>2.25</v>
      </c>
      <c r="M77" s="106"/>
      <c r="N77" s="107">
        <v>32</v>
      </c>
      <c r="O77" s="115">
        <v>8.5</v>
      </c>
      <c r="P77" s="124"/>
      <c r="Q77" s="38"/>
      <c r="R77" s="38"/>
      <c r="S77" s="38"/>
      <c r="T77" s="38">
        <f>G77*2</f>
        <v>2</v>
      </c>
      <c r="U77" s="38"/>
      <c r="V77" s="38"/>
      <c r="W77" s="38"/>
      <c r="X77" s="38">
        <f t="shared" si="77"/>
        <v>51.254999999999995</v>
      </c>
      <c r="Y77" s="116">
        <f t="shared" si="81"/>
        <v>363.45235902820417</v>
      </c>
      <c r="Z77" s="27">
        <f t="shared" si="82"/>
        <v>12.059999999999999</v>
      </c>
      <c r="AA77" s="109">
        <f t="shared" si="83"/>
        <v>41.194999999999993</v>
      </c>
      <c r="AB77" s="109">
        <f t="shared" si="78"/>
        <v>270.38670749999994</v>
      </c>
      <c r="AC77" s="109">
        <f t="shared" si="84"/>
        <v>311.58170749999994</v>
      </c>
      <c r="AD77" s="27">
        <f t="shared" si="80"/>
        <v>3.7039274999999994</v>
      </c>
      <c r="AF77" s="27">
        <f t="shared" si="86"/>
        <v>51.254999999999995</v>
      </c>
    </row>
    <row r="78" spans="1:32" s="28" customFormat="1" ht="16" customHeight="1">
      <c r="A78" s="94" t="s">
        <v>61</v>
      </c>
      <c r="B78" s="72"/>
      <c r="C78" s="72"/>
      <c r="D78" s="72"/>
      <c r="E78" s="72"/>
      <c r="F78" s="72"/>
      <c r="G78" s="73">
        <f>SUM(G70:G77)</f>
        <v>26</v>
      </c>
      <c r="H78" s="114"/>
      <c r="I78" s="114"/>
      <c r="J78" s="114"/>
      <c r="K78" s="114">
        <f>SUM(K70:K77)</f>
        <v>150.11000000000001</v>
      </c>
      <c r="L78" s="74"/>
      <c r="M78" s="74"/>
      <c r="N78" s="74"/>
      <c r="O78" s="75"/>
      <c r="P78" s="125">
        <f t="shared" ref="P78:Y78" si="88">SUM(P70:P77)</f>
        <v>0</v>
      </c>
      <c r="Q78" s="76">
        <f t="shared" si="88"/>
        <v>0</v>
      </c>
      <c r="R78" s="76">
        <f t="shared" si="88"/>
        <v>0</v>
      </c>
      <c r="S78" s="76">
        <f t="shared" si="88"/>
        <v>0</v>
      </c>
      <c r="T78" s="76">
        <f t="shared" si="88"/>
        <v>44</v>
      </c>
      <c r="U78" s="76">
        <f t="shared" si="88"/>
        <v>0</v>
      </c>
      <c r="V78" s="76">
        <f t="shared" si="88"/>
        <v>0</v>
      </c>
      <c r="W78" s="76">
        <f t="shared" si="88"/>
        <v>0</v>
      </c>
      <c r="X78" s="76">
        <f t="shared" si="88"/>
        <v>1287.0650000000001</v>
      </c>
      <c r="Y78" s="117">
        <f t="shared" si="88"/>
        <v>9047.7336009492083</v>
      </c>
      <c r="AA78" s="110"/>
      <c r="AB78" s="110"/>
      <c r="AC78" s="110"/>
      <c r="AD78" s="110"/>
    </row>
    <row r="79" spans="1:32" ht="16" customHeight="1">
      <c r="A79" s="56" t="s">
        <v>74</v>
      </c>
      <c r="K79" s="51"/>
      <c r="L79" s="51"/>
      <c r="M79" s="51"/>
      <c r="N79" s="51"/>
      <c r="W79" s="52"/>
      <c r="X79" s="91" t="s">
        <v>150</v>
      </c>
      <c r="Y79" s="101">
        <f>1.01*3021.85</f>
        <v>3052.0684999999999</v>
      </c>
    </row>
    <row r="80" spans="1:32" s="100" customFormat="1" ht="28">
      <c r="A80" s="95" t="s">
        <v>62</v>
      </c>
      <c r="B80" s="96" t="s">
        <v>4</v>
      </c>
      <c r="C80" s="96" t="s">
        <v>23</v>
      </c>
      <c r="D80" s="96" t="s">
        <v>45</v>
      </c>
      <c r="E80" s="96" t="s">
        <v>46</v>
      </c>
      <c r="F80" s="96" t="s">
        <v>5</v>
      </c>
      <c r="G80" s="96" t="s">
        <v>6</v>
      </c>
      <c r="H80" s="97" t="s">
        <v>7</v>
      </c>
      <c r="I80" s="97" t="s">
        <v>47</v>
      </c>
      <c r="J80" s="97" t="s">
        <v>8</v>
      </c>
      <c r="K80" s="98" t="s">
        <v>13</v>
      </c>
      <c r="L80" s="98" t="s">
        <v>19</v>
      </c>
      <c r="M80" s="98" t="s">
        <v>22</v>
      </c>
      <c r="N80" s="98" t="s">
        <v>20</v>
      </c>
      <c r="O80" s="99" t="s">
        <v>9</v>
      </c>
      <c r="P80" s="99" t="s">
        <v>49</v>
      </c>
      <c r="Q80" s="48" t="s">
        <v>70</v>
      </c>
      <c r="R80" s="48" t="s">
        <v>53</v>
      </c>
      <c r="S80" s="48" t="s">
        <v>65</v>
      </c>
      <c r="T80" s="48" t="s">
        <v>12</v>
      </c>
      <c r="U80" s="48" t="s">
        <v>51</v>
      </c>
      <c r="V80" s="48" t="s">
        <v>48</v>
      </c>
      <c r="W80" s="48" t="s">
        <v>14</v>
      </c>
      <c r="X80" s="53" t="s">
        <v>11</v>
      </c>
      <c r="Y80" s="53" t="s">
        <v>21</v>
      </c>
    </row>
    <row r="81" spans="1:32" s="27" customFormat="1" ht="28">
      <c r="A81" s="103" t="s">
        <v>159</v>
      </c>
      <c r="B81" s="102" t="s">
        <v>121</v>
      </c>
      <c r="C81" s="105" t="s">
        <v>122</v>
      </c>
      <c r="D81" s="105" t="s">
        <v>160</v>
      </c>
      <c r="E81" s="102" t="s">
        <v>155</v>
      </c>
      <c r="F81" s="102" t="s">
        <v>71</v>
      </c>
      <c r="G81" s="104">
        <v>1</v>
      </c>
      <c r="H81" s="112">
        <v>7.34</v>
      </c>
      <c r="I81" s="112">
        <v>0</v>
      </c>
      <c r="J81" s="112">
        <v>0</v>
      </c>
      <c r="K81" s="113">
        <f>H81-I81-J81</f>
        <v>7.34</v>
      </c>
      <c r="L81" s="106">
        <v>3.15</v>
      </c>
      <c r="M81" s="106"/>
      <c r="N81" s="107">
        <v>53</v>
      </c>
      <c r="O81" s="115">
        <v>8.5</v>
      </c>
      <c r="P81" s="124"/>
      <c r="Q81" s="38"/>
      <c r="R81" s="38"/>
      <c r="S81" s="38"/>
      <c r="T81" s="38"/>
      <c r="U81" s="38"/>
      <c r="V81" s="38"/>
      <c r="W81" s="38"/>
      <c r="X81" s="38">
        <f t="shared" ref="X81:X92" si="89">K81*O81</f>
        <v>62.39</v>
      </c>
      <c r="Y81" s="116">
        <f>$Y$79/31.1035*K81*IF(LEFT(F81,3)="10K",0.417*1.07,IF(LEFT(F81,3)="14K",0.585*1.05,IF(LEFT(F81,3)="18K",0.75*1.05,0)))</f>
        <v>567.19401183548473</v>
      </c>
      <c r="Z81" s="27">
        <f>2*K81</f>
        <v>14.68</v>
      </c>
      <c r="AA81" s="109">
        <f>(SUM(Q81:W81)+AF81)-Z81</f>
        <v>47.71</v>
      </c>
      <c r="AB81" s="109">
        <f t="shared" ref="AB81:AB92" si="90">AD81*$AB$13+P81*$AB$14</f>
        <v>421.95825000000002</v>
      </c>
      <c r="AC81" s="109">
        <f t="shared" ref="AC81" si="91">SUM(AA81:AB81)</f>
        <v>469.66825</v>
      </c>
      <c r="AD81" s="27">
        <f t="shared" ref="AD81:AD92" si="92">K81*IF(LEFT(F81,3)="10K",0.417*1.07,IF(LEFT(F81,3)="14K",0.585*1.05,IF(LEFT(F81,3)="18K",0.75*1.05,0)))</f>
        <v>5.7802500000000006</v>
      </c>
      <c r="AF81" s="27">
        <f>IF(AE81&gt;0,AE81*K81,X81)</f>
        <v>62.39</v>
      </c>
    </row>
    <row r="82" spans="1:32" s="27" customFormat="1" ht="28">
      <c r="A82" s="119">
        <v>2</v>
      </c>
      <c r="B82" s="120" t="s">
        <v>144</v>
      </c>
      <c r="C82" s="121" t="s">
        <v>145</v>
      </c>
      <c r="D82" s="121" t="s">
        <v>160</v>
      </c>
      <c r="E82" s="102" t="s">
        <v>155</v>
      </c>
      <c r="F82" s="120" t="s">
        <v>71</v>
      </c>
      <c r="G82" s="122">
        <v>12</v>
      </c>
      <c r="H82" s="112">
        <v>67.540000000000006</v>
      </c>
      <c r="I82" s="123">
        <v>0</v>
      </c>
      <c r="J82" s="123">
        <v>3.6</v>
      </c>
      <c r="K82" s="113">
        <f t="shared" ref="K82:K92" si="93">H82-I82-J82</f>
        <v>63.940000000000005</v>
      </c>
      <c r="L82" s="106">
        <v>1.8</v>
      </c>
      <c r="M82" s="106"/>
      <c r="N82" s="107">
        <v>37</v>
      </c>
      <c r="O82" s="115">
        <v>8.5</v>
      </c>
      <c r="P82" s="124"/>
      <c r="Q82" s="38"/>
      <c r="R82" s="38"/>
      <c r="S82" s="38"/>
      <c r="T82" s="38">
        <f>G82*2</f>
        <v>24</v>
      </c>
      <c r="U82" s="38"/>
      <c r="V82" s="38"/>
      <c r="W82" s="38"/>
      <c r="X82" s="38">
        <f t="shared" si="89"/>
        <v>543.49</v>
      </c>
      <c r="Y82" s="116">
        <f t="shared" ref="Y82:Y92" si="94">$Y$79/31.1035*K82*IF(LEFT(F82,3)="10K",0.417*1.07,IF(LEFT(F82,3)="14K",0.585*1.05,IF(LEFT(F82,3)="18K",0.75*1.05,0)))</f>
        <v>4940.9244028284602</v>
      </c>
      <c r="Z82" s="27">
        <f t="shared" ref="Z82:Z92" si="95">2*K82</f>
        <v>127.88000000000001</v>
      </c>
      <c r="AA82" s="109">
        <f t="shared" ref="AA82:AA92" si="96">(SUM(Q82:W82)+AF82)-Z82</f>
        <v>439.61</v>
      </c>
      <c r="AB82" s="109">
        <f t="shared" si="90"/>
        <v>3675.7507500000006</v>
      </c>
      <c r="AC82" s="109">
        <f t="shared" ref="AC82:AC92" si="97">SUM(AA82:AB82)</f>
        <v>4115.3607500000007</v>
      </c>
      <c r="AD82" s="27">
        <f t="shared" si="92"/>
        <v>50.352750000000007</v>
      </c>
      <c r="AF82" s="27">
        <f>IF(AE82&gt;0,AE82*K82,X82)</f>
        <v>543.49</v>
      </c>
    </row>
    <row r="83" spans="1:32" s="27" customFormat="1" ht="28">
      <c r="A83" s="119">
        <v>2</v>
      </c>
      <c r="B83" s="120" t="s">
        <v>144</v>
      </c>
      <c r="C83" s="121" t="s">
        <v>145</v>
      </c>
      <c r="D83" s="121" t="s">
        <v>160</v>
      </c>
      <c r="E83" s="102" t="s">
        <v>155</v>
      </c>
      <c r="F83" s="120" t="s">
        <v>72</v>
      </c>
      <c r="G83" s="122">
        <v>11</v>
      </c>
      <c r="H83" s="112">
        <v>69.66</v>
      </c>
      <c r="I83" s="123">
        <v>0</v>
      </c>
      <c r="J83" s="123">
        <v>3.3000000000000003</v>
      </c>
      <c r="K83" s="113">
        <f t="shared" si="93"/>
        <v>66.36</v>
      </c>
      <c r="L83" s="106">
        <v>1.8</v>
      </c>
      <c r="M83" s="106"/>
      <c r="N83" s="107">
        <v>37</v>
      </c>
      <c r="O83" s="115">
        <v>8.5</v>
      </c>
      <c r="P83" s="124"/>
      <c r="Q83" s="38"/>
      <c r="R83" s="38"/>
      <c r="S83" s="38"/>
      <c r="T83" s="38">
        <f t="shared" ref="T83:T84" si="98">G83*2</f>
        <v>22</v>
      </c>
      <c r="U83" s="38"/>
      <c r="V83" s="38"/>
      <c r="W83" s="38"/>
      <c r="X83" s="38">
        <f t="shared" si="89"/>
        <v>564.05999999999995</v>
      </c>
      <c r="Y83" s="116">
        <f t="shared" si="94"/>
        <v>5127.9284230793965</v>
      </c>
      <c r="Z83" s="27">
        <f t="shared" si="95"/>
        <v>132.72</v>
      </c>
      <c r="AA83" s="109">
        <f t="shared" si="96"/>
        <v>453.33999999999992</v>
      </c>
      <c r="AB83" s="109">
        <f t="shared" si="90"/>
        <v>3814.8705000000004</v>
      </c>
      <c r="AC83" s="109">
        <f t="shared" si="97"/>
        <v>4268.2105000000001</v>
      </c>
      <c r="AD83" s="27">
        <f t="shared" si="92"/>
        <v>52.258500000000005</v>
      </c>
      <c r="AF83" s="27">
        <f t="shared" ref="AF83:AF92" si="99">IF(AE83&gt;0,AE83*K83,X83)</f>
        <v>564.05999999999995</v>
      </c>
    </row>
    <row r="84" spans="1:32" s="27" customFormat="1" ht="28">
      <c r="A84" s="119">
        <v>2</v>
      </c>
      <c r="B84" s="120" t="s">
        <v>144</v>
      </c>
      <c r="C84" s="121" t="s">
        <v>145</v>
      </c>
      <c r="D84" s="121" t="s">
        <v>160</v>
      </c>
      <c r="E84" s="102" t="s">
        <v>155</v>
      </c>
      <c r="F84" s="120" t="s">
        <v>161</v>
      </c>
      <c r="G84" s="122">
        <v>2</v>
      </c>
      <c r="H84" s="112">
        <v>11.24</v>
      </c>
      <c r="I84" s="123">
        <v>0</v>
      </c>
      <c r="J84" s="123">
        <v>0.6</v>
      </c>
      <c r="K84" s="113">
        <f t="shared" si="93"/>
        <v>10.64</v>
      </c>
      <c r="L84" s="106">
        <v>1.8</v>
      </c>
      <c r="M84" s="106"/>
      <c r="N84" s="107">
        <v>37</v>
      </c>
      <c r="O84" s="115">
        <v>8.5</v>
      </c>
      <c r="P84" s="124"/>
      <c r="Q84" s="38"/>
      <c r="R84" s="38"/>
      <c r="S84" s="38"/>
      <c r="T84" s="38">
        <f t="shared" si="98"/>
        <v>4</v>
      </c>
      <c r="U84" s="38"/>
      <c r="V84" s="38"/>
      <c r="W84" s="38"/>
      <c r="X84" s="38">
        <f t="shared" si="89"/>
        <v>90.44</v>
      </c>
      <c r="Y84" s="116">
        <f t="shared" si="94"/>
        <v>822.19949399585255</v>
      </c>
      <c r="Z84" s="27">
        <f t="shared" si="95"/>
        <v>21.28</v>
      </c>
      <c r="AA84" s="109">
        <f t="shared" si="96"/>
        <v>73.16</v>
      </c>
      <c r="AB84" s="109">
        <f t="shared" si="90"/>
        <v>611.66700000000014</v>
      </c>
      <c r="AC84" s="109">
        <f t="shared" si="97"/>
        <v>684.82700000000011</v>
      </c>
      <c r="AD84" s="27">
        <f t="shared" si="92"/>
        <v>8.3790000000000013</v>
      </c>
      <c r="AF84" s="27">
        <f t="shared" si="99"/>
        <v>90.44</v>
      </c>
    </row>
    <row r="85" spans="1:32" s="27" customFormat="1" ht="28">
      <c r="A85" s="119">
        <v>3</v>
      </c>
      <c r="B85" s="120" t="s">
        <v>162</v>
      </c>
      <c r="C85" s="121" t="s">
        <v>163</v>
      </c>
      <c r="D85" s="121" t="s">
        <v>160</v>
      </c>
      <c r="E85" s="120" t="s">
        <v>155</v>
      </c>
      <c r="F85" s="120" t="s">
        <v>71</v>
      </c>
      <c r="G85" s="122">
        <v>2</v>
      </c>
      <c r="H85" s="112">
        <v>14.95</v>
      </c>
      <c r="I85" s="123">
        <v>0</v>
      </c>
      <c r="J85" s="123">
        <v>0.6</v>
      </c>
      <c r="K85" s="113">
        <f t="shared" si="93"/>
        <v>14.35</v>
      </c>
      <c r="L85" s="106">
        <v>2.5499999999999998</v>
      </c>
      <c r="M85" s="106"/>
      <c r="N85" s="107">
        <v>29</v>
      </c>
      <c r="O85" s="115">
        <v>8.5</v>
      </c>
      <c r="P85" s="124"/>
      <c r="Q85" s="38"/>
      <c r="R85" s="38"/>
      <c r="S85" s="38"/>
      <c r="T85" s="38">
        <f>G85*2</f>
        <v>4</v>
      </c>
      <c r="U85" s="38"/>
      <c r="V85" s="38"/>
      <c r="W85" s="38"/>
      <c r="X85" s="38">
        <f t="shared" si="89"/>
        <v>121.97499999999999</v>
      </c>
      <c r="Y85" s="116">
        <f t="shared" si="94"/>
        <v>1108.8874754549327</v>
      </c>
      <c r="Z85" s="27">
        <f t="shared" si="95"/>
        <v>28.7</v>
      </c>
      <c r="AA85" s="109">
        <f t="shared" si="96"/>
        <v>97.274999999999991</v>
      </c>
      <c r="AB85" s="109">
        <f t="shared" si="90"/>
        <v>824.94562500000006</v>
      </c>
      <c r="AC85" s="109">
        <f t="shared" si="97"/>
        <v>922.22062500000004</v>
      </c>
      <c r="AD85" s="27">
        <f t="shared" si="92"/>
        <v>11.300625</v>
      </c>
      <c r="AF85" s="27">
        <f t="shared" si="99"/>
        <v>121.97499999999999</v>
      </c>
    </row>
    <row r="86" spans="1:32" s="27" customFormat="1" ht="28">
      <c r="A86" s="119">
        <v>3</v>
      </c>
      <c r="B86" s="120" t="s">
        <v>162</v>
      </c>
      <c r="C86" s="121" t="s">
        <v>163</v>
      </c>
      <c r="D86" s="121" t="s">
        <v>160</v>
      </c>
      <c r="E86" s="120" t="s">
        <v>155</v>
      </c>
      <c r="F86" s="102" t="s">
        <v>72</v>
      </c>
      <c r="G86" s="104">
        <v>4</v>
      </c>
      <c r="H86" s="112">
        <v>31.060000000000002</v>
      </c>
      <c r="I86" s="112">
        <v>0</v>
      </c>
      <c r="J86" s="112">
        <v>1.2</v>
      </c>
      <c r="K86" s="113">
        <f t="shared" si="93"/>
        <v>29.860000000000003</v>
      </c>
      <c r="L86" s="106">
        <v>2.5499999999999998</v>
      </c>
      <c r="M86" s="106"/>
      <c r="N86" s="107">
        <v>29</v>
      </c>
      <c r="O86" s="115">
        <v>8.5</v>
      </c>
      <c r="P86" s="124"/>
      <c r="Q86" s="38"/>
      <c r="R86" s="38"/>
      <c r="S86" s="38"/>
      <c r="T86" s="38">
        <f>G86*2</f>
        <v>8</v>
      </c>
      <c r="U86" s="38"/>
      <c r="V86" s="38"/>
      <c r="W86" s="38"/>
      <c r="X86" s="38">
        <f t="shared" si="89"/>
        <v>253.81000000000003</v>
      </c>
      <c r="Y86" s="116">
        <f t="shared" si="94"/>
        <v>2307.4132416086618</v>
      </c>
      <c r="Z86" s="27">
        <f t="shared" si="95"/>
        <v>59.720000000000006</v>
      </c>
      <c r="AA86" s="109">
        <f t="shared" si="96"/>
        <v>202.09000000000006</v>
      </c>
      <c r="AB86" s="109">
        <f t="shared" si="90"/>
        <v>1716.5767500000004</v>
      </c>
      <c r="AC86" s="109">
        <f t="shared" si="97"/>
        <v>1918.6667500000005</v>
      </c>
      <c r="AD86" s="27">
        <f t="shared" si="92"/>
        <v>23.514750000000006</v>
      </c>
      <c r="AF86" s="27">
        <f t="shared" si="99"/>
        <v>253.81000000000003</v>
      </c>
    </row>
    <row r="87" spans="1:32" s="27" customFormat="1" ht="28">
      <c r="A87" s="119">
        <v>4</v>
      </c>
      <c r="B87" s="120" t="s">
        <v>164</v>
      </c>
      <c r="C87" s="121" t="s">
        <v>126</v>
      </c>
      <c r="D87" s="121" t="s">
        <v>160</v>
      </c>
      <c r="E87" s="120" t="s">
        <v>155</v>
      </c>
      <c r="F87" s="120" t="s">
        <v>71</v>
      </c>
      <c r="G87" s="122">
        <v>3</v>
      </c>
      <c r="H87" s="112">
        <v>48.75</v>
      </c>
      <c r="I87" s="123">
        <v>0</v>
      </c>
      <c r="J87" s="123">
        <v>1.26</v>
      </c>
      <c r="K87" s="113">
        <f t="shared" si="93"/>
        <v>47.49</v>
      </c>
      <c r="L87" s="106">
        <v>4</v>
      </c>
      <c r="M87" s="106"/>
      <c r="N87" s="107">
        <v>20</v>
      </c>
      <c r="O87" s="115">
        <v>8.5</v>
      </c>
      <c r="P87" s="124"/>
      <c r="Q87" s="38"/>
      <c r="R87" s="38"/>
      <c r="S87" s="38"/>
      <c r="T87" s="38">
        <f>G87*2</f>
        <v>6</v>
      </c>
      <c r="U87" s="38"/>
      <c r="V87" s="38"/>
      <c r="W87" s="38"/>
      <c r="X87" s="38">
        <f t="shared" si="89"/>
        <v>403.66500000000002</v>
      </c>
      <c r="Y87" s="116">
        <f t="shared" si="94"/>
        <v>3669.7607114532934</v>
      </c>
      <c r="Z87" s="27">
        <f t="shared" si="95"/>
        <v>94.98</v>
      </c>
      <c r="AA87" s="109">
        <f t="shared" si="96"/>
        <v>314.685</v>
      </c>
      <c r="AB87" s="109">
        <f t="shared" si="90"/>
        <v>2730.0813750000007</v>
      </c>
      <c r="AC87" s="109">
        <f t="shared" si="97"/>
        <v>3044.7663750000006</v>
      </c>
      <c r="AD87" s="27">
        <f t="shared" si="92"/>
        <v>37.398375000000009</v>
      </c>
      <c r="AF87" s="27">
        <f t="shared" si="99"/>
        <v>403.66500000000002</v>
      </c>
    </row>
    <row r="88" spans="1:32" s="27" customFormat="1" ht="28">
      <c r="A88" s="119">
        <v>4</v>
      </c>
      <c r="B88" s="120" t="s">
        <v>164</v>
      </c>
      <c r="C88" s="121" t="s">
        <v>126</v>
      </c>
      <c r="D88" s="121" t="s">
        <v>160</v>
      </c>
      <c r="E88" s="120" t="s">
        <v>155</v>
      </c>
      <c r="F88" s="120" t="s">
        <v>72</v>
      </c>
      <c r="G88" s="122">
        <v>3</v>
      </c>
      <c r="H88" s="112">
        <v>51.07</v>
      </c>
      <c r="I88" s="123">
        <v>0</v>
      </c>
      <c r="J88" s="123">
        <v>1.26</v>
      </c>
      <c r="K88" s="113">
        <f t="shared" si="93"/>
        <v>49.81</v>
      </c>
      <c r="L88" s="106">
        <v>4</v>
      </c>
      <c r="M88" s="106"/>
      <c r="N88" s="107">
        <v>20</v>
      </c>
      <c r="O88" s="115">
        <v>8.5</v>
      </c>
      <c r="P88" s="124"/>
      <c r="Q88" s="38"/>
      <c r="R88" s="38"/>
      <c r="S88" s="38"/>
      <c r="T88" s="38">
        <f t="shared" ref="T88:T89" si="100">G88*2</f>
        <v>6</v>
      </c>
      <c r="U88" s="38"/>
      <c r="V88" s="38"/>
      <c r="W88" s="38"/>
      <c r="X88" s="38">
        <f t="shared" si="89"/>
        <v>423.38499999999999</v>
      </c>
      <c r="Y88" s="116">
        <f t="shared" si="94"/>
        <v>3849.037292850885</v>
      </c>
      <c r="Z88" s="27">
        <f t="shared" si="95"/>
        <v>99.62</v>
      </c>
      <c r="AA88" s="109">
        <f t="shared" si="96"/>
        <v>329.76499999999999</v>
      </c>
      <c r="AB88" s="109">
        <f t="shared" si="90"/>
        <v>2863.4523750000003</v>
      </c>
      <c r="AC88" s="109">
        <f t="shared" si="97"/>
        <v>3193.2173750000002</v>
      </c>
      <c r="AD88" s="27">
        <f t="shared" si="92"/>
        <v>39.225375000000007</v>
      </c>
      <c r="AF88" s="27">
        <f t="shared" si="99"/>
        <v>423.38499999999999</v>
      </c>
    </row>
    <row r="89" spans="1:32" s="27" customFormat="1" ht="28">
      <c r="A89" s="119">
        <v>4</v>
      </c>
      <c r="B89" s="120" t="s">
        <v>164</v>
      </c>
      <c r="C89" s="121" t="s">
        <v>126</v>
      </c>
      <c r="D89" s="121" t="s">
        <v>160</v>
      </c>
      <c r="E89" s="120" t="s">
        <v>155</v>
      </c>
      <c r="F89" s="120" t="s">
        <v>161</v>
      </c>
      <c r="G89" s="122">
        <v>1</v>
      </c>
      <c r="H89" s="112">
        <v>16.16</v>
      </c>
      <c r="I89" s="123">
        <v>0</v>
      </c>
      <c r="J89" s="123">
        <v>0.42</v>
      </c>
      <c r="K89" s="113">
        <f t="shared" si="93"/>
        <v>15.74</v>
      </c>
      <c r="L89" s="106">
        <v>4</v>
      </c>
      <c r="M89" s="106"/>
      <c r="N89" s="107">
        <v>20</v>
      </c>
      <c r="O89" s="115">
        <v>8.5</v>
      </c>
      <c r="P89" s="124"/>
      <c r="Q89" s="38"/>
      <c r="R89" s="38"/>
      <c r="S89" s="38"/>
      <c r="T89" s="38">
        <f t="shared" si="100"/>
        <v>2</v>
      </c>
      <c r="U89" s="38"/>
      <c r="V89" s="38"/>
      <c r="W89" s="38"/>
      <c r="X89" s="38">
        <f t="shared" si="89"/>
        <v>133.79</v>
      </c>
      <c r="Y89" s="116">
        <f t="shared" si="94"/>
        <v>1216.298875516421</v>
      </c>
      <c r="Z89" s="27">
        <f t="shared" si="95"/>
        <v>31.48</v>
      </c>
      <c r="AA89" s="109">
        <f t="shared" si="96"/>
        <v>104.30999999999999</v>
      </c>
      <c r="AB89" s="109">
        <f t="shared" si="90"/>
        <v>904.85325</v>
      </c>
      <c r="AC89" s="109">
        <f t="shared" si="97"/>
        <v>1009.1632499999999</v>
      </c>
      <c r="AD89" s="27">
        <f t="shared" si="92"/>
        <v>12.395250000000001</v>
      </c>
      <c r="AF89" s="27">
        <f t="shared" si="99"/>
        <v>133.79</v>
      </c>
    </row>
    <row r="90" spans="1:32" s="27" customFormat="1" ht="28">
      <c r="A90" s="119">
        <v>5</v>
      </c>
      <c r="B90" s="120" t="s">
        <v>165</v>
      </c>
      <c r="C90" s="121" t="s">
        <v>166</v>
      </c>
      <c r="D90" s="121" t="s">
        <v>160</v>
      </c>
      <c r="E90" s="120" t="s">
        <v>155</v>
      </c>
      <c r="F90" s="120" t="s">
        <v>71</v>
      </c>
      <c r="G90" s="122">
        <v>1</v>
      </c>
      <c r="H90" s="112">
        <v>7.45</v>
      </c>
      <c r="I90" s="123">
        <v>0</v>
      </c>
      <c r="J90" s="123">
        <v>0.3</v>
      </c>
      <c r="K90" s="113">
        <f t="shared" si="93"/>
        <v>7.15</v>
      </c>
      <c r="L90" s="106">
        <v>3</v>
      </c>
      <c r="M90" s="106"/>
      <c r="N90" s="107">
        <v>26</v>
      </c>
      <c r="O90" s="115">
        <v>8.5</v>
      </c>
      <c r="P90" s="124"/>
      <c r="Q90" s="38"/>
      <c r="R90" s="38"/>
      <c r="S90" s="38"/>
      <c r="T90" s="38">
        <f>G90*2</f>
        <v>2</v>
      </c>
      <c r="U90" s="38"/>
      <c r="V90" s="38"/>
      <c r="W90" s="38"/>
      <c r="X90" s="38">
        <f t="shared" si="89"/>
        <v>60.775000000000006</v>
      </c>
      <c r="Y90" s="116">
        <f t="shared" si="94"/>
        <v>552.51187801413028</v>
      </c>
      <c r="Z90" s="27">
        <f t="shared" si="95"/>
        <v>14.3</v>
      </c>
      <c r="AA90" s="109">
        <f t="shared" si="96"/>
        <v>48.475000000000009</v>
      </c>
      <c r="AB90" s="109">
        <f t="shared" si="90"/>
        <v>411.0356250000001</v>
      </c>
      <c r="AC90" s="109">
        <f t="shared" si="97"/>
        <v>459.51062500000012</v>
      </c>
      <c r="AD90" s="27">
        <f t="shared" si="92"/>
        <v>5.6306250000000011</v>
      </c>
      <c r="AF90" s="27">
        <f t="shared" si="99"/>
        <v>60.775000000000006</v>
      </c>
    </row>
    <row r="91" spans="1:32" s="27" customFormat="1" ht="28">
      <c r="A91" s="119">
        <v>5</v>
      </c>
      <c r="B91" s="120" t="s">
        <v>165</v>
      </c>
      <c r="C91" s="121" t="s">
        <v>166</v>
      </c>
      <c r="D91" s="121" t="s">
        <v>160</v>
      </c>
      <c r="E91" s="120" t="s">
        <v>155</v>
      </c>
      <c r="F91" s="120" t="s">
        <v>72</v>
      </c>
      <c r="G91" s="122">
        <v>1</v>
      </c>
      <c r="H91" s="112">
        <v>8</v>
      </c>
      <c r="I91" s="123">
        <v>0</v>
      </c>
      <c r="J91" s="123">
        <v>0.3</v>
      </c>
      <c r="K91" s="113">
        <f t="shared" si="93"/>
        <v>7.7</v>
      </c>
      <c r="L91" s="106">
        <v>3</v>
      </c>
      <c r="M91" s="106"/>
      <c r="N91" s="107">
        <v>26</v>
      </c>
      <c r="O91" s="115">
        <v>8.5</v>
      </c>
      <c r="P91" s="124"/>
      <c r="Q91" s="38"/>
      <c r="R91" s="38"/>
      <c r="S91" s="38"/>
      <c r="T91" s="38">
        <f t="shared" ref="T91:T92" si="101">G91*2</f>
        <v>2</v>
      </c>
      <c r="U91" s="38"/>
      <c r="V91" s="38"/>
      <c r="W91" s="38"/>
      <c r="X91" s="38">
        <f t="shared" si="89"/>
        <v>65.45</v>
      </c>
      <c r="Y91" s="116">
        <f t="shared" si="94"/>
        <v>595.01279170752491</v>
      </c>
      <c r="Z91" s="27">
        <f t="shared" si="95"/>
        <v>15.4</v>
      </c>
      <c r="AA91" s="109">
        <f t="shared" si="96"/>
        <v>52.050000000000004</v>
      </c>
      <c r="AB91" s="109">
        <f t="shared" si="90"/>
        <v>442.65375000000006</v>
      </c>
      <c r="AC91" s="109">
        <f t="shared" si="97"/>
        <v>494.70375000000007</v>
      </c>
      <c r="AD91" s="27">
        <f t="shared" si="92"/>
        <v>6.0637500000000006</v>
      </c>
      <c r="AF91" s="27">
        <f t="shared" si="99"/>
        <v>65.45</v>
      </c>
    </row>
    <row r="92" spans="1:32" s="27" customFormat="1" ht="28.5" thickBot="1">
      <c r="A92" s="119">
        <v>5</v>
      </c>
      <c r="B92" s="120" t="s">
        <v>165</v>
      </c>
      <c r="C92" s="121" t="s">
        <v>166</v>
      </c>
      <c r="D92" s="121" t="s">
        <v>160</v>
      </c>
      <c r="E92" s="120" t="s">
        <v>155</v>
      </c>
      <c r="F92" s="120" t="s">
        <v>161</v>
      </c>
      <c r="G92" s="122">
        <v>1</v>
      </c>
      <c r="H92" s="112">
        <v>7.55</v>
      </c>
      <c r="I92" s="123">
        <v>0</v>
      </c>
      <c r="J92" s="123">
        <v>0.3</v>
      </c>
      <c r="K92" s="113">
        <f t="shared" si="93"/>
        <v>7.25</v>
      </c>
      <c r="L92" s="106">
        <v>3</v>
      </c>
      <c r="M92" s="106"/>
      <c r="N92" s="107">
        <v>26</v>
      </c>
      <c r="O92" s="115">
        <v>8.5</v>
      </c>
      <c r="P92" s="124"/>
      <c r="Q92" s="38"/>
      <c r="R92" s="38"/>
      <c r="S92" s="38"/>
      <c r="T92" s="38">
        <f t="shared" si="101"/>
        <v>2</v>
      </c>
      <c r="U92" s="38"/>
      <c r="V92" s="38"/>
      <c r="W92" s="38"/>
      <c r="X92" s="38">
        <f t="shared" si="89"/>
        <v>61.625</v>
      </c>
      <c r="Y92" s="116">
        <f t="shared" si="94"/>
        <v>560.23931686747483</v>
      </c>
      <c r="Z92" s="27">
        <f t="shared" si="95"/>
        <v>14.5</v>
      </c>
      <c r="AA92" s="109">
        <f t="shared" si="96"/>
        <v>49.125</v>
      </c>
      <c r="AB92" s="109">
        <f t="shared" si="90"/>
        <v>416.78437500000001</v>
      </c>
      <c r="AC92" s="109">
        <f t="shared" si="97"/>
        <v>465.90937500000001</v>
      </c>
      <c r="AD92" s="27">
        <f t="shared" si="92"/>
        <v>5.7093750000000005</v>
      </c>
      <c r="AF92" s="27">
        <f t="shared" si="99"/>
        <v>61.625</v>
      </c>
    </row>
    <row r="93" spans="1:32" s="28" customFormat="1" ht="16" customHeight="1">
      <c r="A93" s="94" t="s">
        <v>61</v>
      </c>
      <c r="B93" s="72"/>
      <c r="C93" s="72"/>
      <c r="D93" s="72"/>
      <c r="E93" s="72"/>
      <c r="F93" s="72"/>
      <c r="G93" s="73">
        <f>SUM(G81:G92)</f>
        <v>42</v>
      </c>
      <c r="H93" s="114"/>
      <c r="I93" s="114"/>
      <c r="J93" s="114"/>
      <c r="K93" s="114">
        <f>SUM(K81:K92)</f>
        <v>327.62999999999994</v>
      </c>
      <c r="L93" s="74"/>
      <c r="M93" s="74"/>
      <c r="N93" s="74"/>
      <c r="O93" s="75"/>
      <c r="P93" s="125">
        <f t="shared" ref="P93:Y93" si="102">SUM(P81:P92)</f>
        <v>0</v>
      </c>
      <c r="Q93" s="76">
        <f t="shared" si="102"/>
        <v>0</v>
      </c>
      <c r="R93" s="76">
        <f t="shared" si="102"/>
        <v>0</v>
      </c>
      <c r="S93" s="76">
        <f t="shared" si="102"/>
        <v>0</v>
      </c>
      <c r="T93" s="76">
        <f t="shared" si="102"/>
        <v>82</v>
      </c>
      <c r="U93" s="76">
        <f t="shared" si="102"/>
        <v>0</v>
      </c>
      <c r="V93" s="76">
        <f t="shared" si="102"/>
        <v>0</v>
      </c>
      <c r="W93" s="76">
        <f t="shared" si="102"/>
        <v>0</v>
      </c>
      <c r="X93" s="76">
        <f t="shared" si="102"/>
        <v>2784.855</v>
      </c>
      <c r="Y93" s="117">
        <f t="shared" si="102"/>
        <v>25317.407915212523</v>
      </c>
      <c r="AA93" s="110"/>
      <c r="AB93" s="110"/>
      <c r="AC93" s="110"/>
      <c r="AD93" s="110"/>
    </row>
    <row r="94" spans="1:32" ht="16" customHeight="1">
      <c r="A94" s="56" t="s">
        <v>74</v>
      </c>
      <c r="K94" s="51"/>
      <c r="L94" s="51"/>
      <c r="M94" s="51"/>
      <c r="N94" s="51"/>
      <c r="W94" s="52"/>
      <c r="X94" s="91" t="s">
        <v>150</v>
      </c>
      <c r="Y94" s="101">
        <f>1.01*3021.85</f>
        <v>3052.0684999999999</v>
      </c>
    </row>
    <row r="95" spans="1:32" s="100" customFormat="1" ht="28">
      <c r="A95" s="95" t="s">
        <v>62</v>
      </c>
      <c r="B95" s="96" t="s">
        <v>4</v>
      </c>
      <c r="C95" s="96" t="s">
        <v>23</v>
      </c>
      <c r="D95" s="96" t="s">
        <v>45</v>
      </c>
      <c r="E95" s="96" t="s">
        <v>46</v>
      </c>
      <c r="F95" s="96" t="s">
        <v>5</v>
      </c>
      <c r="G95" s="96" t="s">
        <v>6</v>
      </c>
      <c r="H95" s="97" t="s">
        <v>7</v>
      </c>
      <c r="I95" s="97" t="s">
        <v>47</v>
      </c>
      <c r="J95" s="97" t="s">
        <v>8</v>
      </c>
      <c r="K95" s="98" t="s">
        <v>13</v>
      </c>
      <c r="L95" s="98" t="s">
        <v>19</v>
      </c>
      <c r="M95" s="98" t="s">
        <v>22</v>
      </c>
      <c r="N95" s="98" t="s">
        <v>20</v>
      </c>
      <c r="O95" s="99" t="s">
        <v>9</v>
      </c>
      <c r="P95" s="99" t="s">
        <v>49</v>
      </c>
      <c r="Q95" s="48" t="s">
        <v>70</v>
      </c>
      <c r="R95" s="48" t="s">
        <v>53</v>
      </c>
      <c r="S95" s="48" t="s">
        <v>65</v>
      </c>
      <c r="T95" s="48" t="s">
        <v>12</v>
      </c>
      <c r="U95" s="48" t="s">
        <v>51</v>
      </c>
      <c r="V95" s="48" t="s">
        <v>48</v>
      </c>
      <c r="W95" s="48" t="s">
        <v>14</v>
      </c>
      <c r="X95" s="53" t="s">
        <v>11</v>
      </c>
      <c r="Y95" s="53" t="s">
        <v>21</v>
      </c>
    </row>
    <row r="96" spans="1:32" s="27" customFormat="1" ht="28.5" thickBot="1">
      <c r="A96" s="103" t="s">
        <v>167</v>
      </c>
      <c r="B96" s="102" t="s">
        <v>168</v>
      </c>
      <c r="C96" s="105" t="s">
        <v>169</v>
      </c>
      <c r="D96" s="105" t="s">
        <v>170</v>
      </c>
      <c r="E96" s="102" t="s">
        <v>171</v>
      </c>
      <c r="F96" s="102" t="s">
        <v>127</v>
      </c>
      <c r="G96" s="104">
        <v>1</v>
      </c>
      <c r="H96" s="135">
        <v>7.23</v>
      </c>
      <c r="I96" s="135"/>
      <c r="J96" s="135">
        <v>0.3</v>
      </c>
      <c r="K96" s="137">
        <f>H96-I96-J96</f>
        <v>6.9300000000000006</v>
      </c>
      <c r="L96" s="106" t="s">
        <v>136</v>
      </c>
      <c r="M96" s="106"/>
      <c r="N96" s="107" t="s">
        <v>172</v>
      </c>
      <c r="O96" s="115">
        <v>11.5</v>
      </c>
      <c r="P96" s="124"/>
      <c r="Q96" s="38"/>
      <c r="R96" s="38"/>
      <c r="S96" s="38"/>
      <c r="T96" s="38">
        <f>G96*2</f>
        <v>2</v>
      </c>
      <c r="U96" s="38"/>
      <c r="V96" s="38"/>
      <c r="W96" s="38"/>
      <c r="X96" s="38">
        <f t="shared" ref="X96" si="103">K96*O96</f>
        <v>79.695000000000007</v>
      </c>
      <c r="Y96" s="116">
        <f>$Y$94/31.1035*K96*IF(LEFT(F96,3)="10K",0.417*1.07,IF(LEFT(F96,3)="14K",0.585*1.05,IF(LEFT(F96,3)="18K",0.75*1.05,0)))</f>
        <v>417.69897977868249</v>
      </c>
      <c r="Z96" s="27">
        <f>2*K96</f>
        <v>13.860000000000001</v>
      </c>
      <c r="AA96" s="109">
        <f>(SUM(Q96:W96)+AF96)-Z96</f>
        <v>67.835000000000008</v>
      </c>
      <c r="AB96" s="109">
        <f>AD96*$AB$13+P96*$AB$14</f>
        <v>310.74293249999999</v>
      </c>
      <c r="AC96" s="109">
        <f t="shared" ref="AC96" si="104">SUM(AA96:AB96)</f>
        <v>378.57793249999997</v>
      </c>
      <c r="AD96" s="27">
        <f t="shared" ref="AD96" si="105">K96*IF(LEFT(F96,3)="10K",0.417*1.07,IF(LEFT(F96,3)="14K",0.585*1.05,IF(LEFT(F96,3)="18K",0.75*1.05,0)))</f>
        <v>4.2567525000000002</v>
      </c>
      <c r="AF96" s="27">
        <f>IF(AE96&gt;0,AE96*K96,X96)</f>
        <v>79.695000000000007</v>
      </c>
    </row>
    <row r="97" spans="1:32" s="28" customFormat="1" ht="16" customHeight="1">
      <c r="A97" s="94" t="s">
        <v>61</v>
      </c>
      <c r="B97" s="72"/>
      <c r="C97" s="72"/>
      <c r="D97" s="72"/>
      <c r="E97" s="72"/>
      <c r="F97" s="72"/>
      <c r="G97" s="73">
        <f>SUM(G96:G96)</f>
        <v>1</v>
      </c>
      <c r="H97" s="138"/>
      <c r="I97" s="138"/>
      <c r="J97" s="138"/>
      <c r="K97" s="138">
        <f>SUM(K96:K96)</f>
        <v>6.9300000000000006</v>
      </c>
      <c r="L97" s="74"/>
      <c r="M97" s="74"/>
      <c r="N97" s="74"/>
      <c r="O97" s="75"/>
      <c r="P97" s="125">
        <f t="shared" ref="P97:Y97" si="106">SUM(P96:P96)</f>
        <v>0</v>
      </c>
      <c r="Q97" s="76">
        <f t="shared" si="106"/>
        <v>0</v>
      </c>
      <c r="R97" s="76">
        <f t="shared" si="106"/>
        <v>0</v>
      </c>
      <c r="S97" s="76">
        <f t="shared" si="106"/>
        <v>0</v>
      </c>
      <c r="T97" s="76">
        <f t="shared" si="106"/>
        <v>2</v>
      </c>
      <c r="U97" s="76">
        <f t="shared" si="106"/>
        <v>0</v>
      </c>
      <c r="V97" s="76">
        <f t="shared" si="106"/>
        <v>0</v>
      </c>
      <c r="W97" s="76">
        <f t="shared" si="106"/>
        <v>0</v>
      </c>
      <c r="X97" s="76">
        <f t="shared" si="106"/>
        <v>79.695000000000007</v>
      </c>
      <c r="Y97" s="117">
        <f t="shared" si="106"/>
        <v>417.69897977868249</v>
      </c>
      <c r="AA97" s="110"/>
      <c r="AB97" s="110"/>
      <c r="AC97" s="110"/>
      <c r="AD97" s="110"/>
    </row>
    <row r="98" spans="1:32" ht="16" customHeight="1">
      <c r="A98" s="56" t="s">
        <v>74</v>
      </c>
      <c r="K98" s="51"/>
      <c r="L98" s="51"/>
      <c r="M98" s="51"/>
      <c r="N98" s="51"/>
      <c r="W98" s="52"/>
      <c r="X98" s="91" t="s">
        <v>173</v>
      </c>
      <c r="Y98" s="101">
        <f>1.01*3070.4</f>
        <v>3101.1040000000003</v>
      </c>
    </row>
    <row r="99" spans="1:32" s="100" customFormat="1" ht="28">
      <c r="A99" s="95" t="s">
        <v>62</v>
      </c>
      <c r="B99" s="96" t="s">
        <v>4</v>
      </c>
      <c r="C99" s="96" t="s">
        <v>23</v>
      </c>
      <c r="D99" s="96" t="s">
        <v>45</v>
      </c>
      <c r="E99" s="96" t="s">
        <v>46</v>
      </c>
      <c r="F99" s="96" t="s">
        <v>5</v>
      </c>
      <c r="G99" s="96" t="s">
        <v>6</v>
      </c>
      <c r="H99" s="97" t="s">
        <v>7</v>
      </c>
      <c r="I99" s="97" t="s">
        <v>47</v>
      </c>
      <c r="J99" s="97" t="s">
        <v>8</v>
      </c>
      <c r="K99" s="98" t="s">
        <v>13</v>
      </c>
      <c r="L99" s="98" t="s">
        <v>19</v>
      </c>
      <c r="M99" s="98" t="s">
        <v>22</v>
      </c>
      <c r="N99" s="98" t="s">
        <v>20</v>
      </c>
      <c r="O99" s="99" t="s">
        <v>9</v>
      </c>
      <c r="P99" s="99" t="s">
        <v>49</v>
      </c>
      <c r="Q99" s="48" t="s">
        <v>70</v>
      </c>
      <c r="R99" s="48" t="s">
        <v>53</v>
      </c>
      <c r="S99" s="48" t="s">
        <v>65</v>
      </c>
      <c r="T99" s="48" t="s">
        <v>12</v>
      </c>
      <c r="U99" s="48" t="s">
        <v>51</v>
      </c>
      <c r="V99" s="48" t="s">
        <v>48</v>
      </c>
      <c r="W99" s="48" t="s">
        <v>14</v>
      </c>
      <c r="X99" s="53" t="s">
        <v>11</v>
      </c>
      <c r="Y99" s="53" t="s">
        <v>21</v>
      </c>
    </row>
    <row r="100" spans="1:32" s="27" customFormat="1" ht="28">
      <c r="A100" s="103" t="s">
        <v>174</v>
      </c>
      <c r="B100" s="102" t="s">
        <v>175</v>
      </c>
      <c r="C100" s="105" t="s">
        <v>176</v>
      </c>
      <c r="D100" s="105" t="s">
        <v>177</v>
      </c>
      <c r="E100" s="102" t="s">
        <v>178</v>
      </c>
      <c r="F100" s="102" t="s">
        <v>67</v>
      </c>
      <c r="G100" s="104">
        <v>1</v>
      </c>
      <c r="H100" s="112">
        <v>8.92</v>
      </c>
      <c r="I100" s="112"/>
      <c r="J100" s="112">
        <v>0.3</v>
      </c>
      <c r="K100" s="113">
        <f>H100-I100-J100</f>
        <v>8.6199999999999992</v>
      </c>
      <c r="L100" s="106">
        <v>2.25</v>
      </c>
      <c r="M100" s="106"/>
      <c r="N100" s="107">
        <v>32</v>
      </c>
      <c r="O100" s="115">
        <v>10.5</v>
      </c>
      <c r="P100" s="124"/>
      <c r="Q100" s="38"/>
      <c r="R100" s="38"/>
      <c r="S100" s="38"/>
      <c r="T100" s="38">
        <f>G100*2.3</f>
        <v>2.2999999999999998</v>
      </c>
      <c r="U100" s="38"/>
      <c r="V100" s="38"/>
      <c r="W100" s="38"/>
      <c r="X100" s="38">
        <f t="shared" ref="X100:X103" si="107">K100*O100</f>
        <v>90.509999999999991</v>
      </c>
      <c r="Y100" s="116">
        <f>$Y$98/31.1035*K100*IF(LEFT(F100,3)="10K",0.417*1.07,IF(LEFT(F100,3)="14K",0.585*1.05,IF(LEFT(F100,3)="18K",0.75*1.05,0)))</f>
        <v>527.90952779719316</v>
      </c>
      <c r="Z100" s="27">
        <f>2*K100</f>
        <v>17.239999999999998</v>
      </c>
      <c r="AA100" s="109">
        <f>(SUM(Q100:W100)+AF100)-Z100</f>
        <v>75.569999999999993</v>
      </c>
      <c r="AB100" s="109">
        <f>AD100*$AB$13+P100*$AB$14</f>
        <v>386.52295499999991</v>
      </c>
      <c r="AC100" s="109">
        <f t="shared" ref="AC100" si="108">SUM(AA100:AB100)</f>
        <v>462.0929549999999</v>
      </c>
      <c r="AD100" s="27">
        <f t="shared" ref="AD100:AD103" si="109">K100*IF(LEFT(F100,3)="10K",0.417*1.07,IF(LEFT(F100,3)="14K",0.585*1.05,IF(LEFT(F100,3)="18K",0.75*1.05,0)))</f>
        <v>5.2948349999999991</v>
      </c>
      <c r="AF100" s="27">
        <f>IF(AE100&gt;0,AE100*K100,X100)</f>
        <v>90.509999999999991</v>
      </c>
    </row>
    <row r="101" spans="1:32" s="27" customFormat="1" ht="28">
      <c r="A101" s="119">
        <v>2</v>
      </c>
      <c r="B101" s="120" t="s">
        <v>179</v>
      </c>
      <c r="C101" s="121" t="s">
        <v>163</v>
      </c>
      <c r="D101" s="121" t="s">
        <v>180</v>
      </c>
      <c r="E101" s="120" t="s">
        <v>178</v>
      </c>
      <c r="F101" s="120" t="s">
        <v>68</v>
      </c>
      <c r="G101" s="122">
        <v>1</v>
      </c>
      <c r="H101" s="112">
        <v>7.2</v>
      </c>
      <c r="I101" s="123"/>
      <c r="J101" s="123">
        <v>0.34</v>
      </c>
      <c r="K101" s="113">
        <f t="shared" ref="K101:K103" si="110">H101-I101-J101</f>
        <v>6.86</v>
      </c>
      <c r="L101" s="106">
        <v>2.5499999999999998</v>
      </c>
      <c r="M101" s="106"/>
      <c r="N101" s="107">
        <v>29</v>
      </c>
      <c r="O101" s="115">
        <v>10.5</v>
      </c>
      <c r="P101" s="124"/>
      <c r="Q101" s="38"/>
      <c r="R101" s="38"/>
      <c r="S101" s="38"/>
      <c r="T101" s="38">
        <f>G101*2.3</f>
        <v>2.2999999999999998</v>
      </c>
      <c r="U101" s="38"/>
      <c r="V101" s="38"/>
      <c r="W101" s="38"/>
      <c r="X101" s="38">
        <f t="shared" si="107"/>
        <v>72.03</v>
      </c>
      <c r="Y101" s="116">
        <f t="shared" ref="Y101:Y103" si="111">$Y$98/31.1035*K101*IF(LEFT(F101,3)="10K",0.417*1.07,IF(LEFT(F101,3)="14K",0.585*1.05,IF(LEFT(F101,3)="18K",0.75*1.05,0)))</f>
        <v>420.12289567154824</v>
      </c>
      <c r="Z101" s="27">
        <f t="shared" ref="Z101:Z103" si="112">2*K101</f>
        <v>13.72</v>
      </c>
      <c r="AA101" s="109">
        <f t="shared" ref="AA101:AA103" si="113">(SUM(Q101:W101)+AF101)-Z101</f>
        <v>60.61</v>
      </c>
      <c r="AB101" s="109">
        <f>AD101*$AB$13+P101*$AB$14</f>
        <v>307.60411499999998</v>
      </c>
      <c r="AC101" s="109">
        <f t="shared" ref="AC101:AC103" si="114">SUM(AA101:AB101)</f>
        <v>368.21411499999999</v>
      </c>
      <c r="AD101" s="27">
        <f t="shared" si="109"/>
        <v>4.2137549999999999</v>
      </c>
      <c r="AF101" s="27">
        <f>IF(AE101&gt;0,AE101*K101,X101)</f>
        <v>72.03</v>
      </c>
    </row>
    <row r="102" spans="1:32" s="27" customFormat="1" ht="28">
      <c r="A102" s="119">
        <v>3</v>
      </c>
      <c r="B102" s="120" t="s">
        <v>181</v>
      </c>
      <c r="C102" s="121" t="s">
        <v>182</v>
      </c>
      <c r="D102" s="121" t="s">
        <v>180</v>
      </c>
      <c r="E102" s="120" t="s">
        <v>178</v>
      </c>
      <c r="F102" s="120" t="s">
        <v>68</v>
      </c>
      <c r="G102" s="122">
        <v>1</v>
      </c>
      <c r="H102" s="112">
        <v>5.35</v>
      </c>
      <c r="I102" s="123"/>
      <c r="J102" s="123">
        <v>0.34</v>
      </c>
      <c r="K102" s="113">
        <f t="shared" si="110"/>
        <v>5.01</v>
      </c>
      <c r="L102" s="106">
        <v>2</v>
      </c>
      <c r="M102" s="106"/>
      <c r="N102" s="107">
        <v>7</v>
      </c>
      <c r="O102" s="115">
        <v>11.5</v>
      </c>
      <c r="P102" s="124"/>
      <c r="Q102" s="38"/>
      <c r="R102" s="38"/>
      <c r="S102" s="38"/>
      <c r="T102" s="38">
        <f>G102*2.3</f>
        <v>2.2999999999999998</v>
      </c>
      <c r="U102" s="38"/>
      <c r="V102" s="38"/>
      <c r="W102" s="38"/>
      <c r="X102" s="38">
        <f t="shared" si="107"/>
        <v>57.614999999999995</v>
      </c>
      <c r="Y102" s="116">
        <f t="shared" si="111"/>
        <v>306.82444713038723</v>
      </c>
      <c r="Z102" s="27">
        <f t="shared" si="112"/>
        <v>10.02</v>
      </c>
      <c r="AA102" s="109">
        <f t="shared" si="113"/>
        <v>49.894999999999996</v>
      </c>
      <c r="AB102" s="109">
        <f>AD102*$AB$13+P102*$AB$14</f>
        <v>224.64965249999997</v>
      </c>
      <c r="AC102" s="109">
        <f t="shared" si="114"/>
        <v>274.54465249999998</v>
      </c>
      <c r="AD102" s="27">
        <f t="shared" si="109"/>
        <v>3.0773924999999998</v>
      </c>
      <c r="AF102" s="27">
        <f t="shared" ref="AF102:AF103" si="115">IF(AE102&gt;0,AE102*K102,X102)</f>
        <v>57.614999999999995</v>
      </c>
    </row>
    <row r="103" spans="1:32" s="27" customFormat="1" ht="56.5" thickBot="1">
      <c r="A103" s="119">
        <v>4</v>
      </c>
      <c r="B103" s="120" t="s">
        <v>183</v>
      </c>
      <c r="C103" s="121" t="s">
        <v>184</v>
      </c>
      <c r="D103" s="121" t="s">
        <v>180</v>
      </c>
      <c r="E103" s="120" t="s">
        <v>178</v>
      </c>
      <c r="F103" s="120" t="s">
        <v>68</v>
      </c>
      <c r="G103" s="122">
        <v>1</v>
      </c>
      <c r="H103" s="112">
        <v>15.64</v>
      </c>
      <c r="I103" s="123"/>
      <c r="J103" s="123">
        <v>1.1000000000000001</v>
      </c>
      <c r="K103" s="113">
        <f t="shared" si="110"/>
        <v>14.540000000000001</v>
      </c>
      <c r="L103" s="106" t="s">
        <v>185</v>
      </c>
      <c r="M103" s="106"/>
      <c r="N103" s="107" t="s">
        <v>186</v>
      </c>
      <c r="O103" s="115">
        <v>11</v>
      </c>
      <c r="P103" s="124"/>
      <c r="Q103" s="38"/>
      <c r="R103" s="38"/>
      <c r="S103" s="38"/>
      <c r="T103" s="38">
        <f>G103*4.6</f>
        <v>4.5999999999999996</v>
      </c>
      <c r="U103" s="38"/>
      <c r="V103" s="38"/>
      <c r="W103" s="38"/>
      <c r="X103" s="38">
        <f t="shared" si="107"/>
        <v>159.94</v>
      </c>
      <c r="Y103" s="116">
        <f t="shared" si="111"/>
        <v>890.46456312890825</v>
      </c>
      <c r="Z103" s="27">
        <f t="shared" si="112"/>
        <v>29.080000000000002</v>
      </c>
      <c r="AA103" s="109">
        <f t="shared" si="113"/>
        <v>135.45999999999998</v>
      </c>
      <c r="AB103" s="109">
        <f>AD103*$AB$13+P103*$AB$14</f>
        <v>651.97723500000006</v>
      </c>
      <c r="AC103" s="109">
        <f t="shared" si="114"/>
        <v>787.4372350000001</v>
      </c>
      <c r="AD103" s="27">
        <f t="shared" si="109"/>
        <v>8.9311950000000007</v>
      </c>
      <c r="AF103" s="27">
        <f t="shared" si="115"/>
        <v>159.94</v>
      </c>
    </row>
    <row r="104" spans="1:32" s="28" customFormat="1" ht="16" customHeight="1">
      <c r="A104" s="94" t="s">
        <v>61</v>
      </c>
      <c r="B104" s="72"/>
      <c r="C104" s="72"/>
      <c r="D104" s="72"/>
      <c r="E104" s="72"/>
      <c r="F104" s="72"/>
      <c r="G104" s="73">
        <f>SUM(G100:G103)</f>
        <v>4</v>
      </c>
      <c r="H104" s="114"/>
      <c r="I104" s="114"/>
      <c r="J104" s="114"/>
      <c r="K104" s="114">
        <f>SUM(K100:K103)</f>
        <v>35.03</v>
      </c>
      <c r="L104" s="74"/>
      <c r="M104" s="74"/>
      <c r="N104" s="74"/>
      <c r="O104" s="75"/>
      <c r="P104" s="125">
        <f t="shared" ref="P104:Y104" si="116">SUM(P100:P103)</f>
        <v>0</v>
      </c>
      <c r="Q104" s="76">
        <f t="shared" si="116"/>
        <v>0</v>
      </c>
      <c r="R104" s="76">
        <f t="shared" si="116"/>
        <v>0</v>
      </c>
      <c r="S104" s="76">
        <f t="shared" si="116"/>
        <v>0</v>
      </c>
      <c r="T104" s="76">
        <f t="shared" si="116"/>
        <v>11.5</v>
      </c>
      <c r="U104" s="76">
        <f t="shared" si="116"/>
        <v>0</v>
      </c>
      <c r="V104" s="76">
        <f t="shared" si="116"/>
        <v>0</v>
      </c>
      <c r="W104" s="76">
        <f t="shared" si="116"/>
        <v>0</v>
      </c>
      <c r="X104" s="76">
        <f t="shared" si="116"/>
        <v>380.09499999999997</v>
      </c>
      <c r="Y104" s="117">
        <f t="shared" si="116"/>
        <v>2145.3214337280369</v>
      </c>
      <c r="AA104" s="110"/>
      <c r="AB104" s="110"/>
      <c r="AC104" s="110"/>
      <c r="AD104" s="110"/>
    </row>
    <row r="105" spans="1:32" ht="16" customHeight="1">
      <c r="A105" s="56" t="s">
        <v>74</v>
      </c>
      <c r="K105" s="51"/>
      <c r="L105" s="51"/>
      <c r="M105" s="51"/>
      <c r="N105" s="51"/>
      <c r="W105" s="52"/>
      <c r="X105" s="91" t="s">
        <v>173</v>
      </c>
      <c r="Y105" s="101">
        <f>1.01*3070.4</f>
        <v>3101.1040000000003</v>
      </c>
    </row>
    <row r="106" spans="1:32" s="100" customFormat="1" ht="28">
      <c r="A106" s="95" t="s">
        <v>62</v>
      </c>
      <c r="B106" s="96" t="s">
        <v>4</v>
      </c>
      <c r="C106" s="96" t="s">
        <v>23</v>
      </c>
      <c r="D106" s="96" t="s">
        <v>45</v>
      </c>
      <c r="E106" s="96" t="s">
        <v>46</v>
      </c>
      <c r="F106" s="96" t="s">
        <v>5</v>
      </c>
      <c r="G106" s="96" t="s">
        <v>6</v>
      </c>
      <c r="H106" s="97" t="s">
        <v>7</v>
      </c>
      <c r="I106" s="97" t="s">
        <v>47</v>
      </c>
      <c r="J106" s="97" t="s">
        <v>8</v>
      </c>
      <c r="K106" s="98" t="s">
        <v>13</v>
      </c>
      <c r="L106" s="98" t="s">
        <v>19</v>
      </c>
      <c r="M106" s="98" t="s">
        <v>22</v>
      </c>
      <c r="N106" s="98" t="s">
        <v>20</v>
      </c>
      <c r="O106" s="99" t="s">
        <v>9</v>
      </c>
      <c r="P106" s="99" t="s">
        <v>49</v>
      </c>
      <c r="Q106" s="48" t="s">
        <v>70</v>
      </c>
      <c r="R106" s="48" t="s">
        <v>53</v>
      </c>
      <c r="S106" s="48" t="s">
        <v>65</v>
      </c>
      <c r="T106" s="48" t="s">
        <v>12</v>
      </c>
      <c r="U106" s="48" t="s">
        <v>51</v>
      </c>
      <c r="V106" s="48" t="s">
        <v>48</v>
      </c>
      <c r="W106" s="48" t="s">
        <v>14</v>
      </c>
      <c r="X106" s="53" t="s">
        <v>11</v>
      </c>
      <c r="Y106" s="53" t="s">
        <v>21</v>
      </c>
    </row>
    <row r="107" spans="1:32" s="27" customFormat="1" ht="28.5" thickBot="1">
      <c r="A107" s="103" t="s">
        <v>187</v>
      </c>
      <c r="B107" s="102" t="s">
        <v>188</v>
      </c>
      <c r="C107" s="105" t="s">
        <v>145</v>
      </c>
      <c r="D107" s="105" t="s">
        <v>177</v>
      </c>
      <c r="E107" s="102" t="s">
        <v>178</v>
      </c>
      <c r="F107" s="102" t="s">
        <v>72</v>
      </c>
      <c r="G107" s="104">
        <v>1</v>
      </c>
      <c r="H107" s="135">
        <v>6.07</v>
      </c>
      <c r="I107" s="135"/>
      <c r="J107" s="135">
        <v>0.31</v>
      </c>
      <c r="K107" s="137">
        <f>H107-I107-J107</f>
        <v>5.7600000000000007</v>
      </c>
      <c r="L107" s="106">
        <v>1.8</v>
      </c>
      <c r="M107" s="106"/>
      <c r="N107" s="107">
        <v>37</v>
      </c>
      <c r="O107" s="115">
        <v>8.5</v>
      </c>
      <c r="P107" s="124"/>
      <c r="Q107" s="38"/>
      <c r="R107" s="38"/>
      <c r="S107" s="38"/>
      <c r="T107" s="38">
        <f>G107*2.3</f>
        <v>2.2999999999999998</v>
      </c>
      <c r="U107" s="38"/>
      <c r="V107" s="38"/>
      <c r="W107" s="38"/>
      <c r="X107" s="38">
        <f t="shared" ref="X107" si="117">K107*O107</f>
        <v>48.960000000000008</v>
      </c>
      <c r="Y107" s="116">
        <f>$Y$105/31.1035*K107*IF(LEFT(F107,3)="10K",0.417*1.07,IF(LEFT(F107,3)="14K",0.585*1.05,IF(LEFT(F107,3)="18K",0.75*1.05,0)))</f>
        <v>452.25160332438486</v>
      </c>
      <c r="Z107" s="27">
        <f>2*K107</f>
        <v>11.520000000000001</v>
      </c>
      <c r="AA107" s="109">
        <f>(SUM(Q107:W107)+AF107)-Z107</f>
        <v>39.74</v>
      </c>
      <c r="AB107" s="109">
        <f>AD107*$AB$13+P107*$AB$14</f>
        <v>331.1280000000001</v>
      </c>
      <c r="AC107" s="109">
        <f t="shared" ref="AC107" si="118">SUM(AA107:AB107)</f>
        <v>370.86800000000011</v>
      </c>
      <c r="AD107" s="27">
        <f t="shared" ref="AD107" si="119">K107*IF(LEFT(F107,3)="10K",0.417*1.07,IF(LEFT(F107,3)="14K",0.585*1.05,IF(LEFT(F107,3)="18K",0.75*1.05,0)))</f>
        <v>4.5360000000000014</v>
      </c>
      <c r="AF107" s="27">
        <f>IF(AE107&gt;0,AE107*K107,X107)</f>
        <v>48.960000000000008</v>
      </c>
    </row>
    <row r="108" spans="1:32" s="28" customFormat="1" ht="16" customHeight="1">
      <c r="A108" s="94" t="s">
        <v>61</v>
      </c>
      <c r="B108" s="72"/>
      <c r="C108" s="72"/>
      <c r="D108" s="72"/>
      <c r="E108" s="72"/>
      <c r="F108" s="72"/>
      <c r="G108" s="73">
        <f>SUM(G107:G107)</f>
        <v>1</v>
      </c>
      <c r="H108" s="138"/>
      <c r="I108" s="138"/>
      <c r="J108" s="138"/>
      <c r="K108" s="138">
        <f>SUM(K107:K107)</f>
        <v>5.7600000000000007</v>
      </c>
      <c r="L108" s="74"/>
      <c r="M108" s="74"/>
      <c r="N108" s="74"/>
      <c r="O108" s="75"/>
      <c r="P108" s="125">
        <f t="shared" ref="P108:Y108" si="120">SUM(P107:P107)</f>
        <v>0</v>
      </c>
      <c r="Q108" s="76">
        <f t="shared" si="120"/>
        <v>0</v>
      </c>
      <c r="R108" s="76">
        <f t="shared" si="120"/>
        <v>0</v>
      </c>
      <c r="S108" s="76">
        <f t="shared" si="120"/>
        <v>0</v>
      </c>
      <c r="T108" s="76">
        <f t="shared" si="120"/>
        <v>2.2999999999999998</v>
      </c>
      <c r="U108" s="76">
        <f t="shared" si="120"/>
        <v>0</v>
      </c>
      <c r="V108" s="76">
        <f t="shared" si="120"/>
        <v>0</v>
      </c>
      <c r="W108" s="76">
        <f t="shared" si="120"/>
        <v>0</v>
      </c>
      <c r="X108" s="76">
        <f t="shared" si="120"/>
        <v>48.960000000000008</v>
      </c>
      <c r="Y108" s="117">
        <f t="shared" si="120"/>
        <v>452.25160332438486</v>
      </c>
      <c r="AA108" s="110"/>
      <c r="AB108" s="110"/>
      <c r="AC108" s="110"/>
      <c r="AD108" s="110"/>
    </row>
    <row r="109" spans="1:32" ht="16" customHeight="1">
      <c r="A109" s="56" t="s">
        <v>74</v>
      </c>
      <c r="K109" s="51"/>
      <c r="L109" s="51"/>
      <c r="M109" s="51"/>
      <c r="N109" s="51"/>
      <c r="W109" s="52"/>
      <c r="X109" s="91" t="s">
        <v>173</v>
      </c>
      <c r="Y109" s="101">
        <f>1.01*3070.4</f>
        <v>3101.1040000000003</v>
      </c>
    </row>
    <row r="110" spans="1:32" s="100" customFormat="1" ht="28">
      <c r="A110" s="95" t="s">
        <v>62</v>
      </c>
      <c r="B110" s="96" t="s">
        <v>4</v>
      </c>
      <c r="C110" s="96" t="s">
        <v>23</v>
      </c>
      <c r="D110" s="96" t="s">
        <v>45</v>
      </c>
      <c r="E110" s="96" t="s">
        <v>46</v>
      </c>
      <c r="F110" s="96" t="s">
        <v>5</v>
      </c>
      <c r="G110" s="96" t="s">
        <v>6</v>
      </c>
      <c r="H110" s="97" t="s">
        <v>7</v>
      </c>
      <c r="I110" s="97" t="s">
        <v>47</v>
      </c>
      <c r="J110" s="97" t="s">
        <v>8</v>
      </c>
      <c r="K110" s="98" t="s">
        <v>13</v>
      </c>
      <c r="L110" s="98" t="s">
        <v>19</v>
      </c>
      <c r="M110" s="98" t="s">
        <v>22</v>
      </c>
      <c r="N110" s="98" t="s">
        <v>20</v>
      </c>
      <c r="O110" s="99" t="s">
        <v>9</v>
      </c>
      <c r="P110" s="99" t="s">
        <v>49</v>
      </c>
      <c r="Q110" s="48" t="s">
        <v>70</v>
      </c>
      <c r="R110" s="48" t="s">
        <v>53</v>
      </c>
      <c r="S110" s="48" t="s">
        <v>65</v>
      </c>
      <c r="T110" s="48" t="s">
        <v>12</v>
      </c>
      <c r="U110" s="48" t="s">
        <v>51</v>
      </c>
      <c r="V110" s="48" t="s">
        <v>48</v>
      </c>
      <c r="W110" s="48" t="s">
        <v>14</v>
      </c>
      <c r="X110" s="53" t="s">
        <v>11</v>
      </c>
      <c r="Y110" s="53" t="s">
        <v>21</v>
      </c>
    </row>
    <row r="111" spans="1:32" s="27" customFormat="1" ht="28.5" thickBot="1">
      <c r="A111" s="103" t="s">
        <v>189</v>
      </c>
      <c r="B111" s="102" t="s">
        <v>152</v>
      </c>
      <c r="C111" s="105" t="s">
        <v>153</v>
      </c>
      <c r="D111" s="105" t="s">
        <v>190</v>
      </c>
      <c r="E111" s="102" t="s">
        <v>191</v>
      </c>
      <c r="F111" s="102" t="s">
        <v>67</v>
      </c>
      <c r="G111" s="104">
        <v>2</v>
      </c>
      <c r="H111" s="135">
        <v>21.04</v>
      </c>
      <c r="I111" s="135"/>
      <c r="J111" s="135"/>
      <c r="K111" s="137">
        <f>H111-I111-J111</f>
        <v>21.04</v>
      </c>
      <c r="L111" s="106">
        <v>3.9</v>
      </c>
      <c r="M111" s="106"/>
      <c r="N111" s="107">
        <v>43</v>
      </c>
      <c r="O111" s="115">
        <v>8.5</v>
      </c>
      <c r="P111" s="124"/>
      <c r="Q111" s="38"/>
      <c r="R111" s="38"/>
      <c r="S111" s="38"/>
      <c r="T111" s="38"/>
      <c r="U111" s="38"/>
      <c r="V111" s="38"/>
      <c r="W111" s="38"/>
      <c r="X111" s="38">
        <f t="shared" ref="X111" si="121">K111*O111</f>
        <v>178.84</v>
      </c>
      <c r="Y111" s="116">
        <f>$Y$109/31.1035*K111*IF(LEFT(F111,3)="10K",0.417*1.07,IF(LEFT(F111,3)="14K",0.585*1.05,IF(LEFT(F111,3)="18K",0.75*1.05,0)))</f>
        <v>1288.5401931383929</v>
      </c>
      <c r="Z111" s="27">
        <f>2*K111</f>
        <v>42.08</v>
      </c>
      <c r="AA111" s="109">
        <f>(SUM(Q111:W111)+AF111)-Z111</f>
        <v>136.76</v>
      </c>
      <c r="AB111" s="109">
        <f>AD111*$AB$13+P111*$AB$14</f>
        <v>943.43885999999998</v>
      </c>
      <c r="AC111" s="109">
        <f t="shared" ref="AC111" si="122">SUM(AA111:AB111)</f>
        <v>1080.19886</v>
      </c>
      <c r="AD111" s="27">
        <f t="shared" ref="AD111" si="123">K111*IF(LEFT(F111,3)="10K",0.417*1.07,IF(LEFT(F111,3)="14K",0.585*1.05,IF(LEFT(F111,3)="18K",0.75*1.05,0)))</f>
        <v>12.923819999999999</v>
      </c>
      <c r="AF111" s="27">
        <f>IF(AE111&gt;0,AE111*K111,X111)</f>
        <v>178.84</v>
      </c>
    </row>
    <row r="112" spans="1:32" s="28" customFormat="1" ht="16" customHeight="1">
      <c r="A112" s="94" t="s">
        <v>61</v>
      </c>
      <c r="B112" s="72"/>
      <c r="C112" s="72"/>
      <c r="D112" s="72"/>
      <c r="E112" s="72"/>
      <c r="F112" s="72"/>
      <c r="G112" s="73">
        <f>SUM(G111:G111)</f>
        <v>2</v>
      </c>
      <c r="H112" s="138"/>
      <c r="I112" s="138"/>
      <c r="J112" s="138"/>
      <c r="K112" s="138">
        <f>SUM(K111:K111)</f>
        <v>21.04</v>
      </c>
      <c r="L112" s="74"/>
      <c r="M112" s="74"/>
      <c r="N112" s="74"/>
      <c r="O112" s="75"/>
      <c r="P112" s="125">
        <f t="shared" ref="P112:Y112" si="124">SUM(P111:P111)</f>
        <v>0</v>
      </c>
      <c r="Q112" s="76">
        <f t="shared" si="124"/>
        <v>0</v>
      </c>
      <c r="R112" s="76">
        <f t="shared" si="124"/>
        <v>0</v>
      </c>
      <c r="S112" s="76">
        <f t="shared" si="124"/>
        <v>0</v>
      </c>
      <c r="T112" s="76">
        <f t="shared" si="124"/>
        <v>0</v>
      </c>
      <c r="U112" s="76">
        <f t="shared" si="124"/>
        <v>0</v>
      </c>
      <c r="V112" s="76">
        <f t="shared" si="124"/>
        <v>0</v>
      </c>
      <c r="W112" s="76">
        <f t="shared" si="124"/>
        <v>0</v>
      </c>
      <c r="X112" s="76">
        <f t="shared" si="124"/>
        <v>178.84</v>
      </c>
      <c r="Y112" s="117">
        <f t="shared" si="124"/>
        <v>1288.5401931383929</v>
      </c>
      <c r="AA112" s="110"/>
      <c r="AB112" s="110"/>
      <c r="AC112" s="110"/>
      <c r="AD112" s="110"/>
    </row>
    <row r="113" spans="1:32" ht="16" customHeight="1">
      <c r="A113" s="56" t="s">
        <v>74</v>
      </c>
      <c r="K113" s="51"/>
      <c r="L113" s="51"/>
      <c r="M113" s="51"/>
      <c r="N113" s="51"/>
      <c r="W113" s="52"/>
      <c r="X113" s="91" t="s">
        <v>173</v>
      </c>
      <c r="Y113" s="101">
        <f>1.01*3070.4</f>
        <v>3101.1040000000003</v>
      </c>
    </row>
    <row r="114" spans="1:32" s="100" customFormat="1" ht="28">
      <c r="A114" s="95" t="s">
        <v>62</v>
      </c>
      <c r="B114" s="96" t="s">
        <v>4</v>
      </c>
      <c r="C114" s="96" t="s">
        <v>23</v>
      </c>
      <c r="D114" s="96" t="s">
        <v>45</v>
      </c>
      <c r="E114" s="96" t="s">
        <v>46</v>
      </c>
      <c r="F114" s="96" t="s">
        <v>5</v>
      </c>
      <c r="G114" s="96" t="s">
        <v>6</v>
      </c>
      <c r="H114" s="97" t="s">
        <v>7</v>
      </c>
      <c r="I114" s="97" t="s">
        <v>47</v>
      </c>
      <c r="J114" s="97" t="s">
        <v>8</v>
      </c>
      <c r="K114" s="98" t="s">
        <v>13</v>
      </c>
      <c r="L114" s="98" t="s">
        <v>19</v>
      </c>
      <c r="M114" s="98" t="s">
        <v>22</v>
      </c>
      <c r="N114" s="98" t="s">
        <v>20</v>
      </c>
      <c r="O114" s="99" t="s">
        <v>9</v>
      </c>
      <c r="P114" s="99" t="s">
        <v>49</v>
      </c>
      <c r="Q114" s="48" t="s">
        <v>70</v>
      </c>
      <c r="R114" s="48" t="s">
        <v>53</v>
      </c>
      <c r="S114" s="48" t="s">
        <v>65</v>
      </c>
      <c r="T114" s="48" t="s">
        <v>12</v>
      </c>
      <c r="U114" s="48" t="s">
        <v>51</v>
      </c>
      <c r="V114" s="48" t="s">
        <v>48</v>
      </c>
      <c r="W114" s="48" t="s">
        <v>14</v>
      </c>
      <c r="X114" s="53" t="s">
        <v>11</v>
      </c>
      <c r="Y114" s="53" t="s">
        <v>21</v>
      </c>
    </row>
    <row r="115" spans="1:32" s="27" customFormat="1" ht="28">
      <c r="A115" s="103" t="s">
        <v>192</v>
      </c>
      <c r="B115" s="102" t="s">
        <v>188</v>
      </c>
      <c r="C115" s="105" t="s">
        <v>145</v>
      </c>
      <c r="D115" s="105" t="s">
        <v>193</v>
      </c>
      <c r="E115" s="102" t="s">
        <v>191</v>
      </c>
      <c r="F115" s="102" t="s">
        <v>71</v>
      </c>
      <c r="G115" s="104">
        <v>1</v>
      </c>
      <c r="H115" s="112">
        <v>6.18</v>
      </c>
      <c r="I115" s="112"/>
      <c r="J115" s="112">
        <v>0.31</v>
      </c>
      <c r="K115" s="113">
        <f>H115-I115-J115</f>
        <v>5.87</v>
      </c>
      <c r="L115" s="106">
        <v>1.8</v>
      </c>
      <c r="M115" s="106"/>
      <c r="N115" s="107">
        <v>37</v>
      </c>
      <c r="O115" s="115">
        <v>8.5</v>
      </c>
      <c r="P115" s="124"/>
      <c r="Q115" s="38"/>
      <c r="R115" s="38"/>
      <c r="S115" s="38"/>
      <c r="T115" s="38">
        <f>G115*2.3</f>
        <v>2.2999999999999998</v>
      </c>
      <c r="U115" s="38"/>
      <c r="V115" s="38"/>
      <c r="W115" s="38"/>
      <c r="X115" s="38">
        <f t="shared" ref="X115:X120" si="125">K115*O115</f>
        <v>49.895000000000003</v>
      </c>
      <c r="Y115" s="116">
        <f>$Y$113/31.1035*K115*IF(LEFT(F115,3)="10K",0.417*1.07,IF(LEFT(F115,3)="14K",0.585*1.05,IF(LEFT(F115,3)="18K",0.75*1.05,0)))</f>
        <v>460.8883526934269</v>
      </c>
      <c r="Z115" s="27">
        <f>2*K115</f>
        <v>11.74</v>
      </c>
      <c r="AA115" s="109">
        <f>(SUM(Q115:W115)+AF115)-Z115</f>
        <v>40.454999999999998</v>
      </c>
      <c r="AB115" s="109">
        <f t="shared" ref="AB115:AB120" si="126">AD115*$AB$13+P115*$AB$14</f>
        <v>337.45162500000004</v>
      </c>
      <c r="AC115" s="109">
        <f t="shared" ref="AC115" si="127">SUM(AA115:AB115)</f>
        <v>377.90662500000002</v>
      </c>
      <c r="AD115" s="27">
        <f t="shared" ref="AD115:AD120" si="128">K115*IF(LEFT(F115,3)="10K",0.417*1.07,IF(LEFT(F115,3)="14K",0.585*1.05,IF(LEFT(F115,3)="18K",0.75*1.05,0)))</f>
        <v>4.6226250000000002</v>
      </c>
      <c r="AF115" s="27">
        <f>IF(AE115&gt;0,AE115*K115,X115)</f>
        <v>49.895000000000003</v>
      </c>
    </row>
    <row r="116" spans="1:32" s="27" customFormat="1" ht="28">
      <c r="A116" s="119">
        <v>1</v>
      </c>
      <c r="B116" s="102" t="s">
        <v>188</v>
      </c>
      <c r="C116" s="105" t="s">
        <v>145</v>
      </c>
      <c r="D116" s="105" t="s">
        <v>193</v>
      </c>
      <c r="E116" s="102" t="s">
        <v>191</v>
      </c>
      <c r="F116" s="120" t="s">
        <v>72</v>
      </c>
      <c r="G116" s="122">
        <v>2</v>
      </c>
      <c r="H116" s="112">
        <v>13.05</v>
      </c>
      <c r="I116" s="123"/>
      <c r="J116" s="123">
        <v>0.62</v>
      </c>
      <c r="K116" s="113">
        <f t="shared" ref="K116:K120" si="129">H116-I116-J116</f>
        <v>12.430000000000001</v>
      </c>
      <c r="L116" s="106">
        <v>1.8</v>
      </c>
      <c r="M116" s="106"/>
      <c r="N116" s="107">
        <v>37</v>
      </c>
      <c r="O116" s="115">
        <v>8.5</v>
      </c>
      <c r="P116" s="124"/>
      <c r="Q116" s="38"/>
      <c r="R116" s="38"/>
      <c r="S116" s="38"/>
      <c r="T116" s="38">
        <f t="shared" ref="T116:T117" si="130">G116*2.3</f>
        <v>4.5999999999999996</v>
      </c>
      <c r="U116" s="38"/>
      <c r="V116" s="38"/>
      <c r="W116" s="38"/>
      <c r="X116" s="38">
        <f t="shared" si="125"/>
        <v>105.65500000000002</v>
      </c>
      <c r="Y116" s="116">
        <f t="shared" ref="Y116:Y120" si="131">$Y$113/31.1035*K116*IF(LEFT(F116,3)="10K",0.417*1.07,IF(LEFT(F116,3)="14K",0.585*1.05,IF(LEFT(F116,3)="18K",0.75*1.05,0)))</f>
        <v>975.95267870175417</v>
      </c>
      <c r="Z116" s="27">
        <f t="shared" ref="Z116:Z120" si="132">2*K116</f>
        <v>24.860000000000003</v>
      </c>
      <c r="AA116" s="109">
        <f t="shared" ref="AA116:AA120" si="133">(SUM(Q116:W116)+AF116)-Z116</f>
        <v>85.39500000000001</v>
      </c>
      <c r="AB116" s="109">
        <f t="shared" si="126"/>
        <v>714.56962500000009</v>
      </c>
      <c r="AC116" s="109">
        <f t="shared" ref="AC116:AC120" si="134">SUM(AA116:AB116)</f>
        <v>799.96462500000007</v>
      </c>
      <c r="AD116" s="27">
        <f t="shared" si="128"/>
        <v>9.7886250000000015</v>
      </c>
      <c r="AF116" s="27">
        <f>IF(AE116&gt;0,AE116*K116,X116)</f>
        <v>105.65500000000002</v>
      </c>
    </row>
    <row r="117" spans="1:32" s="27" customFormat="1" ht="28">
      <c r="A117" s="119">
        <v>1</v>
      </c>
      <c r="B117" s="102" t="s">
        <v>188</v>
      </c>
      <c r="C117" s="105" t="s">
        <v>145</v>
      </c>
      <c r="D117" s="105" t="s">
        <v>193</v>
      </c>
      <c r="E117" s="102" t="s">
        <v>191</v>
      </c>
      <c r="F117" s="120" t="s">
        <v>161</v>
      </c>
      <c r="G117" s="122">
        <v>1</v>
      </c>
      <c r="H117" s="112">
        <v>5.88</v>
      </c>
      <c r="I117" s="123"/>
      <c r="J117" s="123">
        <v>0.31</v>
      </c>
      <c r="K117" s="113">
        <f t="shared" si="129"/>
        <v>5.57</v>
      </c>
      <c r="L117" s="106">
        <v>1.8</v>
      </c>
      <c r="M117" s="106"/>
      <c r="N117" s="107">
        <v>37</v>
      </c>
      <c r="O117" s="115">
        <v>8.5</v>
      </c>
      <c r="P117" s="124"/>
      <c r="Q117" s="38"/>
      <c r="R117" s="38"/>
      <c r="S117" s="38"/>
      <c r="T117" s="38">
        <f t="shared" si="130"/>
        <v>2.2999999999999998</v>
      </c>
      <c r="U117" s="38"/>
      <c r="V117" s="38"/>
      <c r="W117" s="38"/>
      <c r="X117" s="38">
        <f t="shared" si="125"/>
        <v>47.344999999999999</v>
      </c>
      <c r="Y117" s="116">
        <f t="shared" si="131"/>
        <v>437.33358168694855</v>
      </c>
      <c r="Z117" s="27">
        <f t="shared" si="132"/>
        <v>11.14</v>
      </c>
      <c r="AA117" s="109">
        <f t="shared" si="133"/>
        <v>38.504999999999995</v>
      </c>
      <c r="AB117" s="109">
        <f t="shared" si="126"/>
        <v>320.20537500000006</v>
      </c>
      <c r="AC117" s="109">
        <f t="shared" si="134"/>
        <v>358.71037500000006</v>
      </c>
      <c r="AD117" s="27">
        <f t="shared" si="128"/>
        <v>4.386375000000001</v>
      </c>
      <c r="AF117" s="27">
        <f t="shared" ref="AF117:AF120" si="135">IF(AE117&gt;0,AE117*K117,X117)</f>
        <v>47.344999999999999</v>
      </c>
    </row>
    <row r="118" spans="1:32" s="27" customFormat="1" ht="28">
      <c r="A118" s="119">
        <v>2</v>
      </c>
      <c r="B118" s="120" t="s">
        <v>194</v>
      </c>
      <c r="C118" s="121" t="s">
        <v>195</v>
      </c>
      <c r="D118" s="121" t="s">
        <v>196</v>
      </c>
      <c r="E118" s="102" t="s">
        <v>191</v>
      </c>
      <c r="F118" s="120" t="s">
        <v>71</v>
      </c>
      <c r="G118" s="122">
        <v>2</v>
      </c>
      <c r="H118" s="112">
        <v>15.3</v>
      </c>
      <c r="I118" s="123"/>
      <c r="J118" s="123">
        <v>0.64</v>
      </c>
      <c r="K118" s="113">
        <f t="shared" si="129"/>
        <v>14.66</v>
      </c>
      <c r="L118" s="106">
        <v>1.5</v>
      </c>
      <c r="M118" s="106"/>
      <c r="N118" s="107">
        <v>39</v>
      </c>
      <c r="O118" s="115">
        <v>8.5</v>
      </c>
      <c r="P118" s="124"/>
      <c r="Q118" s="38"/>
      <c r="R118" s="38"/>
      <c r="S118" s="38"/>
      <c r="T118" s="38">
        <f>G118*2.3</f>
        <v>4.5999999999999996</v>
      </c>
      <c r="U118" s="38"/>
      <c r="V118" s="38"/>
      <c r="W118" s="38"/>
      <c r="X118" s="38">
        <f t="shared" si="125"/>
        <v>124.61</v>
      </c>
      <c r="Y118" s="116">
        <f t="shared" si="131"/>
        <v>1151.043143183243</v>
      </c>
      <c r="Z118" s="27">
        <f t="shared" si="132"/>
        <v>29.32</v>
      </c>
      <c r="AA118" s="109">
        <f t="shared" si="133"/>
        <v>99.890000000000015</v>
      </c>
      <c r="AB118" s="109">
        <f t="shared" si="126"/>
        <v>842.76675000000012</v>
      </c>
      <c r="AC118" s="109">
        <f t="shared" si="134"/>
        <v>942.6567500000001</v>
      </c>
      <c r="AD118" s="27">
        <f t="shared" si="128"/>
        <v>11.544750000000002</v>
      </c>
      <c r="AF118" s="27">
        <f t="shared" si="135"/>
        <v>124.61</v>
      </c>
    </row>
    <row r="119" spans="1:32" s="27" customFormat="1" ht="28">
      <c r="A119" s="119">
        <v>2</v>
      </c>
      <c r="B119" s="120" t="s">
        <v>194</v>
      </c>
      <c r="C119" s="121" t="s">
        <v>195</v>
      </c>
      <c r="D119" s="121" t="s">
        <v>196</v>
      </c>
      <c r="E119" s="102" t="s">
        <v>191</v>
      </c>
      <c r="F119" s="120" t="s">
        <v>72</v>
      </c>
      <c r="G119" s="122">
        <v>2</v>
      </c>
      <c r="H119" s="112">
        <v>15.96</v>
      </c>
      <c r="I119" s="123"/>
      <c r="J119" s="123">
        <v>0.64</v>
      </c>
      <c r="K119" s="113">
        <f t="shared" si="129"/>
        <v>15.32</v>
      </c>
      <c r="L119" s="106">
        <v>1.5</v>
      </c>
      <c r="M119" s="106"/>
      <c r="N119" s="107">
        <v>39</v>
      </c>
      <c r="O119" s="115">
        <v>8.5</v>
      </c>
      <c r="P119" s="124"/>
      <c r="Q119" s="38"/>
      <c r="R119" s="38"/>
      <c r="S119" s="38"/>
      <c r="T119" s="38">
        <f t="shared" ref="T119:T120" si="136">G119*2.3</f>
        <v>4.5999999999999996</v>
      </c>
      <c r="U119" s="38"/>
      <c r="V119" s="38"/>
      <c r="W119" s="38"/>
      <c r="X119" s="38">
        <f t="shared" si="125"/>
        <v>130.22</v>
      </c>
      <c r="Y119" s="116">
        <f t="shared" si="131"/>
        <v>1202.8636393974957</v>
      </c>
      <c r="Z119" s="27">
        <f t="shared" si="132"/>
        <v>30.64</v>
      </c>
      <c r="AA119" s="109">
        <f t="shared" si="133"/>
        <v>104.17999999999999</v>
      </c>
      <c r="AB119" s="109">
        <f t="shared" si="126"/>
        <v>880.70850000000019</v>
      </c>
      <c r="AC119" s="109">
        <f t="shared" si="134"/>
        <v>984.88850000000014</v>
      </c>
      <c r="AD119" s="27">
        <f t="shared" si="128"/>
        <v>12.064500000000002</v>
      </c>
      <c r="AF119" s="27">
        <f t="shared" si="135"/>
        <v>130.22</v>
      </c>
    </row>
    <row r="120" spans="1:32" s="27" customFormat="1" ht="28.5" thickBot="1">
      <c r="A120" s="119">
        <v>2</v>
      </c>
      <c r="B120" s="120" t="s">
        <v>194</v>
      </c>
      <c r="C120" s="121" t="s">
        <v>195</v>
      </c>
      <c r="D120" s="121" t="s">
        <v>196</v>
      </c>
      <c r="E120" s="102" t="s">
        <v>191</v>
      </c>
      <c r="F120" s="102" t="s">
        <v>161</v>
      </c>
      <c r="G120" s="104">
        <v>2</v>
      </c>
      <c r="H120" s="112">
        <v>15.64</v>
      </c>
      <c r="I120" s="112"/>
      <c r="J120" s="112">
        <v>0.64</v>
      </c>
      <c r="K120" s="113">
        <f t="shared" si="129"/>
        <v>15</v>
      </c>
      <c r="L120" s="106">
        <v>1.5</v>
      </c>
      <c r="M120" s="106"/>
      <c r="N120" s="107">
        <v>39</v>
      </c>
      <c r="O120" s="115">
        <v>8.5</v>
      </c>
      <c r="P120" s="124"/>
      <c r="Q120" s="38"/>
      <c r="R120" s="38"/>
      <c r="S120" s="38"/>
      <c r="T120" s="38">
        <f t="shared" si="136"/>
        <v>4.5999999999999996</v>
      </c>
      <c r="U120" s="38"/>
      <c r="V120" s="38"/>
      <c r="W120" s="38"/>
      <c r="X120" s="38">
        <f t="shared" si="125"/>
        <v>127.5</v>
      </c>
      <c r="Y120" s="116">
        <f t="shared" si="131"/>
        <v>1177.7385503239188</v>
      </c>
      <c r="Z120" s="27">
        <f t="shared" si="132"/>
        <v>30</v>
      </c>
      <c r="AA120" s="109">
        <f t="shared" si="133"/>
        <v>102.1</v>
      </c>
      <c r="AB120" s="109">
        <f t="shared" si="126"/>
        <v>862.31250000000011</v>
      </c>
      <c r="AC120" s="109">
        <f t="shared" si="134"/>
        <v>964.41250000000014</v>
      </c>
      <c r="AD120" s="27">
        <f t="shared" si="128"/>
        <v>11.812500000000002</v>
      </c>
      <c r="AF120" s="27">
        <f t="shared" si="135"/>
        <v>127.5</v>
      </c>
    </row>
    <row r="121" spans="1:32" s="28" customFormat="1" ht="16" customHeight="1">
      <c r="A121" s="94" t="s">
        <v>61</v>
      </c>
      <c r="B121" s="72"/>
      <c r="C121" s="72"/>
      <c r="D121" s="72"/>
      <c r="E121" s="72"/>
      <c r="F121" s="72"/>
      <c r="G121" s="73">
        <f>SUM(G115:G120)</f>
        <v>10</v>
      </c>
      <c r="H121" s="114"/>
      <c r="I121" s="114"/>
      <c r="J121" s="114"/>
      <c r="K121" s="114">
        <f>SUM(K115:K120)</f>
        <v>68.849999999999994</v>
      </c>
      <c r="L121" s="74"/>
      <c r="M121" s="74"/>
      <c r="N121" s="74"/>
      <c r="O121" s="75"/>
      <c r="P121" s="125">
        <f t="shared" ref="P121:Y121" si="137">SUM(P115:P120)</f>
        <v>0</v>
      </c>
      <c r="Q121" s="76">
        <f t="shared" si="137"/>
        <v>0</v>
      </c>
      <c r="R121" s="76">
        <f t="shared" si="137"/>
        <v>0</v>
      </c>
      <c r="S121" s="76">
        <f t="shared" si="137"/>
        <v>0</v>
      </c>
      <c r="T121" s="76">
        <f t="shared" si="137"/>
        <v>23</v>
      </c>
      <c r="U121" s="76">
        <f t="shared" si="137"/>
        <v>0</v>
      </c>
      <c r="V121" s="76">
        <f t="shared" si="137"/>
        <v>0</v>
      </c>
      <c r="W121" s="76">
        <f t="shared" si="137"/>
        <v>0</v>
      </c>
      <c r="X121" s="76">
        <f t="shared" si="137"/>
        <v>585.22500000000002</v>
      </c>
      <c r="Y121" s="117">
        <f t="shared" si="137"/>
        <v>5405.8199459867865</v>
      </c>
      <c r="AA121" s="110"/>
      <c r="AB121" s="110"/>
      <c r="AC121" s="110"/>
      <c r="AD121" s="110"/>
    </row>
    <row r="122" spans="1:32" ht="16" customHeight="1">
      <c r="A122" s="56" t="s">
        <v>74</v>
      </c>
      <c r="K122" s="51"/>
      <c r="L122" s="51"/>
      <c r="M122" s="51"/>
      <c r="N122" s="51"/>
      <c r="W122" s="52"/>
      <c r="X122" s="91" t="s">
        <v>173</v>
      </c>
      <c r="Y122" s="101">
        <f>1.01*3070.4</f>
        <v>3101.1040000000003</v>
      </c>
    </row>
    <row r="123" spans="1:32" s="100" customFormat="1" ht="28">
      <c r="A123" s="95" t="s">
        <v>62</v>
      </c>
      <c r="B123" s="96" t="s">
        <v>4</v>
      </c>
      <c r="C123" s="96" t="s">
        <v>23</v>
      </c>
      <c r="D123" s="96" t="s">
        <v>45</v>
      </c>
      <c r="E123" s="96" t="s">
        <v>46</v>
      </c>
      <c r="F123" s="96" t="s">
        <v>5</v>
      </c>
      <c r="G123" s="96" t="s">
        <v>6</v>
      </c>
      <c r="H123" s="97" t="s">
        <v>7</v>
      </c>
      <c r="I123" s="97" t="s">
        <v>47</v>
      </c>
      <c r="J123" s="97" t="s">
        <v>8</v>
      </c>
      <c r="K123" s="98" t="s">
        <v>13</v>
      </c>
      <c r="L123" s="98" t="s">
        <v>19</v>
      </c>
      <c r="M123" s="98" t="s">
        <v>22</v>
      </c>
      <c r="N123" s="98" t="s">
        <v>20</v>
      </c>
      <c r="O123" s="99" t="s">
        <v>9</v>
      </c>
      <c r="P123" s="99" t="s">
        <v>49</v>
      </c>
      <c r="Q123" s="48" t="s">
        <v>70</v>
      </c>
      <c r="R123" s="48" t="s">
        <v>53</v>
      </c>
      <c r="S123" s="48" t="s">
        <v>65</v>
      </c>
      <c r="T123" s="48" t="s">
        <v>12</v>
      </c>
      <c r="U123" s="48" t="s">
        <v>51</v>
      </c>
      <c r="V123" s="48" t="s">
        <v>48</v>
      </c>
      <c r="W123" s="48" t="s">
        <v>14</v>
      </c>
      <c r="X123" s="53" t="s">
        <v>11</v>
      </c>
      <c r="Y123" s="53" t="s">
        <v>21</v>
      </c>
    </row>
    <row r="124" spans="1:32" s="27" customFormat="1" ht="28.5" thickBot="1">
      <c r="A124" s="103" t="s">
        <v>197</v>
      </c>
      <c r="B124" s="102" t="s">
        <v>198</v>
      </c>
      <c r="C124" s="105" t="s">
        <v>126</v>
      </c>
      <c r="D124" s="105" t="s">
        <v>199</v>
      </c>
      <c r="E124" s="102" t="s">
        <v>200</v>
      </c>
      <c r="F124" s="102" t="s">
        <v>67</v>
      </c>
      <c r="G124" s="104">
        <v>1</v>
      </c>
      <c r="H124" s="112">
        <v>17.739999999999998</v>
      </c>
      <c r="I124" s="112"/>
      <c r="J124" s="112">
        <v>0.54</v>
      </c>
      <c r="K124" s="113">
        <f>H124-I124-J124</f>
        <v>17.2</v>
      </c>
      <c r="L124" s="106">
        <v>4</v>
      </c>
      <c r="M124" s="106"/>
      <c r="N124" s="107">
        <v>20</v>
      </c>
      <c r="O124" s="115">
        <v>10.5</v>
      </c>
      <c r="P124" s="124"/>
      <c r="Q124" s="38"/>
      <c r="R124" s="38"/>
      <c r="S124" s="38"/>
      <c r="T124" s="38">
        <f>G124*2.4</f>
        <v>2.4</v>
      </c>
      <c r="U124" s="38"/>
      <c r="V124" s="38"/>
      <c r="W124" s="38"/>
      <c r="X124" s="38">
        <f t="shared" ref="X124" si="138">K124*O124</f>
        <v>180.6</v>
      </c>
      <c r="Y124" s="116">
        <f>$Y$122/31.1035*K124*IF(LEFT(F124,3)="10K",0.417*1.07,IF(LEFT(F124,3)="14K",0.585*1.05,IF(LEFT(F124,3)="18K",0.75*1.05,0)))</f>
        <v>1053.3693594097126</v>
      </c>
      <c r="Z124" s="27">
        <f>2*K124</f>
        <v>34.4</v>
      </c>
      <c r="AA124" s="109">
        <f>(SUM(Q124:W124)+AF124)-Z124</f>
        <v>148.6</v>
      </c>
      <c r="AB124" s="109">
        <f>AD124*$AB$13+P124*$AB$14</f>
        <v>771.25229999999999</v>
      </c>
      <c r="AC124" s="109">
        <f t="shared" ref="AC124" si="139">SUM(AA124:AB124)</f>
        <v>919.85230000000001</v>
      </c>
      <c r="AD124" s="27">
        <f t="shared" ref="AD124" si="140">K124*IF(LEFT(F124,3)="10K",0.417*1.07,IF(LEFT(F124,3)="14K",0.585*1.05,IF(LEFT(F124,3)="18K",0.75*1.05,0)))</f>
        <v>10.565099999999999</v>
      </c>
      <c r="AF124" s="27">
        <f>IF(AE124&gt;0,AE124*K124,X124)</f>
        <v>180.6</v>
      </c>
    </row>
    <row r="125" spans="1:32" s="28" customFormat="1" ht="16" customHeight="1">
      <c r="A125" s="94" t="s">
        <v>61</v>
      </c>
      <c r="B125" s="72"/>
      <c r="C125" s="72"/>
      <c r="D125" s="72"/>
      <c r="E125" s="72"/>
      <c r="F125" s="72"/>
      <c r="G125" s="73">
        <f>SUM(G124:G124)</f>
        <v>1</v>
      </c>
      <c r="H125" s="114"/>
      <c r="I125" s="114"/>
      <c r="J125" s="114"/>
      <c r="K125" s="114">
        <f>SUM(K124:K124)</f>
        <v>17.2</v>
      </c>
      <c r="L125" s="74"/>
      <c r="M125" s="74"/>
      <c r="N125" s="74"/>
      <c r="O125" s="75"/>
      <c r="P125" s="125">
        <f t="shared" ref="P125:Y125" si="141">SUM(P124:P124)</f>
        <v>0</v>
      </c>
      <c r="Q125" s="76">
        <f t="shared" si="141"/>
        <v>0</v>
      </c>
      <c r="R125" s="76">
        <f t="shared" si="141"/>
        <v>0</v>
      </c>
      <c r="S125" s="76">
        <f t="shared" si="141"/>
        <v>0</v>
      </c>
      <c r="T125" s="76">
        <f t="shared" si="141"/>
        <v>2.4</v>
      </c>
      <c r="U125" s="76">
        <f t="shared" si="141"/>
        <v>0</v>
      </c>
      <c r="V125" s="76">
        <f t="shared" si="141"/>
        <v>0</v>
      </c>
      <c r="W125" s="76">
        <f t="shared" si="141"/>
        <v>0</v>
      </c>
      <c r="X125" s="76">
        <f t="shared" si="141"/>
        <v>180.6</v>
      </c>
      <c r="Y125" s="117">
        <f t="shared" si="141"/>
        <v>1053.3693594097126</v>
      </c>
      <c r="AA125" s="110"/>
      <c r="AB125" s="110"/>
      <c r="AC125" s="110"/>
      <c r="AD125" s="110"/>
    </row>
    <row r="126" spans="1:32" ht="16" customHeight="1">
      <c r="A126" s="56" t="s">
        <v>74</v>
      </c>
      <c r="K126" s="51"/>
      <c r="L126" s="51"/>
      <c r="M126" s="51"/>
      <c r="N126" s="51"/>
      <c r="W126" s="52"/>
      <c r="X126" s="91" t="s">
        <v>201</v>
      </c>
      <c r="Y126" s="101">
        <f>3120.2*1.01</f>
        <v>3151.402</v>
      </c>
    </row>
    <row r="127" spans="1:32" s="100" customFormat="1" ht="28" customHeight="1">
      <c r="A127" s="95" t="s">
        <v>62</v>
      </c>
      <c r="B127" s="96" t="s">
        <v>4</v>
      </c>
      <c r="C127" s="96" t="s">
        <v>23</v>
      </c>
      <c r="D127" s="96" t="s">
        <v>45</v>
      </c>
      <c r="E127" s="96" t="s">
        <v>46</v>
      </c>
      <c r="F127" s="96" t="s">
        <v>5</v>
      </c>
      <c r="G127" s="96" t="s">
        <v>6</v>
      </c>
      <c r="H127" s="97" t="s">
        <v>7</v>
      </c>
      <c r="I127" s="97" t="s">
        <v>47</v>
      </c>
      <c r="J127" s="97" t="s">
        <v>8</v>
      </c>
      <c r="K127" s="98" t="s">
        <v>13</v>
      </c>
      <c r="L127" s="98" t="s">
        <v>19</v>
      </c>
      <c r="M127" s="98" t="s">
        <v>22</v>
      </c>
      <c r="N127" s="98" t="s">
        <v>20</v>
      </c>
      <c r="O127" s="99" t="s">
        <v>9</v>
      </c>
      <c r="P127" s="99" t="s">
        <v>49</v>
      </c>
      <c r="Q127" s="48" t="s">
        <v>70</v>
      </c>
      <c r="R127" s="48" t="s">
        <v>53</v>
      </c>
      <c r="S127" s="48" t="s">
        <v>65</v>
      </c>
      <c r="T127" s="48" t="s">
        <v>12</v>
      </c>
      <c r="U127" s="48" t="s">
        <v>51</v>
      </c>
      <c r="V127" s="48" t="s">
        <v>48</v>
      </c>
      <c r="W127" s="48" t="s">
        <v>14</v>
      </c>
      <c r="X127" s="53" t="s">
        <v>11</v>
      </c>
      <c r="Y127" s="53" t="s">
        <v>21</v>
      </c>
    </row>
    <row r="128" spans="1:32" s="27" customFormat="1" ht="28.5" thickBot="1">
      <c r="A128" s="103" t="s">
        <v>202</v>
      </c>
      <c r="B128" s="102" t="s">
        <v>203</v>
      </c>
      <c r="C128" s="105" t="s">
        <v>145</v>
      </c>
      <c r="D128" s="105" t="s">
        <v>204</v>
      </c>
      <c r="E128" s="102" t="s">
        <v>205</v>
      </c>
      <c r="F128" s="102" t="s">
        <v>127</v>
      </c>
      <c r="G128" s="104">
        <v>1</v>
      </c>
      <c r="H128" s="135">
        <v>6.04</v>
      </c>
      <c r="I128" s="135"/>
      <c r="J128" s="135">
        <v>0.38</v>
      </c>
      <c r="K128" s="137">
        <f>H128-I128-J128</f>
        <v>5.66</v>
      </c>
      <c r="L128" s="106">
        <v>1.8</v>
      </c>
      <c r="M128" s="106"/>
      <c r="N128" s="107">
        <v>37</v>
      </c>
      <c r="O128" s="115">
        <v>10.5</v>
      </c>
      <c r="P128" s="124"/>
      <c r="Q128" s="38"/>
      <c r="R128" s="38"/>
      <c r="S128" s="38"/>
      <c r="T128" s="38">
        <f>G128*2.4</f>
        <v>2.4</v>
      </c>
      <c r="U128" s="38"/>
      <c r="V128" s="38"/>
      <c r="W128" s="38"/>
      <c r="X128" s="38">
        <f t="shared" ref="X128" si="142">K128*O128</f>
        <v>59.43</v>
      </c>
      <c r="Y128" s="116">
        <f>$Y$126/31.1035*K128*IF(LEFT(F128,3)="10K",0.417*1.07,IF(LEFT(F128,3)="14K",0.585*1.05,IF(LEFT(F128,3)="18K",0.75*1.05,0)))</f>
        <v>352.25416819039657</v>
      </c>
      <c r="Z128" s="27">
        <f>2*K128</f>
        <v>11.32</v>
      </c>
      <c r="AA128" s="109">
        <f>(SUM(Q128:W128)+AF128)-Z128</f>
        <v>50.51</v>
      </c>
      <c r="AB128" s="109">
        <f>AD128*$AB$13+P128*$AB$14</f>
        <v>253.795815</v>
      </c>
      <c r="AC128" s="109">
        <f t="shared" ref="AC128" si="143">SUM(AA128:AB128)</f>
        <v>304.305815</v>
      </c>
      <c r="AD128" s="27">
        <f t="shared" ref="AD128" si="144">K128*IF(LEFT(F128,3)="10K",0.417*1.07,IF(LEFT(F128,3)="14K",0.585*1.05,IF(LEFT(F128,3)="18K",0.75*1.05,0)))</f>
        <v>3.4766550000000001</v>
      </c>
      <c r="AF128" s="27">
        <f>IF(AE128&gt;0,AE128*K128,X128)</f>
        <v>59.43</v>
      </c>
    </row>
    <row r="129" spans="1:32" s="28" customFormat="1" ht="16" customHeight="1">
      <c r="A129" s="94" t="s">
        <v>61</v>
      </c>
      <c r="B129" s="72"/>
      <c r="C129" s="72"/>
      <c r="D129" s="72"/>
      <c r="E129" s="72"/>
      <c r="F129" s="72"/>
      <c r="G129" s="73">
        <f>SUM(G128:G128)</f>
        <v>1</v>
      </c>
      <c r="H129" s="138"/>
      <c r="I129" s="138"/>
      <c r="J129" s="138"/>
      <c r="K129" s="138">
        <f>SUM(K128:K128)</f>
        <v>5.66</v>
      </c>
      <c r="L129" s="74"/>
      <c r="M129" s="74"/>
      <c r="N129" s="74"/>
      <c r="O129" s="75"/>
      <c r="P129" s="125">
        <f t="shared" ref="P129:Y129" si="145">SUM(P128:P128)</f>
        <v>0</v>
      </c>
      <c r="Q129" s="76">
        <f t="shared" si="145"/>
        <v>0</v>
      </c>
      <c r="R129" s="76">
        <f t="shared" si="145"/>
        <v>0</v>
      </c>
      <c r="S129" s="76">
        <f t="shared" si="145"/>
        <v>0</v>
      </c>
      <c r="T129" s="76">
        <f t="shared" si="145"/>
        <v>2.4</v>
      </c>
      <c r="U129" s="76">
        <f t="shared" si="145"/>
        <v>0</v>
      </c>
      <c r="V129" s="76">
        <f t="shared" si="145"/>
        <v>0</v>
      </c>
      <c r="W129" s="76">
        <f t="shared" si="145"/>
        <v>0</v>
      </c>
      <c r="X129" s="76">
        <f t="shared" si="145"/>
        <v>59.43</v>
      </c>
      <c r="Y129" s="117">
        <f t="shared" si="145"/>
        <v>352.25416819039657</v>
      </c>
      <c r="AA129" s="110"/>
      <c r="AB129" s="110"/>
      <c r="AC129" s="110"/>
      <c r="AD129" s="110"/>
    </row>
    <row r="130" spans="1:32" ht="16" customHeight="1">
      <c r="A130" s="56" t="s">
        <v>74</v>
      </c>
      <c r="K130" s="51"/>
      <c r="L130" s="51"/>
      <c r="M130" s="51"/>
      <c r="N130" s="51"/>
      <c r="W130" s="52"/>
      <c r="X130" s="91" t="s">
        <v>206</v>
      </c>
      <c r="Y130" s="101">
        <f>1.01*3131.5</f>
        <v>3162.8150000000001</v>
      </c>
    </row>
    <row r="131" spans="1:32" s="100" customFormat="1" ht="28">
      <c r="A131" s="95" t="s">
        <v>62</v>
      </c>
      <c r="B131" s="96" t="s">
        <v>4</v>
      </c>
      <c r="C131" s="96" t="s">
        <v>23</v>
      </c>
      <c r="D131" s="96" t="s">
        <v>45</v>
      </c>
      <c r="E131" s="96" t="s">
        <v>46</v>
      </c>
      <c r="F131" s="96" t="s">
        <v>5</v>
      </c>
      <c r="G131" s="96" t="s">
        <v>6</v>
      </c>
      <c r="H131" s="97" t="s">
        <v>7</v>
      </c>
      <c r="I131" s="97" t="s">
        <v>47</v>
      </c>
      <c r="J131" s="97" t="s">
        <v>8</v>
      </c>
      <c r="K131" s="98" t="s">
        <v>13</v>
      </c>
      <c r="L131" s="98" t="s">
        <v>19</v>
      </c>
      <c r="M131" s="98" t="s">
        <v>22</v>
      </c>
      <c r="N131" s="98" t="s">
        <v>20</v>
      </c>
      <c r="O131" s="99" t="s">
        <v>9</v>
      </c>
      <c r="P131" s="99" t="s">
        <v>49</v>
      </c>
      <c r="Q131" s="48" t="s">
        <v>70</v>
      </c>
      <c r="R131" s="48" t="s">
        <v>53</v>
      </c>
      <c r="S131" s="48" t="s">
        <v>65</v>
      </c>
      <c r="T131" s="48" t="s">
        <v>12</v>
      </c>
      <c r="U131" s="48" t="s">
        <v>51</v>
      </c>
      <c r="V131" s="48" t="s">
        <v>48</v>
      </c>
      <c r="W131" s="48" t="s">
        <v>14</v>
      </c>
      <c r="X131" s="53" t="s">
        <v>11</v>
      </c>
      <c r="Y131" s="53" t="s">
        <v>21</v>
      </c>
    </row>
    <row r="132" spans="1:32" s="27" customFormat="1" ht="28">
      <c r="A132" s="103" t="s">
        <v>207</v>
      </c>
      <c r="B132" s="102" t="s">
        <v>208</v>
      </c>
      <c r="C132" s="105" t="s">
        <v>209</v>
      </c>
      <c r="D132" s="105" t="s">
        <v>210</v>
      </c>
      <c r="E132" s="102" t="s">
        <v>211</v>
      </c>
      <c r="F132" s="102" t="s">
        <v>67</v>
      </c>
      <c r="G132" s="104">
        <v>1</v>
      </c>
      <c r="H132" s="112">
        <v>4.42</v>
      </c>
      <c r="I132" s="112"/>
      <c r="J132" s="112">
        <v>0.26</v>
      </c>
      <c r="K132" s="113">
        <f>H132-I132-J132</f>
        <v>4.16</v>
      </c>
      <c r="L132" s="106">
        <v>1.5</v>
      </c>
      <c r="M132" s="106"/>
      <c r="N132" s="107">
        <v>81</v>
      </c>
      <c r="O132" s="115">
        <v>10.5</v>
      </c>
      <c r="P132" s="124"/>
      <c r="Q132" s="38"/>
      <c r="R132" s="38"/>
      <c r="S132" s="38"/>
      <c r="T132" s="38">
        <f>G132*2.4</f>
        <v>2.4</v>
      </c>
      <c r="U132" s="38"/>
      <c r="V132" s="38"/>
      <c r="W132" s="38"/>
      <c r="X132" s="38">
        <f t="shared" ref="X132:X133" si="146">K132*O132</f>
        <v>43.68</v>
      </c>
      <c r="Y132" s="116">
        <f>$Y$130/31.1035*K132*IF(LEFT(F132,3)="10K",0.417*1.07,IF(LEFT(F132,3)="14K",0.585*1.05,IF(LEFT(F132,3)="18K",0.75*1.05,0)))</f>
        <v>259.83821477325699</v>
      </c>
      <c r="Z132" s="27">
        <f>2*K132</f>
        <v>8.32</v>
      </c>
      <c r="AA132" s="109">
        <f>(SUM(Q132:W132)+AF132)-Z132</f>
        <v>37.76</v>
      </c>
      <c r="AB132" s="109">
        <f>AD132*$AB$13+P132*$AB$14</f>
        <v>186.53543999999999</v>
      </c>
      <c r="AC132" s="109">
        <f t="shared" ref="AC132" si="147">SUM(AA132:AB132)</f>
        <v>224.29543999999999</v>
      </c>
      <c r="AD132" s="27">
        <f t="shared" ref="AD132:AD133" si="148">K132*IF(LEFT(F132,3)="10K",0.417*1.07,IF(LEFT(F132,3)="14K",0.585*1.05,IF(LEFT(F132,3)="18K",0.75*1.05,0)))</f>
        <v>2.5552799999999998</v>
      </c>
      <c r="AF132" s="27">
        <f>IF(AE132&gt;0,AE132*K132,X132)</f>
        <v>43.68</v>
      </c>
    </row>
    <row r="133" spans="1:32" s="27" customFormat="1" ht="28.5" thickBot="1">
      <c r="A133" s="119">
        <v>2</v>
      </c>
      <c r="B133" s="120" t="s">
        <v>212</v>
      </c>
      <c r="C133" s="121" t="s">
        <v>209</v>
      </c>
      <c r="D133" s="121" t="s">
        <v>210</v>
      </c>
      <c r="E133" s="120" t="s">
        <v>211</v>
      </c>
      <c r="F133" s="102" t="s">
        <v>67</v>
      </c>
      <c r="G133" s="122">
        <v>1</v>
      </c>
      <c r="H133" s="112">
        <v>5.0999999999999996</v>
      </c>
      <c r="I133" s="123"/>
      <c r="J133" s="123">
        <v>0.27</v>
      </c>
      <c r="K133" s="113">
        <f t="shared" ref="K133" si="149">H133-I133-J133</f>
        <v>4.83</v>
      </c>
      <c r="L133" s="106">
        <v>1.5</v>
      </c>
      <c r="M133" s="106"/>
      <c r="N133" s="107">
        <v>84</v>
      </c>
      <c r="O133" s="115">
        <v>10.5</v>
      </c>
      <c r="P133" s="124"/>
      <c r="Q133" s="38"/>
      <c r="R133" s="38"/>
      <c r="S133" s="38"/>
      <c r="T133" s="38">
        <f>G133*2.4</f>
        <v>2.4</v>
      </c>
      <c r="U133" s="38"/>
      <c r="V133" s="38"/>
      <c r="W133" s="38"/>
      <c r="X133" s="38">
        <f t="shared" si="146"/>
        <v>50.715000000000003</v>
      </c>
      <c r="Y133" s="116">
        <f>$Y$130/31.1035*K133*IF(LEFT(F133,3)="10K",0.417*1.07,IF(LEFT(F133,3)="14K",0.585*1.05,IF(LEFT(F133,3)="18K",0.75*1.05,0)))</f>
        <v>301.68715801798828</v>
      </c>
      <c r="Z133" s="27">
        <f t="shared" ref="Z133" si="150">2*K133</f>
        <v>9.66</v>
      </c>
      <c r="AA133" s="109">
        <f t="shared" ref="AA133" si="151">(SUM(Q133:W133)+AF133)-Z133</f>
        <v>43.454999999999998</v>
      </c>
      <c r="AB133" s="109">
        <f>AD133*$AB$13+P133*$AB$14</f>
        <v>216.5784075</v>
      </c>
      <c r="AC133" s="109">
        <f t="shared" ref="AC133" si="152">SUM(AA133:AB133)</f>
        <v>260.03340750000001</v>
      </c>
      <c r="AD133" s="27">
        <f t="shared" si="148"/>
        <v>2.9668275</v>
      </c>
      <c r="AF133" s="27">
        <f>IF(AE133&gt;0,AE133*K133,X133)</f>
        <v>50.715000000000003</v>
      </c>
    </row>
    <row r="134" spans="1:32" s="28" customFormat="1" ht="16" customHeight="1">
      <c r="A134" s="94" t="s">
        <v>61</v>
      </c>
      <c r="B134" s="72"/>
      <c r="C134" s="72"/>
      <c r="D134" s="72"/>
      <c r="E134" s="72"/>
      <c r="F134" s="72"/>
      <c r="G134" s="73">
        <f>SUM(G132:G133)</f>
        <v>2</v>
      </c>
      <c r="H134" s="114"/>
      <c r="I134" s="114"/>
      <c r="J134" s="114"/>
      <c r="K134" s="114">
        <f>SUM(K132:K133)</f>
        <v>8.99</v>
      </c>
      <c r="L134" s="74"/>
      <c r="M134" s="74"/>
      <c r="N134" s="74"/>
      <c r="O134" s="75"/>
      <c r="P134" s="125">
        <f t="shared" ref="P134:Y134" si="153">SUM(P132:P133)</f>
        <v>0</v>
      </c>
      <c r="Q134" s="76">
        <f t="shared" si="153"/>
        <v>0</v>
      </c>
      <c r="R134" s="76">
        <f t="shared" si="153"/>
        <v>0</v>
      </c>
      <c r="S134" s="76">
        <f t="shared" si="153"/>
        <v>0</v>
      </c>
      <c r="T134" s="76">
        <f t="shared" si="153"/>
        <v>4.8</v>
      </c>
      <c r="U134" s="76">
        <f t="shared" si="153"/>
        <v>0</v>
      </c>
      <c r="V134" s="76">
        <f t="shared" si="153"/>
        <v>0</v>
      </c>
      <c r="W134" s="76">
        <f t="shared" si="153"/>
        <v>0</v>
      </c>
      <c r="X134" s="76">
        <f t="shared" si="153"/>
        <v>94.39500000000001</v>
      </c>
      <c r="Y134" s="117">
        <f t="shared" si="153"/>
        <v>561.52537279124522</v>
      </c>
      <c r="AA134" s="110"/>
      <c r="AB134" s="110"/>
      <c r="AC134" s="110"/>
      <c r="AD134" s="110"/>
    </row>
    <row r="135" spans="1:32" ht="16" customHeight="1">
      <c r="A135" s="56" t="s">
        <v>74</v>
      </c>
      <c r="K135" s="51"/>
      <c r="L135" s="51"/>
      <c r="M135" s="51"/>
      <c r="N135" s="51"/>
      <c r="W135" s="52"/>
      <c r="X135" s="91" t="s">
        <v>213</v>
      </c>
      <c r="Y135" s="101">
        <f>1.01*3128.15</f>
        <v>3159.4315000000001</v>
      </c>
    </row>
    <row r="136" spans="1:32" s="100" customFormat="1" ht="28">
      <c r="A136" s="95" t="s">
        <v>62</v>
      </c>
      <c r="B136" s="96" t="s">
        <v>4</v>
      </c>
      <c r="C136" s="96" t="s">
        <v>23</v>
      </c>
      <c r="D136" s="96" t="s">
        <v>45</v>
      </c>
      <c r="E136" s="96" t="s">
        <v>46</v>
      </c>
      <c r="F136" s="96" t="s">
        <v>5</v>
      </c>
      <c r="G136" s="96" t="s">
        <v>6</v>
      </c>
      <c r="H136" s="97" t="s">
        <v>7</v>
      </c>
      <c r="I136" s="97" t="s">
        <v>47</v>
      </c>
      <c r="J136" s="97" t="s">
        <v>8</v>
      </c>
      <c r="K136" s="98" t="s">
        <v>13</v>
      </c>
      <c r="L136" s="98" t="s">
        <v>19</v>
      </c>
      <c r="M136" s="98" t="s">
        <v>22</v>
      </c>
      <c r="N136" s="98" t="s">
        <v>20</v>
      </c>
      <c r="O136" s="99" t="s">
        <v>9</v>
      </c>
      <c r="P136" s="99" t="s">
        <v>49</v>
      </c>
      <c r="Q136" s="48" t="s">
        <v>70</v>
      </c>
      <c r="R136" s="48" t="s">
        <v>53</v>
      </c>
      <c r="S136" s="48" t="s">
        <v>65</v>
      </c>
      <c r="T136" s="48" t="s">
        <v>12</v>
      </c>
      <c r="U136" s="48" t="s">
        <v>51</v>
      </c>
      <c r="V136" s="48" t="s">
        <v>48</v>
      </c>
      <c r="W136" s="48" t="s">
        <v>14</v>
      </c>
      <c r="X136" s="53" t="s">
        <v>11</v>
      </c>
      <c r="Y136" s="53" t="s">
        <v>21</v>
      </c>
    </row>
    <row r="137" spans="1:32" s="27" customFormat="1" ht="28.5" thickBot="1">
      <c r="A137" s="103" t="s">
        <v>214</v>
      </c>
      <c r="B137" s="102" t="s">
        <v>215</v>
      </c>
      <c r="C137" s="105" t="s">
        <v>216</v>
      </c>
      <c r="D137" s="105" t="s">
        <v>217</v>
      </c>
      <c r="E137" s="102" t="s">
        <v>218</v>
      </c>
      <c r="F137" s="102" t="s">
        <v>68</v>
      </c>
      <c r="G137" s="104">
        <v>1</v>
      </c>
      <c r="H137" s="112">
        <v>6.19</v>
      </c>
      <c r="I137" s="112"/>
      <c r="J137" s="112">
        <v>0.32</v>
      </c>
      <c r="K137" s="113">
        <f>H137-I137-J137</f>
        <v>5.87</v>
      </c>
      <c r="L137" s="106">
        <v>0.8</v>
      </c>
      <c r="M137" s="106"/>
      <c r="N137" s="107">
        <v>50</v>
      </c>
      <c r="O137" s="115">
        <v>10.5</v>
      </c>
      <c r="P137" s="124"/>
      <c r="Q137" s="38"/>
      <c r="R137" s="38"/>
      <c r="S137" s="38"/>
      <c r="T137" s="38">
        <f>G137*2.4</f>
        <v>2.4</v>
      </c>
      <c r="U137" s="38"/>
      <c r="V137" s="38"/>
      <c r="W137" s="38"/>
      <c r="X137" s="38">
        <f t="shared" ref="X137" si="154">K137*O137</f>
        <v>61.634999999999998</v>
      </c>
      <c r="Y137" s="116">
        <f>$Y$135/31.1035*K137*IF(LEFT(F137,3)="10K",0.417*1.07,IF(LEFT(F137,3)="14K",0.585*1.05,IF(LEFT(F137,3)="18K",0.75*1.05,0)))</f>
        <v>366.2544822735785</v>
      </c>
      <c r="Z137" s="27">
        <f>2*K137</f>
        <v>11.74</v>
      </c>
      <c r="AA137" s="109">
        <f>(SUM(Q137:W137)+AF137)-Z137</f>
        <v>52.294999999999995</v>
      </c>
      <c r="AB137" s="109">
        <f>AD137*$AB$13+P137*$AB$14</f>
        <v>263.2122675</v>
      </c>
      <c r="AC137" s="109">
        <f t="shared" ref="AC137" si="155">SUM(AA137:AB137)</f>
        <v>315.50726750000001</v>
      </c>
      <c r="AD137" s="27">
        <f t="shared" ref="AD137" si="156">K137*IF(LEFT(F137,3)="10K",0.417*1.07,IF(LEFT(F137,3)="14K",0.585*1.05,IF(LEFT(F137,3)="18K",0.75*1.05,0)))</f>
        <v>3.6056474999999999</v>
      </c>
      <c r="AF137" s="27">
        <f>IF(AE137&gt;0,AE137*K137,X137)</f>
        <v>61.634999999999998</v>
      </c>
    </row>
    <row r="138" spans="1:32" s="28" customFormat="1" ht="16" customHeight="1">
      <c r="A138" s="94" t="s">
        <v>61</v>
      </c>
      <c r="B138" s="72"/>
      <c r="C138" s="72"/>
      <c r="D138" s="72"/>
      <c r="E138" s="72"/>
      <c r="F138" s="72"/>
      <c r="G138" s="73">
        <f>SUM(G137:G137)</f>
        <v>1</v>
      </c>
      <c r="H138" s="114"/>
      <c r="I138" s="114"/>
      <c r="J138" s="114"/>
      <c r="K138" s="114">
        <f>SUM(K137:K137)</f>
        <v>5.87</v>
      </c>
      <c r="L138" s="74"/>
      <c r="M138" s="74"/>
      <c r="N138" s="74"/>
      <c r="O138" s="75"/>
      <c r="P138" s="125">
        <f t="shared" ref="P138:Y138" si="157">SUM(P137:P137)</f>
        <v>0</v>
      </c>
      <c r="Q138" s="76">
        <f t="shared" si="157"/>
        <v>0</v>
      </c>
      <c r="R138" s="76">
        <f t="shared" si="157"/>
        <v>0</v>
      </c>
      <c r="S138" s="76">
        <f t="shared" si="157"/>
        <v>0</v>
      </c>
      <c r="T138" s="76">
        <f t="shared" si="157"/>
        <v>2.4</v>
      </c>
      <c r="U138" s="76">
        <f t="shared" si="157"/>
        <v>0</v>
      </c>
      <c r="V138" s="76">
        <f t="shared" si="157"/>
        <v>0</v>
      </c>
      <c r="W138" s="76">
        <f t="shared" si="157"/>
        <v>0</v>
      </c>
      <c r="X138" s="76">
        <f t="shared" si="157"/>
        <v>61.634999999999998</v>
      </c>
      <c r="Y138" s="117">
        <f t="shared" si="157"/>
        <v>366.2544822735785</v>
      </c>
      <c r="AA138" s="110"/>
      <c r="AB138" s="110"/>
      <c r="AC138" s="110"/>
      <c r="AD138" s="110"/>
    </row>
    <row r="139" spans="1:32" ht="16" customHeight="1">
      <c r="A139" s="56" t="s">
        <v>74</v>
      </c>
      <c r="K139" s="51"/>
      <c r="L139" s="51"/>
      <c r="M139" s="51"/>
      <c r="N139" s="51"/>
      <c r="W139" s="52"/>
      <c r="X139" s="91" t="s">
        <v>213</v>
      </c>
      <c r="Y139" s="101">
        <f>1.01*3128.15</f>
        <v>3159.4315000000001</v>
      </c>
    </row>
    <row r="140" spans="1:32" s="100" customFormat="1" ht="28">
      <c r="A140" s="95" t="s">
        <v>62</v>
      </c>
      <c r="B140" s="96" t="s">
        <v>4</v>
      </c>
      <c r="C140" s="96" t="s">
        <v>23</v>
      </c>
      <c r="D140" s="96" t="s">
        <v>45</v>
      </c>
      <c r="E140" s="96" t="s">
        <v>46</v>
      </c>
      <c r="F140" s="96" t="s">
        <v>5</v>
      </c>
      <c r="G140" s="96" t="s">
        <v>6</v>
      </c>
      <c r="H140" s="97" t="s">
        <v>7</v>
      </c>
      <c r="I140" s="97" t="s">
        <v>47</v>
      </c>
      <c r="J140" s="97" t="s">
        <v>8</v>
      </c>
      <c r="K140" s="98" t="s">
        <v>13</v>
      </c>
      <c r="L140" s="98" t="s">
        <v>19</v>
      </c>
      <c r="M140" s="98" t="s">
        <v>22</v>
      </c>
      <c r="N140" s="98" t="s">
        <v>20</v>
      </c>
      <c r="O140" s="99" t="s">
        <v>9</v>
      </c>
      <c r="P140" s="99" t="s">
        <v>49</v>
      </c>
      <c r="Q140" s="48" t="s">
        <v>70</v>
      </c>
      <c r="R140" s="48" t="s">
        <v>53</v>
      </c>
      <c r="S140" s="48" t="s">
        <v>65</v>
      </c>
      <c r="T140" s="48" t="s">
        <v>12</v>
      </c>
      <c r="U140" s="48" t="s">
        <v>51</v>
      </c>
      <c r="V140" s="48" t="s">
        <v>48</v>
      </c>
      <c r="W140" s="48" t="s">
        <v>14</v>
      </c>
      <c r="X140" s="53" t="s">
        <v>11</v>
      </c>
      <c r="Y140" s="53" t="s">
        <v>21</v>
      </c>
    </row>
    <row r="141" spans="1:32" s="27" customFormat="1" ht="84.5" thickBot="1">
      <c r="A141" s="103" t="s">
        <v>260</v>
      </c>
      <c r="B141" s="102" t="s">
        <v>261</v>
      </c>
      <c r="C141" s="105" t="s">
        <v>262</v>
      </c>
      <c r="D141" s="105" t="s">
        <v>263</v>
      </c>
      <c r="E141" s="102" t="s">
        <v>219</v>
      </c>
      <c r="F141" s="102" t="s">
        <v>71</v>
      </c>
      <c r="G141" s="104">
        <v>1</v>
      </c>
      <c r="H141" s="112">
        <v>7.98</v>
      </c>
      <c r="I141" s="112"/>
      <c r="J141" s="112">
        <v>0.24</v>
      </c>
      <c r="K141" s="113">
        <f>H141-I141-J141</f>
        <v>7.74</v>
      </c>
      <c r="L141" s="106" t="s">
        <v>264</v>
      </c>
      <c r="M141" s="106"/>
      <c r="N141" s="107" t="s">
        <v>265</v>
      </c>
      <c r="O141" s="115">
        <v>12</v>
      </c>
      <c r="P141" s="124"/>
      <c r="Q141" s="38"/>
      <c r="R141" s="38"/>
      <c r="S141" s="38"/>
      <c r="T141" s="38">
        <f>G141*2.2</f>
        <v>2.2000000000000002</v>
      </c>
      <c r="U141" s="38"/>
      <c r="V141" s="38"/>
      <c r="W141" s="38"/>
      <c r="X141" s="38">
        <f t="shared" ref="X141" si="158">K141*O141</f>
        <v>92.88</v>
      </c>
      <c r="Y141" s="116">
        <f>$Y$139/31.1035*K141*IF(LEFT(F141,3)="10K",0.417*1.07,IF(LEFT(F141,3)="14K",0.585*1.05,IF(LEFT(F141,3)="18K",0.75*1.05,0)))</f>
        <v>619.14333918610453</v>
      </c>
      <c r="Z141" s="27">
        <f>2*K141</f>
        <v>15.48</v>
      </c>
      <c r="AA141" s="109">
        <f>(SUM(Q141:W141)+AF141)-Z141</f>
        <v>79.599999999999994</v>
      </c>
      <c r="AB141" s="109">
        <f>AD141*$AB$13+P141*$AB$14</f>
        <v>444.95325000000008</v>
      </c>
      <c r="AC141" s="109">
        <f t="shared" ref="AC141" si="159">SUM(AA141:AB141)</f>
        <v>524.55325000000005</v>
      </c>
      <c r="AD141" s="27">
        <f t="shared" ref="AD141" si="160">K141*IF(LEFT(F141,3)="10K",0.417*1.07,IF(LEFT(F141,3)="14K",0.585*1.05,IF(LEFT(F141,3)="18K",0.75*1.05,0)))</f>
        <v>6.0952500000000009</v>
      </c>
      <c r="AF141" s="27">
        <f>IF(AE141&gt;0,AE141*K141,X141)</f>
        <v>92.88</v>
      </c>
    </row>
    <row r="142" spans="1:32" s="28" customFormat="1" ht="16" customHeight="1">
      <c r="A142" s="94" t="s">
        <v>61</v>
      </c>
      <c r="B142" s="72"/>
      <c r="C142" s="72"/>
      <c r="D142" s="72"/>
      <c r="E142" s="72"/>
      <c r="F142" s="72"/>
      <c r="G142" s="73">
        <f>SUM(G141:G141)</f>
        <v>1</v>
      </c>
      <c r="H142" s="114"/>
      <c r="I142" s="114"/>
      <c r="J142" s="114"/>
      <c r="K142" s="114">
        <f>SUM(K141:K141)</f>
        <v>7.74</v>
      </c>
      <c r="L142" s="74"/>
      <c r="M142" s="74"/>
      <c r="N142" s="74"/>
      <c r="O142" s="75"/>
      <c r="P142" s="125">
        <f t="shared" ref="P142:Y142" si="161">SUM(P141:P141)</f>
        <v>0</v>
      </c>
      <c r="Q142" s="76">
        <f t="shared" si="161"/>
        <v>0</v>
      </c>
      <c r="R142" s="76">
        <f t="shared" si="161"/>
        <v>0</v>
      </c>
      <c r="S142" s="76">
        <f t="shared" si="161"/>
        <v>0</v>
      </c>
      <c r="T142" s="76">
        <f t="shared" si="161"/>
        <v>2.2000000000000002</v>
      </c>
      <c r="U142" s="76">
        <f t="shared" si="161"/>
        <v>0</v>
      </c>
      <c r="V142" s="76">
        <f t="shared" si="161"/>
        <v>0</v>
      </c>
      <c r="W142" s="76">
        <f t="shared" si="161"/>
        <v>0</v>
      </c>
      <c r="X142" s="76">
        <f t="shared" si="161"/>
        <v>92.88</v>
      </c>
      <c r="Y142" s="117">
        <f t="shared" si="161"/>
        <v>619.14333918610453</v>
      </c>
      <c r="AA142" s="110"/>
      <c r="AB142" s="110"/>
      <c r="AC142" s="110"/>
      <c r="AD142" s="110"/>
    </row>
    <row r="143" spans="1:32" ht="16" customHeight="1">
      <c r="A143" s="56" t="s">
        <v>74</v>
      </c>
      <c r="K143" s="51"/>
      <c r="L143" s="51"/>
      <c r="M143" s="51"/>
      <c r="N143" s="51"/>
      <c r="W143" s="52"/>
      <c r="X143" s="91" t="s">
        <v>220</v>
      </c>
      <c r="Y143" s="101">
        <f>3025.1*1.01</f>
        <v>3055.3510000000001</v>
      </c>
    </row>
    <row r="144" spans="1:32" s="100" customFormat="1" ht="28">
      <c r="A144" s="95" t="s">
        <v>62</v>
      </c>
      <c r="B144" s="96" t="s">
        <v>4</v>
      </c>
      <c r="C144" s="96" t="s">
        <v>23</v>
      </c>
      <c r="D144" s="96" t="s">
        <v>45</v>
      </c>
      <c r="E144" s="96" t="s">
        <v>46</v>
      </c>
      <c r="F144" s="96" t="s">
        <v>5</v>
      </c>
      <c r="G144" s="96" t="s">
        <v>6</v>
      </c>
      <c r="H144" s="97" t="s">
        <v>7</v>
      </c>
      <c r="I144" s="97" t="s">
        <v>47</v>
      </c>
      <c r="J144" s="97" t="s">
        <v>8</v>
      </c>
      <c r="K144" s="98" t="s">
        <v>13</v>
      </c>
      <c r="L144" s="98" t="s">
        <v>19</v>
      </c>
      <c r="M144" s="98" t="s">
        <v>22</v>
      </c>
      <c r="N144" s="98" t="s">
        <v>20</v>
      </c>
      <c r="O144" s="99" t="s">
        <v>9</v>
      </c>
      <c r="P144" s="99" t="s">
        <v>49</v>
      </c>
      <c r="Q144" s="48" t="s">
        <v>70</v>
      </c>
      <c r="R144" s="48" t="s">
        <v>53</v>
      </c>
      <c r="S144" s="48" t="s">
        <v>65</v>
      </c>
      <c r="T144" s="48" t="s">
        <v>12</v>
      </c>
      <c r="U144" s="48" t="s">
        <v>51</v>
      </c>
      <c r="V144" s="48" t="s">
        <v>48</v>
      </c>
      <c r="W144" s="48" t="s">
        <v>14</v>
      </c>
      <c r="X144" s="53" t="s">
        <v>11</v>
      </c>
      <c r="Y144" s="53" t="s">
        <v>21</v>
      </c>
    </row>
    <row r="145" spans="1:32" s="27" customFormat="1" ht="28">
      <c r="A145" s="103" t="s">
        <v>221</v>
      </c>
      <c r="B145" s="102" t="s">
        <v>222</v>
      </c>
      <c r="C145" s="105" t="s">
        <v>223</v>
      </c>
      <c r="D145" s="105" t="s">
        <v>224</v>
      </c>
      <c r="E145" s="102" t="s">
        <v>225</v>
      </c>
      <c r="F145" s="102" t="s">
        <v>67</v>
      </c>
      <c r="G145" s="104">
        <v>1</v>
      </c>
      <c r="H145" s="112">
        <v>6.33</v>
      </c>
      <c r="I145" s="112"/>
      <c r="J145" s="112">
        <v>0.32</v>
      </c>
      <c r="K145" s="113">
        <f>H145-I145-J145</f>
        <v>6.01</v>
      </c>
      <c r="L145" s="106" t="s">
        <v>226</v>
      </c>
      <c r="M145" s="106"/>
      <c r="N145" s="107" t="s">
        <v>227</v>
      </c>
      <c r="O145" s="115">
        <v>10.5</v>
      </c>
      <c r="P145" s="124"/>
      <c r="Q145" s="38"/>
      <c r="R145" s="38"/>
      <c r="S145" s="38"/>
      <c r="T145" s="38">
        <f t="shared" ref="T145:T151" si="162">G145*2.4</f>
        <v>2.4</v>
      </c>
      <c r="U145" s="38"/>
      <c r="V145" s="38"/>
      <c r="W145" s="38"/>
      <c r="X145" s="38">
        <f t="shared" ref="X145:X151" si="163">K145*O145</f>
        <v>63.104999999999997</v>
      </c>
      <c r="Y145" s="116">
        <f>$Y$143/31.1035*K145*IF(LEFT(F145,3)="10K",0.417*1.07,IF(LEFT(F145,3)="14K",0.585*1.05,IF(LEFT(F145,3)="18K",0.75*1.05,0)))</f>
        <v>362.63647512394101</v>
      </c>
      <c r="Z145" s="27">
        <f>2*K145</f>
        <v>12.02</v>
      </c>
      <c r="AA145" s="109">
        <f>(SUM(Q145:W145)+AF145)-Z145</f>
        <v>53.484999999999999</v>
      </c>
      <c r="AB145" s="109">
        <f t="shared" ref="AB145:AB151" si="164">AD145*$AB$13+P145*$AB$14</f>
        <v>269.48990249999997</v>
      </c>
      <c r="AC145" s="109">
        <f t="shared" ref="AC145" si="165">SUM(AA145:AB145)</f>
        <v>322.97490249999998</v>
      </c>
      <c r="AD145" s="27">
        <f t="shared" ref="AD145:AD151" si="166">K145*IF(LEFT(F145,3)="10K",0.417*1.07,IF(LEFT(F145,3)="14K",0.585*1.05,IF(LEFT(F145,3)="18K",0.75*1.05,0)))</f>
        <v>3.6916424999999995</v>
      </c>
      <c r="AF145" s="27">
        <f>IF(AE145&gt;0,AE145*K145,X145)</f>
        <v>63.104999999999997</v>
      </c>
    </row>
    <row r="146" spans="1:32" s="27" customFormat="1" ht="28">
      <c r="A146" s="103">
        <v>1</v>
      </c>
      <c r="B146" s="102" t="s">
        <v>222</v>
      </c>
      <c r="C146" s="105" t="s">
        <v>223</v>
      </c>
      <c r="D146" s="105" t="s">
        <v>224</v>
      </c>
      <c r="E146" s="102" t="s">
        <v>225</v>
      </c>
      <c r="F146" s="120" t="s">
        <v>68</v>
      </c>
      <c r="G146" s="122">
        <v>1</v>
      </c>
      <c r="H146" s="112">
        <v>6.2</v>
      </c>
      <c r="I146" s="123"/>
      <c r="J146" s="123">
        <v>0.32</v>
      </c>
      <c r="K146" s="113">
        <f>H146-I146-J146</f>
        <v>5.88</v>
      </c>
      <c r="L146" s="106" t="s">
        <v>226</v>
      </c>
      <c r="M146" s="106"/>
      <c r="N146" s="107" t="s">
        <v>227</v>
      </c>
      <c r="O146" s="115">
        <v>10.5</v>
      </c>
      <c r="P146" s="124"/>
      <c r="Q146" s="38"/>
      <c r="R146" s="38"/>
      <c r="S146" s="38"/>
      <c r="T146" s="38">
        <f t="shared" si="162"/>
        <v>2.4</v>
      </c>
      <c r="U146" s="38"/>
      <c r="V146" s="38"/>
      <c r="W146" s="38"/>
      <c r="X146" s="38">
        <f t="shared" si="163"/>
        <v>61.74</v>
      </c>
      <c r="Y146" s="116">
        <f t="shared" ref="Y146:Y151" si="167">$Y$143/31.1035*K146*IF(LEFT(F146,3)="10K",0.417*1.07,IF(LEFT(F146,3)="14K",0.585*1.05,IF(LEFT(F146,3)="18K",0.75*1.05,0)))</f>
        <v>354.79242491327341</v>
      </c>
      <c r="Z146" s="27">
        <f t="shared" ref="Z146:Z151" si="168">2*K146</f>
        <v>11.76</v>
      </c>
      <c r="AA146" s="109">
        <f t="shared" ref="AA146:AA151" si="169">(SUM(Q146:W146)+AF146)-Z146</f>
        <v>52.38</v>
      </c>
      <c r="AB146" s="109">
        <f t="shared" si="164"/>
        <v>263.66066999999998</v>
      </c>
      <c r="AC146" s="109">
        <f t="shared" ref="AC146:AC151" si="170">SUM(AA146:AB146)</f>
        <v>316.04066999999998</v>
      </c>
      <c r="AD146" s="27">
        <f t="shared" si="166"/>
        <v>3.6117899999999996</v>
      </c>
      <c r="AF146" s="27">
        <f>IF(AE146&gt;0,AE146*K146,X146)</f>
        <v>61.74</v>
      </c>
    </row>
    <row r="147" spans="1:32" s="27" customFormat="1" ht="28">
      <c r="A147" s="119">
        <v>2</v>
      </c>
      <c r="B147" s="120" t="s">
        <v>228</v>
      </c>
      <c r="C147" s="121" t="s">
        <v>229</v>
      </c>
      <c r="D147" s="121" t="s">
        <v>224</v>
      </c>
      <c r="E147" s="120" t="s">
        <v>225</v>
      </c>
      <c r="F147" s="120" t="s">
        <v>67</v>
      </c>
      <c r="G147" s="122">
        <v>1</v>
      </c>
      <c r="H147" s="112">
        <v>6.22</v>
      </c>
      <c r="I147" s="123"/>
      <c r="J147" s="123">
        <v>0.32</v>
      </c>
      <c r="K147" s="113">
        <f t="shared" ref="K147:K151" si="171">H147-I147-J147</f>
        <v>5.8999999999999995</v>
      </c>
      <c r="L147" s="106" t="s">
        <v>230</v>
      </c>
      <c r="M147" s="106"/>
      <c r="N147" s="107" t="s">
        <v>231</v>
      </c>
      <c r="O147" s="115">
        <v>10.5</v>
      </c>
      <c r="P147" s="124"/>
      <c r="Q147" s="38"/>
      <c r="R147" s="38"/>
      <c r="S147" s="38"/>
      <c r="T147" s="38">
        <f t="shared" si="162"/>
        <v>2.4</v>
      </c>
      <c r="U147" s="38"/>
      <c r="V147" s="38"/>
      <c r="W147" s="38"/>
      <c r="X147" s="38">
        <f t="shared" si="163"/>
        <v>61.949999999999996</v>
      </c>
      <c r="Y147" s="116">
        <f t="shared" si="167"/>
        <v>355.99920186876068</v>
      </c>
      <c r="Z147" s="27">
        <f t="shared" si="168"/>
        <v>11.799999999999999</v>
      </c>
      <c r="AA147" s="109">
        <f t="shared" si="169"/>
        <v>52.55</v>
      </c>
      <c r="AB147" s="109">
        <f t="shared" si="164"/>
        <v>264.55747499999995</v>
      </c>
      <c r="AC147" s="109">
        <f t="shared" si="170"/>
        <v>317.10747499999997</v>
      </c>
      <c r="AD147" s="27">
        <f t="shared" si="166"/>
        <v>3.6240749999999995</v>
      </c>
      <c r="AF147" s="27">
        <f t="shared" ref="AF147:AF151" si="172">IF(AE147&gt;0,AE147*K147,X147)</f>
        <v>61.949999999999996</v>
      </c>
    </row>
    <row r="148" spans="1:32" s="27" customFormat="1" ht="28">
      <c r="A148" s="119">
        <v>2</v>
      </c>
      <c r="B148" s="120" t="s">
        <v>228</v>
      </c>
      <c r="C148" s="121" t="s">
        <v>229</v>
      </c>
      <c r="D148" s="121" t="s">
        <v>224</v>
      </c>
      <c r="E148" s="120" t="s">
        <v>225</v>
      </c>
      <c r="F148" s="120" t="s">
        <v>68</v>
      </c>
      <c r="G148" s="122">
        <v>1</v>
      </c>
      <c r="H148" s="112">
        <v>6.03</v>
      </c>
      <c r="I148" s="123"/>
      <c r="J148" s="123">
        <v>0.32</v>
      </c>
      <c r="K148" s="113">
        <f t="shared" si="171"/>
        <v>5.71</v>
      </c>
      <c r="L148" s="106" t="s">
        <v>230</v>
      </c>
      <c r="M148" s="106"/>
      <c r="N148" s="107" t="s">
        <v>231</v>
      </c>
      <c r="O148" s="115">
        <v>10.5</v>
      </c>
      <c r="P148" s="124"/>
      <c r="Q148" s="38"/>
      <c r="R148" s="38"/>
      <c r="S148" s="38"/>
      <c r="T148" s="38">
        <f t="shared" si="162"/>
        <v>2.4</v>
      </c>
      <c r="U148" s="38"/>
      <c r="V148" s="38"/>
      <c r="W148" s="38"/>
      <c r="X148" s="38">
        <f t="shared" si="163"/>
        <v>59.954999999999998</v>
      </c>
      <c r="Y148" s="116">
        <f t="shared" si="167"/>
        <v>344.53482079163109</v>
      </c>
      <c r="Z148" s="27">
        <f t="shared" si="168"/>
        <v>11.42</v>
      </c>
      <c r="AA148" s="109">
        <f t="shared" si="169"/>
        <v>50.934999999999995</v>
      </c>
      <c r="AB148" s="109">
        <f t="shared" si="164"/>
        <v>256.03782749999999</v>
      </c>
      <c r="AC148" s="109">
        <f t="shared" si="170"/>
        <v>306.97282749999999</v>
      </c>
      <c r="AD148" s="27">
        <f t="shared" si="166"/>
        <v>3.5073675</v>
      </c>
      <c r="AF148" s="27">
        <f t="shared" si="172"/>
        <v>59.954999999999998</v>
      </c>
    </row>
    <row r="149" spans="1:32" s="27" customFormat="1" ht="28">
      <c r="A149" s="119">
        <v>3</v>
      </c>
      <c r="B149" s="120" t="s">
        <v>232</v>
      </c>
      <c r="C149" s="121" t="s">
        <v>233</v>
      </c>
      <c r="D149" s="121" t="s">
        <v>224</v>
      </c>
      <c r="E149" s="120" t="s">
        <v>225</v>
      </c>
      <c r="F149" s="120" t="s">
        <v>67</v>
      </c>
      <c r="G149" s="122">
        <v>1</v>
      </c>
      <c r="H149" s="112">
        <v>7.06</v>
      </c>
      <c r="I149" s="123"/>
      <c r="J149" s="123">
        <v>0.32</v>
      </c>
      <c r="K149" s="113">
        <f t="shared" si="171"/>
        <v>6.7399999999999993</v>
      </c>
      <c r="L149" s="106" t="s">
        <v>234</v>
      </c>
      <c r="M149" s="106"/>
      <c r="N149" s="107" t="s">
        <v>235</v>
      </c>
      <c r="O149" s="115">
        <v>11.5</v>
      </c>
      <c r="P149" s="124"/>
      <c r="Q149" s="38"/>
      <c r="R149" s="38"/>
      <c r="S149" s="38"/>
      <c r="T149" s="38">
        <f t="shared" si="162"/>
        <v>2.4</v>
      </c>
      <c r="U149" s="38"/>
      <c r="V149" s="38"/>
      <c r="W149" s="38"/>
      <c r="X149" s="38">
        <f t="shared" si="163"/>
        <v>77.509999999999991</v>
      </c>
      <c r="Y149" s="116">
        <f t="shared" si="167"/>
        <v>406.68383399922828</v>
      </c>
      <c r="Z149" s="27">
        <f t="shared" si="168"/>
        <v>13.479999999999999</v>
      </c>
      <c r="AA149" s="109">
        <f t="shared" si="169"/>
        <v>66.429999999999993</v>
      </c>
      <c r="AB149" s="109">
        <f t="shared" si="164"/>
        <v>302.22328499999998</v>
      </c>
      <c r="AC149" s="109">
        <f t="shared" si="170"/>
        <v>368.65328499999998</v>
      </c>
      <c r="AD149" s="27">
        <f t="shared" si="166"/>
        <v>4.1400449999999998</v>
      </c>
      <c r="AF149" s="27">
        <f t="shared" si="172"/>
        <v>77.509999999999991</v>
      </c>
    </row>
    <row r="150" spans="1:32" s="27" customFormat="1" ht="28">
      <c r="A150" s="103">
        <v>4</v>
      </c>
      <c r="B150" s="102" t="s">
        <v>236</v>
      </c>
      <c r="C150" s="105" t="s">
        <v>149</v>
      </c>
      <c r="D150" s="105" t="s">
        <v>224</v>
      </c>
      <c r="E150" s="102" t="s">
        <v>225</v>
      </c>
      <c r="F150" s="102" t="s">
        <v>67</v>
      </c>
      <c r="G150" s="104">
        <v>1</v>
      </c>
      <c r="H150" s="112">
        <v>6.24</v>
      </c>
      <c r="I150" s="112"/>
      <c r="J150" s="112">
        <v>0.32</v>
      </c>
      <c r="K150" s="113">
        <f t="shared" si="171"/>
        <v>5.92</v>
      </c>
      <c r="L150" s="106">
        <v>1.7</v>
      </c>
      <c r="M150" s="106"/>
      <c r="N150" s="107">
        <v>41</v>
      </c>
      <c r="O150" s="115">
        <v>11.5</v>
      </c>
      <c r="P150" s="124"/>
      <c r="Q150" s="38"/>
      <c r="R150" s="38"/>
      <c r="S150" s="38"/>
      <c r="T150" s="38">
        <f t="shared" si="162"/>
        <v>2.4</v>
      </c>
      <c r="U150" s="38"/>
      <c r="V150" s="38"/>
      <c r="W150" s="38"/>
      <c r="X150" s="38">
        <f t="shared" si="163"/>
        <v>68.08</v>
      </c>
      <c r="Y150" s="116">
        <f t="shared" si="167"/>
        <v>357.20597882424806</v>
      </c>
      <c r="Z150" s="27">
        <f t="shared" si="168"/>
        <v>11.84</v>
      </c>
      <c r="AA150" s="109">
        <f t="shared" si="169"/>
        <v>58.64</v>
      </c>
      <c r="AB150" s="109">
        <f t="shared" si="164"/>
        <v>265.45427999999998</v>
      </c>
      <c r="AC150" s="109">
        <f t="shared" si="170"/>
        <v>324.09427999999997</v>
      </c>
      <c r="AD150" s="27">
        <f t="shared" si="166"/>
        <v>3.6363599999999998</v>
      </c>
      <c r="AF150" s="27">
        <f t="shared" si="172"/>
        <v>68.08</v>
      </c>
    </row>
    <row r="151" spans="1:32" s="27" customFormat="1" ht="28.5" thickBot="1">
      <c r="A151" s="119">
        <v>5</v>
      </c>
      <c r="B151" s="120" t="s">
        <v>237</v>
      </c>
      <c r="C151" s="121" t="s">
        <v>238</v>
      </c>
      <c r="D151" s="121" t="s">
        <v>224</v>
      </c>
      <c r="E151" s="120" t="s">
        <v>225</v>
      </c>
      <c r="F151" s="120" t="s">
        <v>68</v>
      </c>
      <c r="G151" s="122">
        <v>1</v>
      </c>
      <c r="H151" s="112">
        <v>7.49</v>
      </c>
      <c r="I151" s="123"/>
      <c r="J151" s="123">
        <v>0.32</v>
      </c>
      <c r="K151" s="113">
        <f t="shared" si="171"/>
        <v>7.17</v>
      </c>
      <c r="L151" s="106">
        <v>2.5</v>
      </c>
      <c r="M151" s="106"/>
      <c r="N151" s="107">
        <v>11</v>
      </c>
      <c r="O151" s="115">
        <v>11.5</v>
      </c>
      <c r="P151" s="124"/>
      <c r="Q151" s="38"/>
      <c r="R151" s="38"/>
      <c r="S151" s="38"/>
      <c r="T151" s="38">
        <f t="shared" si="162"/>
        <v>2.4</v>
      </c>
      <c r="U151" s="38"/>
      <c r="V151" s="38"/>
      <c r="W151" s="38"/>
      <c r="X151" s="38">
        <f t="shared" si="163"/>
        <v>82.454999999999998</v>
      </c>
      <c r="Y151" s="116">
        <f t="shared" si="167"/>
        <v>432.62953854220581</v>
      </c>
      <c r="Z151" s="27">
        <f t="shared" si="168"/>
        <v>14.34</v>
      </c>
      <c r="AA151" s="109">
        <f t="shared" si="169"/>
        <v>70.515000000000001</v>
      </c>
      <c r="AB151" s="109">
        <f t="shared" si="164"/>
        <v>321.50459249999994</v>
      </c>
      <c r="AC151" s="109">
        <f t="shared" si="170"/>
        <v>392.01959249999993</v>
      </c>
      <c r="AD151" s="27">
        <f t="shared" si="166"/>
        <v>4.4041724999999996</v>
      </c>
      <c r="AF151" s="27">
        <f t="shared" si="172"/>
        <v>82.454999999999998</v>
      </c>
    </row>
    <row r="152" spans="1:32" s="28" customFormat="1" ht="16" customHeight="1">
      <c r="A152" s="94" t="s">
        <v>61</v>
      </c>
      <c r="B152" s="72"/>
      <c r="C152" s="72"/>
      <c r="D152" s="72"/>
      <c r="E152" s="72"/>
      <c r="F152" s="72"/>
      <c r="G152" s="73">
        <f>SUM(G145:G151)</f>
        <v>7</v>
      </c>
      <c r="H152" s="114"/>
      <c r="I152" s="114"/>
      <c r="J152" s="114"/>
      <c r="K152" s="114">
        <f>SUM(K145:K151)</f>
        <v>43.33</v>
      </c>
      <c r="L152" s="74"/>
      <c r="M152" s="74"/>
      <c r="N152" s="74"/>
      <c r="O152" s="75"/>
      <c r="P152" s="125">
        <f t="shared" ref="P152:Y152" si="173">SUM(P145:P151)</f>
        <v>0</v>
      </c>
      <c r="Q152" s="76">
        <f t="shared" si="173"/>
        <v>0</v>
      </c>
      <c r="R152" s="76">
        <f t="shared" si="173"/>
        <v>0</v>
      </c>
      <c r="S152" s="76">
        <f t="shared" si="173"/>
        <v>0</v>
      </c>
      <c r="T152" s="76">
        <f t="shared" si="173"/>
        <v>16.8</v>
      </c>
      <c r="U152" s="76">
        <f t="shared" si="173"/>
        <v>0</v>
      </c>
      <c r="V152" s="76">
        <f t="shared" si="173"/>
        <v>0</v>
      </c>
      <c r="W152" s="76">
        <f t="shared" si="173"/>
        <v>0</v>
      </c>
      <c r="X152" s="76">
        <f t="shared" si="173"/>
        <v>474.79499999999996</v>
      </c>
      <c r="Y152" s="117">
        <f t="shared" si="173"/>
        <v>2614.4822740632881</v>
      </c>
      <c r="AA152" s="110"/>
      <c r="AB152" s="110"/>
      <c r="AC152" s="110"/>
      <c r="AD152" s="110"/>
    </row>
    <row r="153" spans="1:32" ht="16" customHeight="1">
      <c r="A153" s="56" t="s">
        <v>74</v>
      </c>
      <c r="K153" s="51"/>
      <c r="L153" s="51"/>
      <c r="M153" s="51"/>
      <c r="N153" s="51"/>
      <c r="W153" s="52"/>
      <c r="X153" s="91" t="s">
        <v>220</v>
      </c>
      <c r="Y153" s="101">
        <f>3025.1*1.01</f>
        <v>3055.3510000000001</v>
      </c>
    </row>
    <row r="154" spans="1:32" s="100" customFormat="1" ht="28">
      <c r="A154" s="95" t="s">
        <v>62</v>
      </c>
      <c r="B154" s="96" t="s">
        <v>4</v>
      </c>
      <c r="C154" s="96" t="s">
        <v>23</v>
      </c>
      <c r="D154" s="96" t="s">
        <v>45</v>
      </c>
      <c r="E154" s="96" t="s">
        <v>46</v>
      </c>
      <c r="F154" s="96" t="s">
        <v>5</v>
      </c>
      <c r="G154" s="96" t="s">
        <v>6</v>
      </c>
      <c r="H154" s="97" t="s">
        <v>7</v>
      </c>
      <c r="I154" s="97" t="s">
        <v>47</v>
      </c>
      <c r="J154" s="97" t="s">
        <v>8</v>
      </c>
      <c r="K154" s="98" t="s">
        <v>13</v>
      </c>
      <c r="L154" s="98" t="s">
        <v>19</v>
      </c>
      <c r="M154" s="98" t="s">
        <v>22</v>
      </c>
      <c r="N154" s="98" t="s">
        <v>20</v>
      </c>
      <c r="O154" s="99" t="s">
        <v>9</v>
      </c>
      <c r="P154" s="99" t="s">
        <v>49</v>
      </c>
      <c r="Q154" s="48" t="s">
        <v>70</v>
      </c>
      <c r="R154" s="48" t="s">
        <v>53</v>
      </c>
      <c r="S154" s="48" t="s">
        <v>65</v>
      </c>
      <c r="T154" s="48" t="s">
        <v>12</v>
      </c>
      <c r="U154" s="48" t="s">
        <v>51</v>
      </c>
      <c r="V154" s="48" t="s">
        <v>48</v>
      </c>
      <c r="W154" s="48" t="s">
        <v>14</v>
      </c>
      <c r="X154" s="53" t="s">
        <v>11</v>
      </c>
      <c r="Y154" s="53" t="s">
        <v>21</v>
      </c>
    </row>
    <row r="155" spans="1:32" s="27" customFormat="1" ht="28">
      <c r="A155" s="103" t="s">
        <v>239</v>
      </c>
      <c r="B155" s="102" t="s">
        <v>240</v>
      </c>
      <c r="C155" s="105" t="s">
        <v>241</v>
      </c>
      <c r="D155" s="105" t="s">
        <v>224</v>
      </c>
      <c r="E155" s="102" t="s">
        <v>225</v>
      </c>
      <c r="F155" s="102" t="s">
        <v>71</v>
      </c>
      <c r="G155" s="104">
        <v>1</v>
      </c>
      <c r="H155" s="112">
        <v>8.5399999999999991</v>
      </c>
      <c r="I155" s="112"/>
      <c r="J155" s="112">
        <v>0</v>
      </c>
      <c r="K155" s="113">
        <f>H155-I155-J155</f>
        <v>8.5399999999999991</v>
      </c>
      <c r="L155" s="106" t="s">
        <v>226</v>
      </c>
      <c r="M155" s="106"/>
      <c r="N155" s="107" t="s">
        <v>242</v>
      </c>
      <c r="O155" s="115">
        <v>10.5</v>
      </c>
      <c r="P155" s="124"/>
      <c r="Q155" s="38"/>
      <c r="R155" s="38"/>
      <c r="S155" s="38"/>
      <c r="T155" s="38">
        <f>G155*2.4</f>
        <v>2.4</v>
      </c>
      <c r="U155" s="38"/>
      <c r="V155" s="38"/>
      <c r="W155" s="38"/>
      <c r="X155" s="38">
        <f t="shared" ref="X155:X157" si="174">K155*O155</f>
        <v>89.669999999999987</v>
      </c>
      <c r="Y155" s="116">
        <f>$Y$153/31.1035*K155*IF(LEFT(F155,3)="10K",0.417*1.07,IF(LEFT(F155,3)="14K",0.585*1.05,IF(LEFT(F155,3)="18K",0.75*1.05,0)))</f>
        <v>660.63302563216359</v>
      </c>
      <c r="Z155" s="27">
        <f>2*K155</f>
        <v>17.079999999999998</v>
      </c>
      <c r="AA155" s="109">
        <f>(SUM(Q155:W155)+AF155)-Z155</f>
        <v>74.989999999999995</v>
      </c>
      <c r="AB155" s="109">
        <f>AD155*$AB$13+P155*$AB$14</f>
        <v>490.94324999999998</v>
      </c>
      <c r="AC155" s="109">
        <f t="shared" ref="AC155" si="175">SUM(AA155:AB155)</f>
        <v>565.93324999999993</v>
      </c>
      <c r="AD155" s="27">
        <f t="shared" ref="AD155:AD157" si="176">K155*IF(LEFT(F155,3)="10K",0.417*1.07,IF(LEFT(F155,3)="14K",0.585*1.05,IF(LEFT(F155,3)="18K",0.75*1.05,0)))</f>
        <v>6.72525</v>
      </c>
      <c r="AF155" s="27">
        <f>IF(AE155&gt;0,AE155*K155,X155)</f>
        <v>89.669999999999987</v>
      </c>
    </row>
    <row r="156" spans="1:32" s="27" customFormat="1" ht="28">
      <c r="A156" s="119">
        <v>2</v>
      </c>
      <c r="B156" s="120" t="s">
        <v>243</v>
      </c>
      <c r="C156" s="121" t="s">
        <v>244</v>
      </c>
      <c r="D156" s="121" t="s">
        <v>224</v>
      </c>
      <c r="E156" s="120" t="s">
        <v>225</v>
      </c>
      <c r="F156" s="102" t="s">
        <v>71</v>
      </c>
      <c r="G156" s="122">
        <v>1</v>
      </c>
      <c r="H156" s="112">
        <v>7.9</v>
      </c>
      <c r="I156" s="123"/>
      <c r="J156" s="123">
        <v>1.06</v>
      </c>
      <c r="K156" s="113">
        <f t="shared" ref="K156:K157" si="177">H156-I156-J156</f>
        <v>6.84</v>
      </c>
      <c r="L156" s="106">
        <v>1.5</v>
      </c>
      <c r="M156" s="106"/>
      <c r="N156" s="107">
        <v>38</v>
      </c>
      <c r="O156" s="115">
        <v>11.5</v>
      </c>
      <c r="P156" s="124"/>
      <c r="Q156" s="38"/>
      <c r="R156" s="38"/>
      <c r="S156" s="38"/>
      <c r="T156" s="38">
        <f>G156*2.4</f>
        <v>2.4</v>
      </c>
      <c r="U156" s="38"/>
      <c r="V156" s="38"/>
      <c r="W156" s="38"/>
      <c r="X156" s="38">
        <f t="shared" si="174"/>
        <v>78.66</v>
      </c>
      <c r="Y156" s="116">
        <f t="shared" ref="Y156:Y157" si="178">$Y$153/31.1035*K156*IF(LEFT(F156,3)="10K",0.417*1.07,IF(LEFT(F156,3)="14K",0.585*1.05,IF(LEFT(F156,3)="18K",0.75*1.05,0)))</f>
        <v>529.12528048290392</v>
      </c>
      <c r="Z156" s="27">
        <f t="shared" ref="Z156:Z157" si="179">2*K156</f>
        <v>13.68</v>
      </c>
      <c r="AA156" s="109">
        <f t="shared" ref="AA156:AA157" si="180">(SUM(Q156:W156)+AF156)-Z156</f>
        <v>67.38</v>
      </c>
      <c r="AB156" s="109">
        <f>AD156*$AB$13+P156*$AB$14</f>
        <v>393.21450000000004</v>
      </c>
      <c r="AC156" s="109">
        <f t="shared" ref="AC156:AC157" si="181">SUM(AA156:AB156)</f>
        <v>460.59450000000004</v>
      </c>
      <c r="AD156" s="27">
        <f t="shared" si="176"/>
        <v>5.3865000000000007</v>
      </c>
      <c r="AF156" s="27">
        <f>IF(AE156&gt;0,AE156*K156,X156)</f>
        <v>78.66</v>
      </c>
    </row>
    <row r="157" spans="1:32" s="27" customFormat="1" ht="56.5" thickBot="1">
      <c r="A157" s="119">
        <v>3</v>
      </c>
      <c r="B157" s="120" t="s">
        <v>245</v>
      </c>
      <c r="C157" s="121" t="s">
        <v>246</v>
      </c>
      <c r="D157" s="121" t="s">
        <v>224</v>
      </c>
      <c r="E157" s="120" t="s">
        <v>225</v>
      </c>
      <c r="F157" s="102" t="s">
        <v>71</v>
      </c>
      <c r="G157" s="122">
        <v>1</v>
      </c>
      <c r="H157" s="112">
        <v>7.31</v>
      </c>
      <c r="I157" s="123"/>
      <c r="J157" s="123">
        <v>0.22</v>
      </c>
      <c r="K157" s="113">
        <f t="shared" si="177"/>
        <v>7.09</v>
      </c>
      <c r="L157" s="106" t="s">
        <v>247</v>
      </c>
      <c r="M157" s="106"/>
      <c r="N157" s="107" t="s">
        <v>248</v>
      </c>
      <c r="O157" s="115">
        <v>12</v>
      </c>
      <c r="P157" s="124"/>
      <c r="Q157" s="38"/>
      <c r="R157" s="38"/>
      <c r="S157" s="38"/>
      <c r="T157" s="38">
        <f>G157*2.2</f>
        <v>2.2000000000000002</v>
      </c>
      <c r="U157" s="38"/>
      <c r="V157" s="38"/>
      <c r="W157" s="38"/>
      <c r="X157" s="38">
        <f t="shared" si="174"/>
        <v>85.08</v>
      </c>
      <c r="Y157" s="116">
        <f t="shared" si="178"/>
        <v>548.46465476955973</v>
      </c>
      <c r="Z157" s="27">
        <f t="shared" si="179"/>
        <v>14.18</v>
      </c>
      <c r="AA157" s="109">
        <f t="shared" si="180"/>
        <v>73.099999999999994</v>
      </c>
      <c r="AB157" s="109">
        <f>AD157*$AB$13+P157*$AB$14</f>
        <v>407.58637500000003</v>
      </c>
      <c r="AC157" s="109">
        <f t="shared" si="181"/>
        <v>480.686375</v>
      </c>
      <c r="AD157" s="27">
        <f t="shared" si="176"/>
        <v>5.5833750000000002</v>
      </c>
      <c r="AF157" s="27">
        <f t="shared" ref="AF157" si="182">IF(AE157&gt;0,AE157*K157,X157)</f>
        <v>85.08</v>
      </c>
    </row>
    <row r="158" spans="1:32" s="28" customFormat="1" ht="16" customHeight="1">
      <c r="A158" s="94" t="s">
        <v>61</v>
      </c>
      <c r="B158" s="72"/>
      <c r="C158" s="72"/>
      <c r="D158" s="72"/>
      <c r="E158" s="72"/>
      <c r="F158" s="72"/>
      <c r="G158" s="73">
        <f>SUM(G155:G157)</f>
        <v>3</v>
      </c>
      <c r="H158" s="114"/>
      <c r="I158" s="114"/>
      <c r="J158" s="114"/>
      <c r="K158" s="114">
        <f>SUM(K155:K157)</f>
        <v>22.47</v>
      </c>
      <c r="L158" s="74"/>
      <c r="M158" s="74"/>
      <c r="N158" s="74"/>
      <c r="O158" s="75"/>
      <c r="P158" s="125">
        <f t="shared" ref="P158:Y158" si="183">SUM(P155:P157)</f>
        <v>0</v>
      </c>
      <c r="Q158" s="76">
        <f t="shared" si="183"/>
        <v>0</v>
      </c>
      <c r="R158" s="76">
        <f t="shared" si="183"/>
        <v>0</v>
      </c>
      <c r="S158" s="76">
        <f t="shared" si="183"/>
        <v>0</v>
      </c>
      <c r="T158" s="76">
        <f t="shared" si="183"/>
        <v>7</v>
      </c>
      <c r="U158" s="76">
        <f t="shared" si="183"/>
        <v>0</v>
      </c>
      <c r="V158" s="76">
        <f t="shared" si="183"/>
        <v>0</v>
      </c>
      <c r="W158" s="76">
        <f t="shared" si="183"/>
        <v>0</v>
      </c>
      <c r="X158" s="76">
        <f t="shared" si="183"/>
        <v>253.40999999999997</v>
      </c>
      <c r="Y158" s="117">
        <f t="shared" si="183"/>
        <v>1738.2229608846274</v>
      </c>
      <c r="AA158" s="110"/>
      <c r="AB158" s="110"/>
      <c r="AC158" s="110"/>
      <c r="AD158" s="110"/>
    </row>
    <row r="159" spans="1:32" ht="16" customHeight="1">
      <c r="A159" s="56" t="s">
        <v>74</v>
      </c>
      <c r="K159" s="51"/>
      <c r="L159" s="51"/>
      <c r="M159" s="51"/>
      <c r="N159" s="51"/>
      <c r="W159" s="52"/>
      <c r="X159" s="91" t="s">
        <v>249</v>
      </c>
      <c r="Y159" s="101">
        <f>3002.7*1.01</f>
        <v>3032.7269999999999</v>
      </c>
    </row>
    <row r="160" spans="1:32" s="100" customFormat="1" ht="28">
      <c r="A160" s="95" t="s">
        <v>62</v>
      </c>
      <c r="B160" s="96" t="s">
        <v>4</v>
      </c>
      <c r="C160" s="96" t="s">
        <v>23</v>
      </c>
      <c r="D160" s="96" t="s">
        <v>45</v>
      </c>
      <c r="E160" s="96" t="s">
        <v>46</v>
      </c>
      <c r="F160" s="96" t="s">
        <v>5</v>
      </c>
      <c r="G160" s="96" t="s">
        <v>6</v>
      </c>
      <c r="H160" s="97" t="s">
        <v>7</v>
      </c>
      <c r="I160" s="97" t="s">
        <v>47</v>
      </c>
      <c r="J160" s="97" t="s">
        <v>8</v>
      </c>
      <c r="K160" s="98" t="s">
        <v>13</v>
      </c>
      <c r="L160" s="98" t="s">
        <v>19</v>
      </c>
      <c r="M160" s="98" t="s">
        <v>22</v>
      </c>
      <c r="N160" s="98" t="s">
        <v>20</v>
      </c>
      <c r="O160" s="99" t="s">
        <v>9</v>
      </c>
      <c r="P160" s="99" t="s">
        <v>49</v>
      </c>
      <c r="Q160" s="48" t="s">
        <v>70</v>
      </c>
      <c r="R160" s="48" t="s">
        <v>53</v>
      </c>
      <c r="S160" s="48" t="s">
        <v>65</v>
      </c>
      <c r="T160" s="48" t="s">
        <v>12</v>
      </c>
      <c r="U160" s="48" t="s">
        <v>51</v>
      </c>
      <c r="V160" s="48" t="s">
        <v>48</v>
      </c>
      <c r="W160" s="48" t="s">
        <v>14</v>
      </c>
      <c r="X160" s="53" t="s">
        <v>11</v>
      </c>
      <c r="Y160" s="53" t="s">
        <v>21</v>
      </c>
    </row>
    <row r="161" spans="1:32" s="27" customFormat="1" ht="28">
      <c r="A161" s="103" t="s">
        <v>250</v>
      </c>
      <c r="B161" s="102" t="s">
        <v>251</v>
      </c>
      <c r="C161" s="105" t="s">
        <v>166</v>
      </c>
      <c r="D161" s="105" t="s">
        <v>252</v>
      </c>
      <c r="E161" s="102" t="s">
        <v>253</v>
      </c>
      <c r="F161" s="102" t="s">
        <v>68</v>
      </c>
      <c r="G161" s="104">
        <v>1</v>
      </c>
      <c r="H161" s="135">
        <v>6.75</v>
      </c>
      <c r="I161" s="135"/>
      <c r="J161" s="135">
        <v>0.27</v>
      </c>
      <c r="K161" s="137">
        <f>H161-I161-J161</f>
        <v>6.48</v>
      </c>
      <c r="L161" s="106">
        <v>3</v>
      </c>
      <c r="M161" s="106"/>
      <c r="N161" s="107">
        <v>26</v>
      </c>
      <c r="O161" s="115">
        <v>10.5</v>
      </c>
      <c r="P161" s="124"/>
      <c r="Q161" s="38"/>
      <c r="R161" s="38"/>
      <c r="S161" s="38"/>
      <c r="T161" s="38">
        <f>G161*2.3</f>
        <v>2.2999999999999998</v>
      </c>
      <c r="U161" s="38"/>
      <c r="V161" s="38"/>
      <c r="W161" s="38"/>
      <c r="X161" s="38">
        <f t="shared" ref="X161:X162" si="184">K161*O161</f>
        <v>68.040000000000006</v>
      </c>
      <c r="Y161" s="116">
        <f>$Y$159/31.1035*K161*IF(LEFT(F161,3)="10K",0.417*1.07,IF(LEFT(F161,3)="14K",0.585*1.05,IF(LEFT(F161,3)="18K",0.75*1.05,0)))</f>
        <v>388.10052203706977</v>
      </c>
      <c r="Z161" s="27">
        <f>2*K161</f>
        <v>12.96</v>
      </c>
      <c r="AA161" s="109">
        <f>(SUM(Q161:W161)+AF161)-Z161</f>
        <v>57.38</v>
      </c>
      <c r="AB161" s="109">
        <f>AD161*$AB$13+P161*$AB$14</f>
        <v>290.56482</v>
      </c>
      <c r="AC161" s="109">
        <f t="shared" ref="AC161" si="185">SUM(AA161:AB161)</f>
        <v>347.94481999999999</v>
      </c>
      <c r="AD161" s="27">
        <f t="shared" ref="AD161:AD162" si="186">K161*IF(LEFT(F161,3)="10K",0.417*1.07,IF(LEFT(F161,3)="14K",0.585*1.05,IF(LEFT(F161,3)="18K",0.75*1.05,0)))</f>
        <v>3.98034</v>
      </c>
      <c r="AF161" s="27">
        <f>IF(AE161&gt;0,AE161*K161,X161)</f>
        <v>68.040000000000006</v>
      </c>
    </row>
    <row r="162" spans="1:32" s="27" customFormat="1" ht="28.5" thickBot="1">
      <c r="A162" s="119">
        <v>2</v>
      </c>
      <c r="B162" s="120" t="s">
        <v>254</v>
      </c>
      <c r="C162" s="121" t="s">
        <v>255</v>
      </c>
      <c r="D162" s="121" t="s">
        <v>256</v>
      </c>
      <c r="E162" s="120" t="s">
        <v>253</v>
      </c>
      <c r="F162" s="120" t="s">
        <v>67</v>
      </c>
      <c r="G162" s="122">
        <v>1</v>
      </c>
      <c r="H162" s="135">
        <v>8.4600000000000009</v>
      </c>
      <c r="I162" s="136"/>
      <c r="J162" s="136">
        <v>0.36</v>
      </c>
      <c r="K162" s="137">
        <f t="shared" ref="K162" si="187">H162-I162-J162</f>
        <v>8.1000000000000014</v>
      </c>
      <c r="L162" s="106">
        <v>2.5499999999999998</v>
      </c>
      <c r="M162" s="106"/>
      <c r="N162" s="107">
        <v>29</v>
      </c>
      <c r="O162" s="115">
        <v>10.5</v>
      </c>
      <c r="P162" s="124"/>
      <c r="Q162" s="38"/>
      <c r="R162" s="38"/>
      <c r="S162" s="38"/>
      <c r="T162" s="38">
        <f>G162*2.3</f>
        <v>2.2999999999999998</v>
      </c>
      <c r="U162" s="38"/>
      <c r="V162" s="38"/>
      <c r="W162" s="38"/>
      <c r="X162" s="38">
        <f t="shared" si="184"/>
        <v>85.050000000000011</v>
      </c>
      <c r="Y162" s="116">
        <f>$Y$159/31.1035*K162*IF(LEFT(F162,3)="10K",0.417*1.07,IF(LEFT(F162,3)="14K",0.585*1.05,IF(LEFT(F162,3)="18K",0.75*1.05,0)))</f>
        <v>485.12565254633722</v>
      </c>
      <c r="Z162" s="27">
        <f t="shared" ref="Z162" si="188">2*K162</f>
        <v>16.200000000000003</v>
      </c>
      <c r="AA162" s="109">
        <f t="shared" ref="AA162" si="189">(SUM(Q162:W162)+AF162)-Z162</f>
        <v>71.150000000000006</v>
      </c>
      <c r="AB162" s="109">
        <f>AD162*$AB$13+P162*$AB$14</f>
        <v>363.20602500000001</v>
      </c>
      <c r="AC162" s="109">
        <f t="shared" ref="AC162" si="190">SUM(AA162:AB162)</f>
        <v>434.35602500000005</v>
      </c>
      <c r="AD162" s="27">
        <f t="shared" si="186"/>
        <v>4.9754250000000004</v>
      </c>
      <c r="AF162" s="27">
        <f>IF(AE162&gt;0,AE162*K162,X162)</f>
        <v>85.050000000000011</v>
      </c>
    </row>
    <row r="163" spans="1:32" s="28" customFormat="1" ht="16" customHeight="1">
      <c r="A163" s="94" t="s">
        <v>61</v>
      </c>
      <c r="B163" s="72"/>
      <c r="C163" s="72"/>
      <c r="D163" s="72"/>
      <c r="E163" s="72"/>
      <c r="F163" s="72"/>
      <c r="G163" s="73">
        <f>SUM(G161:G162)</f>
        <v>2</v>
      </c>
      <c r="H163" s="138"/>
      <c r="I163" s="138"/>
      <c r="J163" s="138"/>
      <c r="K163" s="138">
        <f>SUM(K161:K162)</f>
        <v>14.580000000000002</v>
      </c>
      <c r="L163" s="74"/>
      <c r="M163" s="74"/>
      <c r="N163" s="74"/>
      <c r="O163" s="75"/>
      <c r="P163" s="125">
        <f t="shared" ref="P163:Y163" si="191">SUM(P161:P162)</f>
        <v>0</v>
      </c>
      <c r="Q163" s="76">
        <f t="shared" si="191"/>
        <v>0</v>
      </c>
      <c r="R163" s="76">
        <f t="shared" si="191"/>
        <v>0</v>
      </c>
      <c r="S163" s="76">
        <f t="shared" si="191"/>
        <v>0</v>
      </c>
      <c r="T163" s="76">
        <f t="shared" si="191"/>
        <v>4.5999999999999996</v>
      </c>
      <c r="U163" s="76">
        <f t="shared" si="191"/>
        <v>0</v>
      </c>
      <c r="V163" s="76">
        <f t="shared" si="191"/>
        <v>0</v>
      </c>
      <c r="W163" s="76">
        <f t="shared" si="191"/>
        <v>0</v>
      </c>
      <c r="X163" s="76">
        <f t="shared" si="191"/>
        <v>153.09000000000003</v>
      </c>
      <c r="Y163" s="117">
        <f t="shared" si="191"/>
        <v>873.22617458340699</v>
      </c>
      <c r="AA163" s="110"/>
      <c r="AB163" s="110"/>
      <c r="AC163" s="110"/>
      <c r="AD163" s="110"/>
    </row>
    <row r="164" spans="1:32" ht="16" customHeight="1">
      <c r="A164" s="56" t="s">
        <v>74</v>
      </c>
      <c r="K164" s="51"/>
      <c r="L164" s="51"/>
      <c r="M164" s="51"/>
      <c r="N164" s="51"/>
      <c r="W164" s="52"/>
      <c r="X164" s="91" t="s">
        <v>249</v>
      </c>
      <c r="Y164" s="101">
        <f>3002.7*1.01</f>
        <v>3032.7269999999999</v>
      </c>
    </row>
    <row r="165" spans="1:32" s="100" customFormat="1" ht="28">
      <c r="A165" s="95" t="s">
        <v>62</v>
      </c>
      <c r="B165" s="96" t="s">
        <v>4</v>
      </c>
      <c r="C165" s="96" t="s">
        <v>23</v>
      </c>
      <c r="D165" s="96" t="s">
        <v>45</v>
      </c>
      <c r="E165" s="96" t="s">
        <v>46</v>
      </c>
      <c r="F165" s="96" t="s">
        <v>5</v>
      </c>
      <c r="G165" s="96" t="s">
        <v>6</v>
      </c>
      <c r="H165" s="97" t="s">
        <v>7</v>
      </c>
      <c r="I165" s="97" t="s">
        <v>47</v>
      </c>
      <c r="J165" s="97" t="s">
        <v>8</v>
      </c>
      <c r="K165" s="98" t="s">
        <v>13</v>
      </c>
      <c r="L165" s="98" t="s">
        <v>19</v>
      </c>
      <c r="M165" s="98" t="s">
        <v>22</v>
      </c>
      <c r="N165" s="98" t="s">
        <v>20</v>
      </c>
      <c r="O165" s="99" t="s">
        <v>9</v>
      </c>
      <c r="P165" s="99" t="s">
        <v>49</v>
      </c>
      <c r="Q165" s="48" t="s">
        <v>70</v>
      </c>
      <c r="R165" s="48" t="s">
        <v>53</v>
      </c>
      <c r="S165" s="48" t="s">
        <v>65</v>
      </c>
      <c r="T165" s="48" t="s">
        <v>12</v>
      </c>
      <c r="U165" s="48" t="s">
        <v>51</v>
      </c>
      <c r="V165" s="48" t="s">
        <v>48</v>
      </c>
      <c r="W165" s="48" t="s">
        <v>14</v>
      </c>
      <c r="X165" s="53" t="s">
        <v>11</v>
      </c>
      <c r="Y165" s="53" t="s">
        <v>21</v>
      </c>
    </row>
    <row r="166" spans="1:32" s="27" customFormat="1" ht="28.5" thickBot="1">
      <c r="A166" s="103" t="s">
        <v>257</v>
      </c>
      <c r="B166" s="102" t="s">
        <v>117</v>
      </c>
      <c r="C166" s="105" t="s">
        <v>108</v>
      </c>
      <c r="D166" s="105" t="s">
        <v>258</v>
      </c>
      <c r="E166" s="102" t="s">
        <v>259</v>
      </c>
      <c r="F166" s="102" t="s">
        <v>68</v>
      </c>
      <c r="G166" s="104">
        <v>1</v>
      </c>
      <c r="H166" s="112">
        <v>13.04</v>
      </c>
      <c r="I166" s="112"/>
      <c r="J166" s="112">
        <v>0.18</v>
      </c>
      <c r="K166" s="113">
        <f>H166-I166-J166</f>
        <v>12.86</v>
      </c>
      <c r="L166" s="106">
        <v>2.5</v>
      </c>
      <c r="M166" s="106"/>
      <c r="N166" s="107">
        <v>7</v>
      </c>
      <c r="O166" s="115">
        <v>10.5</v>
      </c>
      <c r="P166" s="124"/>
      <c r="Q166" s="38"/>
      <c r="R166" s="38"/>
      <c r="S166" s="38"/>
      <c r="T166" s="38">
        <f>G166*2.3</f>
        <v>2.2999999999999998</v>
      </c>
      <c r="U166" s="38"/>
      <c r="V166" s="38"/>
      <c r="W166" s="38"/>
      <c r="X166" s="38">
        <f t="shared" ref="X166" si="192">K166*O166</f>
        <v>135.03</v>
      </c>
      <c r="Y166" s="116">
        <f>$Y$164/31.1035*K166*IF(LEFT(F166,3)="10K",0.417*1.07,IF(LEFT(F166,3)="14K",0.585*1.05,IF(LEFT(F166,3)="18K",0.75*1.05,0)))</f>
        <v>770.21183848714759</v>
      </c>
      <c r="Z166" s="27">
        <f>2*K166</f>
        <v>25.72</v>
      </c>
      <c r="AA166" s="109">
        <f>(SUM(Q166:W166)+AF166)-Z166</f>
        <v>111.61000000000001</v>
      </c>
      <c r="AB166" s="109">
        <f>AD166*$AB$13+P166*$AB$14</f>
        <v>576.64561499999991</v>
      </c>
      <c r="AC166" s="109">
        <f t="shared" ref="AC166" si="193">SUM(AA166:AB166)</f>
        <v>688.25561499999992</v>
      </c>
      <c r="AD166" s="27">
        <f t="shared" ref="AD166" si="194">K166*IF(LEFT(F166,3)="10K",0.417*1.07,IF(LEFT(F166,3)="14K",0.585*1.05,IF(LEFT(F166,3)="18K",0.75*1.05,0)))</f>
        <v>7.8992549999999992</v>
      </c>
      <c r="AF166" s="27">
        <f>IF(AE166&gt;0,AE166*K166,X166)</f>
        <v>135.03</v>
      </c>
    </row>
    <row r="167" spans="1:32" s="28" customFormat="1" ht="16" customHeight="1">
      <c r="A167" s="94" t="s">
        <v>61</v>
      </c>
      <c r="B167" s="72"/>
      <c r="C167" s="72"/>
      <c r="D167" s="72"/>
      <c r="E167" s="72"/>
      <c r="F167" s="72"/>
      <c r="G167" s="73">
        <f>SUM(G166:G166)</f>
        <v>1</v>
      </c>
      <c r="H167" s="114"/>
      <c r="I167" s="114"/>
      <c r="J167" s="114"/>
      <c r="K167" s="114">
        <f>SUM(K166:K166)</f>
        <v>12.86</v>
      </c>
      <c r="L167" s="74"/>
      <c r="M167" s="74"/>
      <c r="N167" s="74"/>
      <c r="O167" s="75"/>
      <c r="P167" s="125">
        <f t="shared" ref="P167:Y167" si="195">SUM(P166:P166)</f>
        <v>0</v>
      </c>
      <c r="Q167" s="76">
        <f t="shared" si="195"/>
        <v>0</v>
      </c>
      <c r="R167" s="76">
        <f t="shared" si="195"/>
        <v>0</v>
      </c>
      <c r="S167" s="76">
        <f t="shared" si="195"/>
        <v>0</v>
      </c>
      <c r="T167" s="76">
        <f t="shared" si="195"/>
        <v>2.2999999999999998</v>
      </c>
      <c r="U167" s="76">
        <f t="shared" si="195"/>
        <v>0</v>
      </c>
      <c r="V167" s="76">
        <f t="shared" si="195"/>
        <v>0</v>
      </c>
      <c r="W167" s="76">
        <f t="shared" si="195"/>
        <v>0</v>
      </c>
      <c r="X167" s="76">
        <f t="shared" si="195"/>
        <v>135.03</v>
      </c>
      <c r="Y167" s="117">
        <f t="shared" si="195"/>
        <v>770.21183848714759</v>
      </c>
      <c r="AA167" s="110"/>
      <c r="AB167" s="110"/>
      <c r="AC167" s="110"/>
      <c r="AD167" s="110"/>
    </row>
    <row r="168" spans="1:32" s="28" customFormat="1" ht="16" customHeight="1">
      <c r="A168" s="126" t="s">
        <v>73</v>
      </c>
      <c r="B168" s="127"/>
      <c r="C168" s="127"/>
      <c r="D168" s="127"/>
      <c r="E168" s="127"/>
      <c r="F168" s="127"/>
      <c r="G168" s="128">
        <f>SUM(G167,G163,G158,G152,G142,G138,G134,G129,G125,G121,G112,G108,G104,G97,G93,G78,G67,G62,G52,G44,G39,G35,G31,G22)</f>
        <v>153</v>
      </c>
      <c r="H168" s="129"/>
      <c r="I168" s="129"/>
      <c r="J168" s="129"/>
      <c r="K168" s="129">
        <f>SUM(K167,K163,K158,K152,K142,K138,K134,K129,K125,K121,K112,K108,K104,K97,K93,K78,K67,K62,K52,K44,K39,K35,K31,K22)</f>
        <v>1175.6199999999999</v>
      </c>
      <c r="L168" s="130"/>
      <c r="M168" s="130"/>
      <c r="N168" s="130"/>
      <c r="O168" s="131"/>
      <c r="P168" s="132">
        <f t="shared" ref="P168:Y168" si="196">SUM(P167,P163,P158,P152,P142,P138,P134,P129,P125,P121,P112,P108,P104,P97,P93,P78,P67,P62,P52,P44,P39,P35,P31,P22)</f>
        <v>0</v>
      </c>
      <c r="Q168" s="133">
        <f t="shared" si="196"/>
        <v>1200</v>
      </c>
      <c r="R168" s="133">
        <f t="shared" si="196"/>
        <v>0</v>
      </c>
      <c r="S168" s="133">
        <f t="shared" si="196"/>
        <v>0</v>
      </c>
      <c r="T168" s="133">
        <f t="shared" si="196"/>
        <v>297.7</v>
      </c>
      <c r="U168" s="133">
        <f t="shared" si="196"/>
        <v>0</v>
      </c>
      <c r="V168" s="133">
        <f t="shared" si="196"/>
        <v>0</v>
      </c>
      <c r="W168" s="133">
        <f t="shared" si="196"/>
        <v>0</v>
      </c>
      <c r="X168" s="133">
        <f t="shared" si="196"/>
        <v>10544.675000000001</v>
      </c>
      <c r="Y168" s="134">
        <f t="shared" si="196"/>
        <v>79684.142047107307</v>
      </c>
      <c r="AA168" s="110">
        <f>SUM(AA16:AA167)</f>
        <v>9691.1349999999984</v>
      </c>
      <c r="AB168" s="110">
        <f>SUM(AB16:AB167)</f>
        <v>59503.50614249998</v>
      </c>
      <c r="AC168" s="110">
        <f>SUM(AC16:AC167)</f>
        <v>69194.641142500041</v>
      </c>
      <c r="AD168" s="110">
        <f>SUM(AD16:AD167)</f>
        <v>815.11652250000009</v>
      </c>
      <c r="AF168" s="110">
        <f>SUM(AF16:AF167)</f>
        <v>10544.675000000001</v>
      </c>
    </row>
    <row r="169" spans="1:32" s="28" customFormat="1" ht="16" customHeight="1" thickBot="1">
      <c r="A169" s="77"/>
      <c r="B169" s="78"/>
      <c r="C169" s="78"/>
      <c r="D169" s="78"/>
      <c r="E169" s="78"/>
      <c r="F169" s="78"/>
      <c r="G169" s="78"/>
      <c r="H169" s="78"/>
      <c r="I169" s="78"/>
      <c r="J169" s="67"/>
      <c r="K169" s="68"/>
      <c r="L169" s="68"/>
      <c r="M169" s="68"/>
      <c r="N169" s="68"/>
      <c r="O169" s="69"/>
      <c r="P169" s="69"/>
      <c r="Q169" s="70"/>
      <c r="R169" s="70"/>
      <c r="S169" s="70"/>
      <c r="T169" s="70"/>
      <c r="U169" s="70"/>
      <c r="V169" s="71"/>
      <c r="W169" s="79" t="s">
        <v>25</v>
      </c>
      <c r="X169" s="71"/>
      <c r="Y169" s="118"/>
    </row>
    <row r="170" spans="1:32" s="28" customFormat="1" ht="18.5" thickTop="1">
      <c r="A170" s="50"/>
      <c r="B170" s="141"/>
      <c r="C170" s="141"/>
      <c r="D170" s="141"/>
      <c r="E170" s="141"/>
      <c r="F170" s="141"/>
      <c r="G170" s="141"/>
      <c r="H170" s="141"/>
      <c r="I170" s="23"/>
      <c r="J170" s="54"/>
      <c r="K170" s="25"/>
      <c r="L170" s="25"/>
      <c r="M170" s="25"/>
      <c r="N170" s="25"/>
      <c r="O170" s="26"/>
      <c r="P170" s="26"/>
      <c r="Q170" s="55"/>
      <c r="R170" s="55"/>
      <c r="S170" s="55"/>
      <c r="T170" s="55"/>
      <c r="U170" s="55"/>
      <c r="W170" s="80" t="s">
        <v>15</v>
      </c>
      <c r="X170" s="142">
        <f>SUM(Q168:Y168)</f>
        <v>91726.517047107307</v>
      </c>
      <c r="Y170" s="143"/>
    </row>
    <row r="171" spans="1:32" s="28" customFormat="1" ht="18">
      <c r="A171" s="108" t="s">
        <v>52</v>
      </c>
      <c r="B171" s="89"/>
      <c r="C171" s="89"/>
      <c r="D171" s="89"/>
      <c r="E171" s="89"/>
      <c r="F171" s="90"/>
      <c r="G171" s="90"/>
      <c r="H171" s="90"/>
      <c r="I171" s="23"/>
      <c r="J171" s="54"/>
      <c r="K171" s="25"/>
      <c r="L171" s="25"/>
      <c r="M171" s="25"/>
      <c r="N171" s="25"/>
      <c r="O171" s="26"/>
      <c r="P171" s="26"/>
      <c r="Q171" s="55"/>
      <c r="R171" s="55"/>
      <c r="S171" s="55"/>
      <c r="T171" s="55"/>
      <c r="U171" s="55"/>
      <c r="W171" s="80" t="s">
        <v>16</v>
      </c>
      <c r="X171" s="153"/>
      <c r="Y171" s="154"/>
    </row>
    <row r="172" spans="1:32" ht="15.5">
      <c r="A172" s="50"/>
      <c r="B172" s="40"/>
      <c r="C172" s="40"/>
      <c r="D172" s="40"/>
      <c r="E172" s="40"/>
      <c r="G172" s="22"/>
      <c r="H172" s="23"/>
      <c r="J172" s="54"/>
      <c r="K172" s="25"/>
      <c r="L172" s="25"/>
      <c r="M172" s="25"/>
      <c r="N172" s="25"/>
      <c r="O172" s="26"/>
      <c r="P172" s="26"/>
      <c r="V172" s="22"/>
      <c r="W172" s="80" t="s">
        <v>17</v>
      </c>
      <c r="X172" s="153">
        <f>X170-X171</f>
        <v>91726.517047107307</v>
      </c>
      <c r="Y172" s="154"/>
      <c r="AC172" s="111"/>
    </row>
    <row r="173" spans="1:32" ht="20">
      <c r="A173" s="56"/>
      <c r="G173" s="22"/>
      <c r="H173" s="23"/>
      <c r="J173" s="54"/>
      <c r="K173" s="25"/>
      <c r="L173" s="25"/>
      <c r="M173" s="25"/>
      <c r="N173" s="25"/>
      <c r="O173" s="26"/>
      <c r="P173" s="26"/>
      <c r="V173" s="41"/>
      <c r="W173" s="41"/>
      <c r="X173" s="139"/>
      <c r="Y173" s="140"/>
    </row>
    <row r="174" spans="1:32" ht="22.5" customHeight="1">
      <c r="A174" s="56"/>
      <c r="B174" s="42"/>
      <c r="C174" s="42"/>
      <c r="D174" s="42"/>
      <c r="E174" s="42"/>
      <c r="G174" s="22"/>
      <c r="H174" s="23"/>
      <c r="J174" s="54"/>
      <c r="K174" s="25"/>
      <c r="L174" s="25"/>
      <c r="M174" s="25"/>
      <c r="N174" s="25"/>
      <c r="O174" s="26"/>
      <c r="P174" s="26"/>
      <c r="V174" s="41"/>
      <c r="W174" s="41"/>
      <c r="X174" s="30"/>
      <c r="Y174" s="57"/>
    </row>
    <row r="175" spans="1:32" ht="16" customHeight="1">
      <c r="A175" s="58"/>
      <c r="B175" s="42"/>
      <c r="C175" s="42"/>
      <c r="D175" s="42"/>
      <c r="E175" s="42"/>
      <c r="F175" s="32"/>
      <c r="G175" s="32"/>
      <c r="H175" s="32"/>
      <c r="I175" s="32"/>
      <c r="J175" s="33"/>
      <c r="K175" s="32"/>
      <c r="L175" s="32"/>
      <c r="M175" s="32"/>
      <c r="N175" s="32"/>
      <c r="O175" s="34"/>
      <c r="P175" s="34"/>
      <c r="Q175" s="34"/>
      <c r="R175" s="34"/>
      <c r="S175" s="34"/>
      <c r="T175" s="34"/>
      <c r="U175" s="34"/>
      <c r="V175" s="22"/>
      <c r="W175" s="35"/>
      <c r="X175" s="36"/>
      <c r="Y175" s="59"/>
    </row>
    <row r="176" spans="1:32" ht="16" customHeight="1">
      <c r="A176" s="58"/>
      <c r="B176" s="42"/>
      <c r="C176" s="42"/>
      <c r="D176" s="42"/>
      <c r="E176" s="42"/>
      <c r="F176" s="32"/>
      <c r="G176" s="32"/>
      <c r="H176" s="32"/>
      <c r="I176" s="32"/>
      <c r="J176" s="32"/>
      <c r="K176" s="32"/>
      <c r="L176" s="32"/>
      <c r="M176" s="32"/>
      <c r="N176" s="32"/>
      <c r="O176" s="34"/>
      <c r="P176" s="34"/>
      <c r="Q176" s="34"/>
      <c r="R176" s="34"/>
      <c r="S176" s="34"/>
      <c r="T176" s="34"/>
      <c r="U176" s="34"/>
      <c r="V176" s="31"/>
      <c r="W176" s="31"/>
      <c r="X176" s="32"/>
      <c r="Y176" s="60"/>
    </row>
    <row r="177" spans="1:25">
      <c r="A177" s="61"/>
      <c r="B177" s="42"/>
      <c r="C177" s="42"/>
      <c r="D177" s="42"/>
      <c r="E177" s="4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81" t="s">
        <v>10</v>
      </c>
      <c r="W177" s="31"/>
      <c r="X177" s="37" t="s">
        <v>24</v>
      </c>
      <c r="Y177" s="60"/>
    </row>
    <row r="178" spans="1:25" s="32" customFormat="1" ht="12.75" customHeight="1">
      <c r="A178" s="62"/>
      <c r="B178" s="63"/>
      <c r="C178" s="63"/>
      <c r="D178" s="63"/>
      <c r="E178" s="63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5"/>
      <c r="W178" s="65"/>
      <c r="X178" s="64"/>
      <c r="Y178" s="66"/>
    </row>
    <row r="179" spans="1:25" s="36" customFormat="1" ht="12.75" customHeight="1">
      <c r="A179" s="21"/>
      <c r="B179" s="21"/>
      <c r="C179" s="21"/>
      <c r="D179" s="21"/>
      <c r="E179" s="21"/>
      <c r="F179" s="21"/>
      <c r="G179" s="21"/>
      <c r="H179" s="22"/>
      <c r="I179" s="23"/>
      <c r="J179" s="23"/>
      <c r="K179" s="24"/>
      <c r="L179" s="24"/>
      <c r="M179" s="24"/>
      <c r="N179" s="24"/>
      <c r="O179" s="25"/>
      <c r="P179" s="25"/>
      <c r="Q179" s="26"/>
      <c r="R179" s="26"/>
      <c r="S179" s="26"/>
      <c r="T179" s="26"/>
      <c r="U179" s="26"/>
      <c r="V179" s="26"/>
      <c r="W179" s="26"/>
      <c r="X179" s="29"/>
      <c r="Y179" s="22"/>
    </row>
    <row r="180" spans="1:25" s="32" customFormat="1" ht="12.75" customHeight="1">
      <c r="A180" s="21"/>
      <c r="B180" s="21"/>
      <c r="C180" s="21"/>
      <c r="D180" s="21"/>
      <c r="E180" s="21"/>
      <c r="F180" s="21"/>
      <c r="G180" s="21"/>
      <c r="H180" s="22"/>
      <c r="I180" s="23"/>
      <c r="J180" s="23"/>
      <c r="K180" s="24"/>
      <c r="L180" s="24"/>
      <c r="M180" s="24"/>
      <c r="N180" s="24"/>
      <c r="O180" s="25"/>
      <c r="P180" s="25"/>
      <c r="Q180" s="26"/>
      <c r="R180" s="26"/>
      <c r="S180" s="26"/>
      <c r="T180" s="26"/>
      <c r="U180" s="26"/>
      <c r="V180" s="26"/>
      <c r="W180" s="26"/>
      <c r="X180" s="29"/>
      <c r="Y180" s="22"/>
    </row>
    <row r="181" spans="1:25" s="32" customFormat="1" ht="12.75" customHeight="1">
      <c r="A181" s="21"/>
      <c r="B181" s="21"/>
      <c r="C181" s="21"/>
      <c r="D181" s="21"/>
      <c r="E181" s="21"/>
      <c r="F181" s="21"/>
      <c r="G181" s="21"/>
      <c r="H181" s="22"/>
      <c r="I181" s="23"/>
      <c r="J181" s="23"/>
      <c r="K181" s="24"/>
      <c r="L181" s="24"/>
      <c r="M181" s="24"/>
      <c r="N181" s="24"/>
      <c r="O181" s="25"/>
      <c r="P181" s="25"/>
      <c r="Q181" s="26"/>
      <c r="R181" s="26"/>
      <c r="S181" s="26"/>
      <c r="T181" s="26"/>
      <c r="U181" s="26"/>
      <c r="V181" s="26"/>
      <c r="W181" s="26"/>
      <c r="X181" s="29"/>
      <c r="Y181" s="22"/>
    </row>
    <row r="182" spans="1:25" s="32" customFormat="1" ht="12.75" customHeight="1">
      <c r="A182" s="21"/>
      <c r="B182" s="21"/>
      <c r="C182" s="21"/>
      <c r="D182" s="21"/>
      <c r="E182" s="21"/>
      <c r="F182" s="21"/>
      <c r="G182" s="21"/>
      <c r="H182" s="22"/>
      <c r="I182" s="23"/>
      <c r="J182" s="23"/>
      <c r="K182" s="24"/>
      <c r="L182" s="24"/>
      <c r="M182" s="24"/>
      <c r="N182" s="24"/>
      <c r="O182" s="25"/>
      <c r="P182" s="25"/>
      <c r="Q182" s="26"/>
      <c r="R182" s="26"/>
      <c r="S182" s="26"/>
      <c r="T182" s="26"/>
      <c r="U182" s="26"/>
      <c r="V182" s="26"/>
      <c r="W182" s="26"/>
      <c r="X182" s="29"/>
      <c r="Y182" s="22"/>
    </row>
  </sheetData>
  <mergeCells count="8">
    <mergeCell ref="X173:Y173"/>
    <mergeCell ref="B170:H170"/>
    <mergeCell ref="X170:Y170"/>
    <mergeCell ref="A1:Y1"/>
    <mergeCell ref="A2:Y2"/>
    <mergeCell ref="A3:Y3"/>
    <mergeCell ref="X171:Y171"/>
    <mergeCell ref="X172:Y172"/>
  </mergeCells>
  <phoneticPr fontId="3" type="noConversion"/>
  <conditionalFormatting sqref="F34">
    <cfRule type="containsText" dxfId="28" priority="83" operator="containsText" text="18K">
      <formula>NOT(ISERROR(SEARCH("18K",F34)))</formula>
    </cfRule>
  </conditionalFormatting>
  <conditionalFormatting sqref="F16">
    <cfRule type="containsText" dxfId="27" priority="50" operator="containsText" text="18K">
      <formula>NOT(ISERROR(SEARCH("18K",F16)))</formula>
    </cfRule>
  </conditionalFormatting>
  <conditionalFormatting sqref="F21">
    <cfRule type="containsText" dxfId="26" priority="49" operator="containsText" text="18K">
      <formula>NOT(ISERROR(SEARCH("18K",F21)))</formula>
    </cfRule>
  </conditionalFormatting>
  <conditionalFormatting sqref="F17:F20">
    <cfRule type="containsText" dxfId="25" priority="48" operator="containsText" text="18K">
      <formula>NOT(ISERROR(SEARCH("18K",F17)))</formula>
    </cfRule>
  </conditionalFormatting>
  <conditionalFormatting sqref="F38">
    <cfRule type="containsText" dxfId="24" priority="37" operator="containsText" text="18K">
      <formula>NOT(ISERROR(SEARCH("18K",F38)))</formula>
    </cfRule>
  </conditionalFormatting>
  <conditionalFormatting sqref="F42:F43">
    <cfRule type="containsText" dxfId="23" priority="36" operator="containsText" text="18K">
      <formula>NOT(ISERROR(SEARCH("18K",F42)))</formula>
    </cfRule>
  </conditionalFormatting>
  <conditionalFormatting sqref="F47">
    <cfRule type="containsText" dxfId="22" priority="35" operator="containsText" text="18K">
      <formula>NOT(ISERROR(SEARCH("18K",F47)))</formula>
    </cfRule>
  </conditionalFormatting>
  <conditionalFormatting sqref="F48:F51">
    <cfRule type="containsText" dxfId="21" priority="34" operator="containsText" text="18K">
      <formula>NOT(ISERROR(SEARCH("18K",F48)))</formula>
    </cfRule>
  </conditionalFormatting>
  <conditionalFormatting sqref="F55">
    <cfRule type="containsText" dxfId="20" priority="33" operator="containsText" text="18K">
      <formula>NOT(ISERROR(SEARCH("18K",F55)))</formula>
    </cfRule>
  </conditionalFormatting>
  <conditionalFormatting sqref="F60:F61">
    <cfRule type="containsText" dxfId="19" priority="32" operator="containsText" text="18K">
      <formula>NOT(ISERROR(SEARCH("18K",F60)))</formula>
    </cfRule>
  </conditionalFormatting>
  <conditionalFormatting sqref="F56:F59">
    <cfRule type="containsText" dxfId="18" priority="31" operator="containsText" text="18K">
      <formula>NOT(ISERROR(SEARCH("18K",F56)))</formula>
    </cfRule>
  </conditionalFormatting>
  <conditionalFormatting sqref="F65:F66">
    <cfRule type="containsText" dxfId="17" priority="30" operator="containsText" text="18K">
      <formula>NOT(ISERROR(SEARCH("18K",F65)))</formula>
    </cfRule>
  </conditionalFormatting>
  <conditionalFormatting sqref="F70">
    <cfRule type="containsText" dxfId="16" priority="29" operator="containsText" text="18K">
      <formula>NOT(ISERROR(SEARCH("18K",F70)))</formula>
    </cfRule>
  </conditionalFormatting>
  <conditionalFormatting sqref="F75:F77">
    <cfRule type="containsText" dxfId="15" priority="28" operator="containsText" text="18K">
      <formula>NOT(ISERROR(SEARCH("18K",F75)))</formula>
    </cfRule>
  </conditionalFormatting>
  <conditionalFormatting sqref="F71:F74">
    <cfRule type="containsText" dxfId="14" priority="27" operator="containsText" text="18K">
      <formula>NOT(ISERROR(SEARCH("18K",F71)))</formula>
    </cfRule>
  </conditionalFormatting>
  <conditionalFormatting sqref="F96">
    <cfRule type="containsText" dxfId="13" priority="22" operator="containsText" text="18K">
      <formula>NOT(ISERROR(SEARCH("18K",F96)))</formula>
    </cfRule>
  </conditionalFormatting>
  <conditionalFormatting sqref="F100">
    <cfRule type="containsText" dxfId="12" priority="21" operator="containsText" text="18K">
      <formula>NOT(ISERROR(SEARCH("18K",F100)))</formula>
    </cfRule>
  </conditionalFormatting>
  <conditionalFormatting sqref="F101:F103">
    <cfRule type="containsText" dxfId="11" priority="20" operator="containsText" text="18K">
      <formula>NOT(ISERROR(SEARCH("18K",F101)))</formula>
    </cfRule>
  </conditionalFormatting>
  <conditionalFormatting sqref="F111">
    <cfRule type="containsText" dxfId="10" priority="18" operator="containsText" text="18K">
      <formula>NOT(ISERROR(SEARCH("18K",F111)))</formula>
    </cfRule>
  </conditionalFormatting>
  <conditionalFormatting sqref="F124">
    <cfRule type="containsText" dxfId="9" priority="14" operator="containsText" text="18K">
      <formula>NOT(ISERROR(SEARCH("18K",F124)))</formula>
    </cfRule>
  </conditionalFormatting>
  <conditionalFormatting sqref="F128">
    <cfRule type="containsText" dxfId="8" priority="13" operator="containsText" text="18K">
      <formula>NOT(ISERROR(SEARCH("18K",F128)))</formula>
    </cfRule>
  </conditionalFormatting>
  <conditionalFormatting sqref="F137">
    <cfRule type="containsText" dxfId="7" priority="12" operator="containsText" text="18K">
      <formula>NOT(ISERROR(SEARCH("18K",F137)))</formula>
    </cfRule>
  </conditionalFormatting>
  <conditionalFormatting sqref="F132:F133">
    <cfRule type="containsText" dxfId="6" priority="9" operator="containsText" text="18K">
      <formula>NOT(ISERROR(SEARCH("18K",F132)))</formula>
    </cfRule>
  </conditionalFormatting>
  <conditionalFormatting sqref="F145">
    <cfRule type="containsText" dxfId="5" priority="8" operator="containsText" text="18K">
      <formula>NOT(ISERROR(SEARCH("18K",F145)))</formula>
    </cfRule>
  </conditionalFormatting>
  <conditionalFormatting sqref="F150:F151">
    <cfRule type="containsText" dxfId="4" priority="7" operator="containsText" text="18K">
      <formula>NOT(ISERROR(SEARCH("18K",F150)))</formula>
    </cfRule>
  </conditionalFormatting>
  <conditionalFormatting sqref="F146:F149">
    <cfRule type="containsText" dxfId="3" priority="6" operator="containsText" text="18K">
      <formula>NOT(ISERROR(SEARCH("18K",F146)))</formula>
    </cfRule>
  </conditionalFormatting>
  <conditionalFormatting sqref="F166">
    <cfRule type="containsText" dxfId="2" priority="4" operator="containsText" text="18K">
      <formula>NOT(ISERROR(SEARCH("18K",F166)))</formula>
    </cfRule>
  </conditionalFormatting>
  <conditionalFormatting sqref="F161">
    <cfRule type="containsText" dxfId="1" priority="3" operator="containsText" text="18K">
      <formula>NOT(ISERROR(SEARCH("18K",F161)))</formula>
    </cfRule>
  </conditionalFormatting>
  <conditionalFormatting sqref="F162">
    <cfRule type="containsText" dxfId="0" priority="2" operator="containsText" text="18K">
      <formula>NOT(ISERROR(SEARCH("18K",F162)))</formula>
    </cfRule>
  </conditionalFormatting>
  <pageMargins left="0" right="0" top="0.19685039370078741" bottom="0" header="0.31496062992125984" footer="0.31496062992125984"/>
  <pageSetup paperSize="9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2025-04-16T12:25:00Z</dcterms:modified>
</cp:coreProperties>
</file>