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\\10.10.10.254\Sharing EPO Team\GOLD EXPORT\250418\CLEARANCE\"/>
    </mc:Choice>
  </mc:AlternateContent>
  <xr:revisionPtr revIDLastSave="0" documentId="13_ncr:1_{D84B70F9-5CC6-4C84-BDC5-3346CFAC2352}" xr6:coauthVersionLast="45" xr6:coauthVersionMax="47" xr10:uidLastSave="{00000000-0000-0000-0000-000000000000}"/>
  <bookViews>
    <workbookView xWindow="38280" yWindow="6810" windowWidth="20730" windowHeight="11040" xr2:uid="{00000000-000D-0000-FFFF-FFFF00000000}"/>
  </bookViews>
  <sheets>
    <sheet name="PI" sheetId="1" r:id="rId1"/>
  </sheets>
  <definedNames>
    <definedName name="GOLD">PI!#REF!</definedName>
    <definedName name="GOLD_1102">PI!#REF!</definedName>
    <definedName name="LABOR">#REF!</definedName>
    <definedName name="LABOR1">PI!#REF!</definedName>
    <definedName name="_xlnm.Print_Area" localSheetId="0">PI!$A$1:$Y$59</definedName>
    <definedName name="_xlnm.Print_Titles" localSheetId="0">PI!$1:$13</definedName>
    <definedName name="SETTING">PI!#REF!</definedName>
    <definedName name="SETTING1">#REF!</definedName>
    <definedName name="SILVER">PI!#REF!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9" i="1" l="1"/>
  <c r="AD49" i="1"/>
  <c r="AC49" i="1"/>
  <c r="AB49" i="1"/>
  <c r="AA49" i="1"/>
  <c r="Y45" i="1" l="1"/>
  <c r="V48" i="1" l="1"/>
  <c r="R48" i="1"/>
  <c r="Q48" i="1"/>
  <c r="P48" i="1"/>
  <c r="G48" i="1"/>
  <c r="W47" i="1"/>
  <c r="U47" i="1"/>
  <c r="T47" i="1"/>
  <c r="S47" i="1"/>
  <c r="K47" i="1"/>
  <c r="W46" i="1"/>
  <c r="T46" i="1"/>
  <c r="S46" i="1"/>
  <c r="K46" i="1"/>
  <c r="W45" i="1"/>
  <c r="T45" i="1"/>
  <c r="S45" i="1"/>
  <c r="K45" i="1"/>
  <c r="Y43" i="1"/>
  <c r="W48" i="1" l="1"/>
  <c r="T48" i="1"/>
  <c r="Y47" i="1"/>
  <c r="Y46" i="1"/>
  <c r="S48" i="1"/>
  <c r="AD46" i="1"/>
  <c r="AB46" i="1" s="1"/>
  <c r="U46" i="1"/>
  <c r="Z46" i="1"/>
  <c r="X46" i="1"/>
  <c r="AF46" i="1" s="1"/>
  <c r="X47" i="1"/>
  <c r="AF47" i="1" s="1"/>
  <c r="AD47" i="1"/>
  <c r="AB47" i="1" s="1"/>
  <c r="Z47" i="1"/>
  <c r="K48" i="1"/>
  <c r="Z45" i="1"/>
  <c r="AD45" i="1"/>
  <c r="AB45" i="1" s="1"/>
  <c r="U45" i="1"/>
  <c r="X45" i="1"/>
  <c r="U48" i="1" l="1"/>
  <c r="AA46" i="1"/>
  <c r="AC46" i="1" s="1"/>
  <c r="AF45" i="1"/>
  <c r="AA45" i="1" s="1"/>
  <c r="AC45" i="1" s="1"/>
  <c r="X48" i="1"/>
  <c r="AA47" i="1"/>
  <c r="AC47" i="1" s="1"/>
  <c r="Y48" i="1"/>
  <c r="T42" i="1" l="1"/>
  <c r="R42" i="1"/>
  <c r="P42" i="1"/>
  <c r="G42" i="1"/>
  <c r="W41" i="1"/>
  <c r="V41" i="1"/>
  <c r="U41" i="1"/>
  <c r="S41" i="1"/>
  <c r="Q41" i="1"/>
  <c r="O41" i="1"/>
  <c r="K41" i="1"/>
  <c r="W40" i="1"/>
  <c r="V40" i="1"/>
  <c r="U40" i="1"/>
  <c r="S40" i="1"/>
  <c r="Q40" i="1"/>
  <c r="O40" i="1"/>
  <c r="K40" i="1"/>
  <c r="Y38" i="1"/>
  <c r="Y41" i="1" l="1"/>
  <c r="S42" i="1"/>
  <c r="U42" i="1"/>
  <c r="W42" i="1"/>
  <c r="V42" i="1"/>
  <c r="Q42" i="1"/>
  <c r="Y40" i="1"/>
  <c r="Y42" i="1" s="1"/>
  <c r="Z41" i="1"/>
  <c r="AD41" i="1"/>
  <c r="AB41" i="1" s="1"/>
  <c r="X41" i="1"/>
  <c r="AF41" i="1" s="1"/>
  <c r="Z40" i="1"/>
  <c r="X40" i="1"/>
  <c r="AD40" i="1"/>
  <c r="AB40" i="1" s="1"/>
  <c r="K42" i="1"/>
  <c r="AA41" i="1" l="1"/>
  <c r="AC41" i="1" s="1"/>
  <c r="X42" i="1"/>
  <c r="AF40" i="1"/>
  <c r="AA40" i="1" s="1"/>
  <c r="AC40" i="1" s="1"/>
  <c r="V37" i="1" l="1"/>
  <c r="R37" i="1"/>
  <c r="Q37" i="1"/>
  <c r="P37" i="1"/>
  <c r="G37" i="1"/>
  <c r="W36" i="1"/>
  <c r="T36" i="1"/>
  <c r="S36" i="1"/>
  <c r="K36" i="1"/>
  <c r="W35" i="1"/>
  <c r="U35" i="1"/>
  <c r="T35" i="1"/>
  <c r="S35" i="1"/>
  <c r="K35" i="1"/>
  <c r="Y33" i="1"/>
  <c r="Y36" i="1" s="1"/>
  <c r="T37" i="1" l="1"/>
  <c r="Z36" i="1"/>
  <c r="U36" i="1"/>
  <c r="W37" i="1"/>
  <c r="U37" i="1"/>
  <c r="Y35" i="1"/>
  <c r="S37" i="1"/>
  <c r="X35" i="1"/>
  <c r="K37" i="1"/>
  <c r="AD35" i="1"/>
  <c r="AB35" i="1" s="1"/>
  <c r="Z35" i="1"/>
  <c r="AD36" i="1"/>
  <c r="AB36" i="1" s="1"/>
  <c r="X36" i="1"/>
  <c r="AF36" i="1" s="1"/>
  <c r="AA36" i="1" s="1"/>
  <c r="AC36" i="1" l="1"/>
  <c r="X37" i="1"/>
  <c r="AF35" i="1"/>
  <c r="AA35" i="1" s="1"/>
  <c r="AC35" i="1" s="1"/>
  <c r="Y37" i="1"/>
  <c r="V32" i="1" l="1"/>
  <c r="R32" i="1"/>
  <c r="Q32" i="1"/>
  <c r="P32" i="1"/>
  <c r="G32" i="1"/>
  <c r="W31" i="1"/>
  <c r="T31" i="1"/>
  <c r="S31" i="1"/>
  <c r="K31" i="1"/>
  <c r="W30" i="1"/>
  <c r="T30" i="1"/>
  <c r="S30" i="1"/>
  <c r="K30" i="1"/>
  <c r="W29" i="1"/>
  <c r="T29" i="1"/>
  <c r="S29" i="1"/>
  <c r="K29" i="1"/>
  <c r="W28" i="1"/>
  <c r="U28" i="1"/>
  <c r="T28" i="1"/>
  <c r="S28" i="1"/>
  <c r="K28" i="1"/>
  <c r="W27" i="1"/>
  <c r="U27" i="1"/>
  <c r="T27" i="1"/>
  <c r="S27" i="1"/>
  <c r="K27" i="1"/>
  <c r="W26" i="1"/>
  <c r="T26" i="1"/>
  <c r="S26" i="1"/>
  <c r="O26" i="1"/>
  <c r="K26" i="1"/>
  <c r="Y26" i="1" s="1"/>
  <c r="Y24" i="1"/>
  <c r="Z29" i="1" l="1"/>
  <c r="AD29" i="1"/>
  <c r="AB29" i="1" s="1"/>
  <c r="U29" i="1"/>
  <c r="Y27" i="1"/>
  <c r="S32" i="1"/>
  <c r="T32" i="1"/>
  <c r="W32" i="1"/>
  <c r="Y31" i="1"/>
  <c r="Y30" i="1"/>
  <c r="Y29" i="1"/>
  <c r="Y28" i="1"/>
  <c r="X27" i="1"/>
  <c r="AF27" i="1" s="1"/>
  <c r="Z27" i="1"/>
  <c r="AD27" i="1"/>
  <c r="AB27" i="1" s="1"/>
  <c r="AD30" i="1"/>
  <c r="AB30" i="1" s="1"/>
  <c r="U30" i="1"/>
  <c r="X30" i="1"/>
  <c r="AF30" i="1" s="1"/>
  <c r="Z30" i="1"/>
  <c r="K32" i="1"/>
  <c r="AD26" i="1"/>
  <c r="AB26" i="1" s="1"/>
  <c r="U26" i="1"/>
  <c r="Z26" i="1"/>
  <c r="X26" i="1"/>
  <c r="Z28" i="1"/>
  <c r="X28" i="1"/>
  <c r="AF28" i="1" s="1"/>
  <c r="AD28" i="1"/>
  <c r="AB28" i="1" s="1"/>
  <c r="X31" i="1"/>
  <c r="AF31" i="1" s="1"/>
  <c r="Z31" i="1"/>
  <c r="AD31" i="1"/>
  <c r="AB31" i="1" s="1"/>
  <c r="U31" i="1"/>
  <c r="X29" i="1"/>
  <c r="AF29" i="1" s="1"/>
  <c r="AA29" i="1" s="1"/>
  <c r="AC29" i="1" l="1"/>
  <c r="AA27" i="1"/>
  <c r="AC27" i="1" s="1"/>
  <c r="AA30" i="1"/>
  <c r="AC30" i="1" s="1"/>
  <c r="Y32" i="1"/>
  <c r="AF26" i="1"/>
  <c r="AA26" i="1" s="1"/>
  <c r="AC26" i="1" s="1"/>
  <c r="X32" i="1"/>
  <c r="U32" i="1"/>
  <c r="AA31" i="1"/>
  <c r="AC31" i="1" s="1"/>
  <c r="AA28" i="1"/>
  <c r="AC28" i="1" s="1"/>
  <c r="V23" i="1" l="1"/>
  <c r="R23" i="1"/>
  <c r="Q23" i="1"/>
  <c r="P23" i="1"/>
  <c r="G23" i="1"/>
  <c r="W22" i="1"/>
  <c r="T22" i="1"/>
  <c r="S22" i="1"/>
  <c r="K22" i="1"/>
  <c r="W21" i="1"/>
  <c r="T21" i="1"/>
  <c r="S21" i="1"/>
  <c r="K21" i="1"/>
  <c r="Y21" i="1" s="1"/>
  <c r="W20" i="1"/>
  <c r="W23" i="1" s="1"/>
  <c r="T20" i="1"/>
  <c r="S20" i="1"/>
  <c r="K20" i="1"/>
  <c r="Y18" i="1"/>
  <c r="Y20" i="1" s="1"/>
  <c r="T23" i="1" l="1"/>
  <c r="U21" i="1"/>
  <c r="S23" i="1"/>
  <c r="Y22" i="1"/>
  <c r="Y23" i="1" s="1"/>
  <c r="AD21" i="1"/>
  <c r="AB21" i="1" s="1"/>
  <c r="Z22" i="1"/>
  <c r="AD22" i="1"/>
  <c r="AB22" i="1" s="1"/>
  <c r="U22" i="1"/>
  <c r="X22" i="1"/>
  <c r="AF22" i="1" s="1"/>
  <c r="AD20" i="1"/>
  <c r="AB20" i="1" s="1"/>
  <c r="U20" i="1"/>
  <c r="K23" i="1"/>
  <c r="Z20" i="1"/>
  <c r="X20" i="1"/>
  <c r="Z21" i="1"/>
  <c r="X21" i="1"/>
  <c r="AF21" i="1" s="1"/>
  <c r="AA21" i="1" l="1"/>
  <c r="AC21" i="1" s="1"/>
  <c r="U23" i="1"/>
  <c r="AA22" i="1"/>
  <c r="AC22" i="1" s="1"/>
  <c r="AF20" i="1"/>
  <c r="AA20" i="1" s="1"/>
  <c r="AC20" i="1" s="1"/>
  <c r="X23" i="1"/>
  <c r="W16" i="1" l="1"/>
  <c r="T16" i="1"/>
  <c r="S16" i="1"/>
  <c r="Y14" i="1"/>
  <c r="S17" i="1" l="1"/>
  <c r="S49" i="1" s="1"/>
  <c r="K16" i="1"/>
  <c r="Z16" i="1" s="1"/>
  <c r="AD16" i="1" l="1"/>
  <c r="AB16" i="1" s="1"/>
  <c r="V17" i="1" l="1"/>
  <c r="V49" i="1" s="1"/>
  <c r="R17" i="1"/>
  <c r="R49" i="1" s="1"/>
  <c r="Q17" i="1"/>
  <c r="Q49" i="1" s="1"/>
  <c r="P17" i="1"/>
  <c r="P49" i="1" s="1"/>
  <c r="G17" i="1"/>
  <c r="G49" i="1" s="1"/>
  <c r="U16" i="1"/>
  <c r="Y16" i="1"/>
  <c r="T17" i="1" l="1"/>
  <c r="T49" i="1" s="1"/>
  <c r="X16" i="1"/>
  <c r="AF16" i="1" s="1"/>
  <c r="AA16" i="1" s="1"/>
  <c r="AC16" i="1" s="1"/>
  <c r="U17" i="1"/>
  <c r="U49" i="1" s="1"/>
  <c r="W17" i="1"/>
  <c r="W49" i="1" s="1"/>
  <c r="K17" i="1"/>
  <c r="K49" i="1" s="1"/>
  <c r="X17" i="1" l="1"/>
  <c r="X49" i="1" s="1"/>
  <c r="Y17" i="1"/>
  <c r="Y49" i="1" s="1"/>
  <c r="X51" i="1" l="1"/>
  <c r="X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Aissa Lintang</author>
  </authors>
  <commentList>
    <comment ref="Q40" authorId="0" shapeId="0" xr:uid="{D11E45BB-81DE-4B5E-AC9A-E0C8B444F0A7}">
      <text>
        <r>
          <rPr>
            <b/>
            <sz val="9"/>
            <color indexed="81"/>
            <rFont val="Tahoma"/>
            <family val="2"/>
          </rPr>
          <t>POST &amp; CLUTCH</t>
        </r>
      </text>
    </comment>
    <comment ref="Q41" authorId="0" shapeId="0" xr:uid="{2CCF29CB-A7BF-44FF-876B-F2275A27C7F4}">
      <text>
        <r>
          <rPr>
            <b/>
            <sz val="9"/>
            <color indexed="81"/>
            <rFont val="Tahoma"/>
            <family val="2"/>
          </rPr>
          <t>POST &amp; CLUTCH</t>
        </r>
      </text>
    </comment>
  </commentList>
</comments>
</file>

<file path=xl/sharedStrings.xml><?xml version="1.0" encoding="utf-8"?>
<sst xmlns="http://schemas.openxmlformats.org/spreadsheetml/2006/main" count="332" uniqueCount="126">
  <si>
    <t>Seller:</t>
  </si>
  <si>
    <t>Consignee:</t>
  </si>
  <si>
    <t xml:space="preserve">A/C No. : </t>
  </si>
  <si>
    <t xml:space="preserve">C/T No. : </t>
  </si>
  <si>
    <t>Item No.</t>
    <phoneticPr fontId="11" type="noConversion"/>
  </si>
  <si>
    <t>Metal</t>
    <phoneticPr fontId="11" type="noConversion"/>
  </si>
  <si>
    <t>Q'ty</t>
    <phoneticPr fontId="11" type="noConversion"/>
  </si>
  <si>
    <t>Total w't</t>
    <phoneticPr fontId="11" type="noConversion"/>
  </si>
  <si>
    <t>Wire w't</t>
    <phoneticPr fontId="11" type="noConversion"/>
  </si>
  <si>
    <t>Labor</t>
    <phoneticPr fontId="11" type="noConversion"/>
  </si>
  <si>
    <t>SIGNED BY</t>
    <phoneticPr fontId="21" type="noConversion"/>
  </si>
  <si>
    <t>Labor
Cost</t>
    <phoneticPr fontId="11" type="noConversion"/>
  </si>
  <si>
    <t>Wire
Cost</t>
    <phoneticPr fontId="11" type="noConversion"/>
  </si>
  <si>
    <t>Gold w't</t>
    <phoneticPr fontId="11" type="noConversion"/>
  </si>
  <si>
    <t>Setting
Cost</t>
    <phoneticPr fontId="3" type="noConversion"/>
  </si>
  <si>
    <t>Total Amount</t>
    <phoneticPr fontId="3" type="noConversion"/>
  </si>
  <si>
    <t>Deposit</t>
    <phoneticPr fontId="3" type="noConversion"/>
  </si>
  <si>
    <t>Balance</t>
    <phoneticPr fontId="3" type="noConversion"/>
  </si>
  <si>
    <t>Tel : 62-286-598-8594   Fax : 62-286-598-8650</t>
    <phoneticPr fontId="11" type="noConversion"/>
  </si>
  <si>
    <t>Stone</t>
    <phoneticPr fontId="3" type="noConversion"/>
  </si>
  <si>
    <t>Stone Q'ty</t>
    <phoneticPr fontId="3" type="noConversion"/>
  </si>
  <si>
    <t>Gold &amp; 5%
Cost</t>
    <phoneticPr fontId="11" type="noConversion"/>
  </si>
  <si>
    <t>Color</t>
    <phoneticPr fontId="3" type="noConversion"/>
  </si>
  <si>
    <t>Buyer No.</t>
    <phoneticPr fontId="3" type="noConversion"/>
  </si>
  <si>
    <t>PRESIDENT     J.E. PARK</t>
    <phoneticPr fontId="3" type="noConversion"/>
  </si>
  <si>
    <t>FREIGHT CHARGE</t>
  </si>
  <si>
    <t>Invoice No. &amp; Date :</t>
  </si>
  <si>
    <t>L/C No. &amp; Date :</t>
    <phoneticPr fontId="11" type="noConversion"/>
  </si>
  <si>
    <t xml:space="preserve">"GSP eligible Article" </t>
    <phoneticPr fontId="4" type="noConversion"/>
  </si>
  <si>
    <t>Terms of  Payment:</t>
  </si>
  <si>
    <t>Country of Origin :</t>
    <phoneticPr fontId="4" type="noConversion"/>
  </si>
  <si>
    <t>INDONESIA</t>
    <phoneticPr fontId="4" type="noConversion"/>
  </si>
  <si>
    <t xml:space="preserve">B/L No. : </t>
    <phoneticPr fontId="9" type="noConversion"/>
  </si>
  <si>
    <t xml:space="preserve">Departure Date :     </t>
    <phoneticPr fontId="3" type="noConversion"/>
  </si>
  <si>
    <t xml:space="preserve">From :      </t>
    <phoneticPr fontId="3" type="noConversion"/>
  </si>
  <si>
    <t xml:space="preserve">To :      </t>
    <phoneticPr fontId="3" type="noConversion"/>
  </si>
  <si>
    <t>INDONESIA</t>
    <phoneticPr fontId="3" type="noConversion"/>
  </si>
  <si>
    <t>U.S.A</t>
    <phoneticPr fontId="3" type="noConversion"/>
  </si>
  <si>
    <t>PT. VERONIQUE INDONESIA</t>
  </si>
  <si>
    <t>Jawa Tengah  Zip Code : 53472   INDONESIA</t>
  </si>
  <si>
    <t>(Buyer : if then Consignee):</t>
  </si>
  <si>
    <t xml:space="preserve">Vessel/Flight :     </t>
  </si>
  <si>
    <t>Jl. Raya Purwonegoro, Rt. 007/003  Purwonegoro, Banjarnegara,  Jawa Tengah   Zip Code : 53472   INDONESIA</t>
  </si>
  <si>
    <t>Jl. Raya Purwonegoro, Rt. 007/003  Purwonegoro, Banjarnegara,</t>
  </si>
  <si>
    <t>PROFORMA INVOICE</t>
  </si>
  <si>
    <t>Buyer PO</t>
  </si>
  <si>
    <t>Cust. Ref No.</t>
  </si>
  <si>
    <t>Dia w't</t>
  </si>
  <si>
    <t>Stone
Cost</t>
  </si>
  <si>
    <t>Dia Carat</t>
  </si>
  <si>
    <t>Extra Cost</t>
  </si>
  <si>
    <t>to Veronique Oro Corp.</t>
  </si>
  <si>
    <t>Plating Cost</t>
  </si>
  <si>
    <t xml:space="preserve">All unpaid balance will be charged 1.5% per month. </t>
  </si>
  <si>
    <t>Dia Packaging Cost</t>
  </si>
  <si>
    <t>maklon</t>
  </si>
  <si>
    <t>material cost</t>
  </si>
  <si>
    <t>total</t>
  </si>
  <si>
    <t>gold price</t>
  </si>
  <si>
    <t>dia price</t>
  </si>
  <si>
    <t>plating</t>
  </si>
  <si>
    <t>24K Payment</t>
  </si>
  <si>
    <t>SUBTOTAL</t>
  </si>
  <si>
    <t>PO#</t>
  </si>
  <si>
    <t>Buyer Dia</t>
  </si>
  <si>
    <t>old labor</t>
  </si>
  <si>
    <t>labor amount</t>
  </si>
  <si>
    <t>Dia Handling Service Fee</t>
  </si>
  <si>
    <t xml:space="preserve">Prism (USA), Inc </t>
  </si>
  <si>
    <t>PRS250212RCB-14K</t>
  </si>
  <si>
    <t>PI PRS250212RCB-14K</t>
  </si>
  <si>
    <t>K0038B78 OV H 6.75"</t>
  </si>
  <si>
    <t>GS-182</t>
  </si>
  <si>
    <t xml:space="preserve"> PUBA-00247WRB</t>
  </si>
  <si>
    <t>14K WG</t>
  </si>
  <si>
    <t>14K YG</t>
  </si>
  <si>
    <t>1.80mm
1.80mm</t>
  </si>
  <si>
    <t>20pcs
19pcs</t>
  </si>
  <si>
    <t>25th Feb London AM + 1%</t>
  </si>
  <si>
    <t>PUBA-00247WBS</t>
  </si>
  <si>
    <t>PUBA-00247WBR</t>
  </si>
  <si>
    <t>14K RG</t>
  </si>
  <si>
    <t>DKBR
WHTE</t>
  </si>
  <si>
    <t>BLUE
WHTE</t>
  </si>
  <si>
    <t>21st Feb London AM + 1%</t>
  </si>
  <si>
    <t>PRS250221RCB-18K</t>
  </si>
  <si>
    <t>GS-185</t>
  </si>
  <si>
    <t>18K WG</t>
  </si>
  <si>
    <t>WHTE
BLSP</t>
  </si>
  <si>
    <t>PUBA-00247WHT</t>
  </si>
  <si>
    <t>WHTE</t>
  </si>
  <si>
    <t>20th Mar London AM + 1%</t>
  </si>
  <si>
    <t>PRS250304RCB-14K</t>
  </si>
  <si>
    <t>K0038B149 OV F 8"</t>
  </si>
  <si>
    <t xml:space="preserve"> PUBA-00570WBL</t>
  </si>
  <si>
    <t xml:space="preserve"> GS-189</t>
  </si>
  <si>
    <t>44pcs
44pcs</t>
  </si>
  <si>
    <t>PUBA-00247</t>
  </si>
  <si>
    <t>NTYL
PKSP</t>
  </si>
  <si>
    <t>18pcs
21pcs</t>
  </si>
  <si>
    <t>DKBR
PKSP</t>
  </si>
  <si>
    <t>K0038B78 OV H 7.25"</t>
  </si>
  <si>
    <t xml:space="preserve"> PUBA-00247WPS</t>
  </si>
  <si>
    <t>WHTE
PKSP</t>
  </si>
  <si>
    <t>19pcs
20pcs</t>
  </si>
  <si>
    <t>PUBA-00247TAW</t>
  </si>
  <si>
    <t>WHTE
TNZA</t>
  </si>
  <si>
    <t xml:space="preserve"> 20th Mar London AM + 1%</t>
  </si>
  <si>
    <t>PRS250306RB-14K</t>
  </si>
  <si>
    <t xml:space="preserve"> PUBA-00247WHT</t>
  </si>
  <si>
    <t xml:space="preserve"> GS-190</t>
  </si>
  <si>
    <t xml:space="preserve"> 26th Mar London AM + 1%</t>
  </si>
  <si>
    <t>PRS250307RB-14K-NS</t>
  </si>
  <si>
    <t>H0021E01</t>
  </si>
  <si>
    <t>PUE-00699BOX</t>
  </si>
  <si>
    <t xml:space="preserve"> GS-191</t>
  </si>
  <si>
    <t>1.80mm
Flower Cabachon 4 Petal 13.0mm</t>
  </si>
  <si>
    <t>WHTE
 Black Onyx</t>
  </si>
  <si>
    <t>2pcs
2pcs</t>
  </si>
  <si>
    <t>26th Mar London AM + 1%</t>
  </si>
  <si>
    <t>PRS250307RCB-14K</t>
  </si>
  <si>
    <t>GS-191</t>
  </si>
  <si>
    <t>PUBA-00247WPS</t>
  </si>
  <si>
    <t>K0038B78 OV H 6.25"</t>
  </si>
  <si>
    <t>WHTE
RUBY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</si>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</sst>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_-;\-* #,##0_-;_-* &quot;-&quot;_-;_-@_-"/>
    <numFmt numFmtId="165" formatCode="[$-409]d&quot;-&quot;mmm&quot;-&quot;yy;@"/>
    <numFmt numFmtId="166" formatCode="0.00\ &quot;gr&quot;"/>
    <numFmt numFmtId="167" formatCode="0.000\ &quot;cts&quot;"/>
    <numFmt numFmtId="168" formatCode="0\ &quot;pcs&quot;"/>
    <numFmt numFmtId="169" formatCode="\$\ #,#00.00\ &quot;/oz&quot;"/>
    <numFmt numFmtId="170" formatCode="\$\ 0.00"/>
    <numFmt numFmtId="171" formatCode="\$#,##0.00"/>
    <numFmt numFmtId="172" formatCode="#,#00.00\ &quot;gr&quot;"/>
    <numFmt numFmtId="173" formatCode="0.00&quot;mm&quot;"/>
    <numFmt numFmtId="174" formatCode="#,##0.00\ &quot;g&quot;"/>
    <numFmt numFmtId="175" formatCode="\$0.00&quot;/g&quot;"/>
    <numFmt numFmtId="176" formatCode="#,##0.000\ &quot;ct&quot;"/>
  </numFmts>
  <fonts count="36">
    <font>
      <sz val="11"/>
      <color theme="1"/>
      <name val="Calibri"/>
      <family val="2"/>
      <scheme val="minor"/>
    </font>
    <font>
      <sz val="12"/>
      <name val="宋体"/>
      <family val="3"/>
      <charset val="129"/>
    </font>
    <font>
      <b/>
      <i/>
      <sz val="20"/>
      <name val="Times New Roman"/>
      <family val="1"/>
    </font>
    <font>
      <sz val="8"/>
      <name val="Times New Roman"/>
      <family val="2"/>
      <charset val="129"/>
    </font>
    <font>
      <sz val="8"/>
      <name val="돋움"/>
      <family val="3"/>
      <charset val="129"/>
    </font>
    <font>
      <i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sz val="8"/>
      <name val="돋움"/>
      <family val="3"/>
    </font>
    <font>
      <b/>
      <sz val="12"/>
      <name val="Times New Roman"/>
      <family val="1"/>
    </font>
    <font>
      <sz val="8"/>
      <name val="Calibri"/>
      <family val="3"/>
      <charset val="129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u/>
      <sz val="14"/>
      <color rgb="FFFF0000"/>
      <name val="Times New Roman"/>
      <family val="1"/>
    </font>
    <font>
      <b/>
      <u/>
      <sz val="16"/>
      <color theme="1"/>
      <name val="Times New Roman"/>
      <family val="1"/>
    </font>
    <font>
      <b/>
      <sz val="10"/>
      <color theme="0" tint="-0.499984740745262"/>
      <name val="Times New Roman"/>
      <family val="1"/>
    </font>
    <font>
      <sz val="9"/>
      <name val="宋体"/>
      <charset val="134"/>
    </font>
    <font>
      <b/>
      <sz val="14"/>
      <name val="Times New Roman"/>
      <family val="1"/>
    </font>
    <font>
      <u/>
      <sz val="14"/>
      <color theme="1"/>
      <name val="Times New Roman"/>
      <family val="1"/>
    </font>
    <font>
      <sz val="11"/>
      <color rgb="FF000000"/>
      <name val="Times New Roman"/>
      <family val="1"/>
    </font>
    <font>
      <sz val="14"/>
      <color theme="1"/>
      <name val="Times New Roman"/>
      <family val="1"/>
    </font>
    <font>
      <b/>
      <sz val="10"/>
      <color theme="1" tint="0.499984740745262"/>
      <name val="Times New Roman"/>
      <family val="1"/>
    </font>
    <font>
      <b/>
      <sz val="10"/>
      <name val="Times New Roman"/>
      <family val="1"/>
    </font>
    <font>
      <b/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8"/>
      <color rgb="FF222222"/>
      <name val="Comic Sans MS"/>
      <family val="4"/>
    </font>
    <font>
      <sz val="10"/>
      <color rgb="FFFF0000"/>
      <name val="Times New Roman"/>
      <family val="1"/>
    </font>
    <font>
      <i/>
      <u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164" fontId="34" fillId="0" borderId="0" applyFont="0" applyFill="0" applyBorder="0" applyAlignment="0" applyProtection="0"/>
  </cellStyleXfs>
  <cellXfs count="157">
    <xf numFmtId="0" fontId="0" fillId="0" borderId="0" xfId="0"/>
    <xf numFmtId="0" fontId="5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6" fillId="0" borderId="2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6" fillId="0" borderId="0" xfId="1" applyFont="1" applyAlignment="1">
      <alignment vertical="center"/>
    </xf>
    <xf numFmtId="0" fontId="6" fillId="0" borderId="7" xfId="1" applyFont="1" applyBorder="1" applyAlignment="1">
      <alignment vertical="center"/>
    </xf>
    <xf numFmtId="0" fontId="6" fillId="0" borderId="9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6" fillId="0" borderId="10" xfId="1" applyFont="1" applyBorder="1" applyAlignment="1">
      <alignment vertical="center"/>
    </xf>
    <xf numFmtId="0" fontId="6" fillId="0" borderId="1" xfId="1" applyFont="1" applyBorder="1" applyAlignment="1">
      <alignment vertical="center"/>
    </xf>
    <xf numFmtId="0" fontId="6" fillId="0" borderId="8" xfId="1" applyFont="1" applyBorder="1" applyAlignment="1">
      <alignment vertical="center"/>
    </xf>
    <xf numFmtId="0" fontId="6" fillId="0" borderId="6" xfId="1" applyFont="1" applyBorder="1" applyAlignment="1">
      <alignment horizontal="left" vertical="center"/>
    </xf>
    <xf numFmtId="49" fontId="6" fillId="0" borderId="0" xfId="1" applyNumberFormat="1" applyFont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165" fontId="6" fillId="0" borderId="6" xfId="1" applyNumberFormat="1" applyFont="1" applyBorder="1" applyAlignment="1">
      <alignment horizontal="left" vertical="center"/>
    </xf>
    <xf numFmtId="0" fontId="12" fillId="0" borderId="1" xfId="1" applyFont="1" applyBorder="1" applyAlignment="1">
      <alignment horizontal="center" vertical="center"/>
    </xf>
    <xf numFmtId="0" fontId="6" fillId="0" borderId="11" xfId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2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horizontal="left" vertical="center"/>
    </xf>
    <xf numFmtId="168" fontId="13" fillId="0" borderId="0" xfId="0" applyNumberFormat="1" applyFont="1" applyAlignment="1">
      <alignment vertical="center"/>
    </xf>
    <xf numFmtId="167" fontId="13" fillId="0" borderId="0" xfId="0" applyNumberFormat="1" applyFont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right" vertical="center"/>
    </xf>
    <xf numFmtId="170" fontId="13" fillId="0" borderId="0" xfId="0" applyNumberFormat="1" applyFont="1" applyAlignment="1">
      <alignment vertical="center"/>
    </xf>
    <xf numFmtId="171" fontId="19" fillId="0" borderId="0" xfId="0" applyNumberFormat="1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171" fontId="13" fillId="0" borderId="13" xfId="0" applyNumberFormat="1" applyFont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167" fontId="19" fillId="0" borderId="0" xfId="0" applyNumberFormat="1" applyFont="1" applyAlignment="1">
      <alignment horizontal="right" vertical="center"/>
    </xf>
    <xf numFmtId="0" fontId="26" fillId="0" borderId="0" xfId="2" applyFont="1" applyAlignment="1">
      <alignment vertical="center"/>
    </xf>
    <xf numFmtId="0" fontId="6" fillId="0" borderId="0" xfId="1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27" fillId="0" borderId="3" xfId="1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67" fontId="15" fillId="3" borderId="12" xfId="0" applyNumberFormat="1" applyFont="1" applyFill="1" applyBorder="1" applyAlignment="1">
      <alignment horizontal="center" vertical="center" wrapText="1"/>
    </xf>
    <xf numFmtId="165" fontId="6" fillId="0" borderId="9" xfId="1" applyNumberFormat="1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7" fontId="16" fillId="0" borderId="0" xfId="0" applyNumberFormat="1" applyFont="1" applyAlignment="1">
      <alignment vertical="center"/>
    </xf>
    <xf numFmtId="0" fontId="15" fillId="3" borderId="15" xfId="0" applyFont="1" applyFill="1" applyBorder="1" applyAlignment="1">
      <alignment horizontal="center" vertical="center" wrapText="1"/>
    </xf>
    <xf numFmtId="166" fontId="13" fillId="0" borderId="0" xfId="0" applyNumberFormat="1" applyFont="1" applyAlignment="1">
      <alignment vertical="center"/>
    </xf>
    <xf numFmtId="167" fontId="25" fillId="0" borderId="0" xfId="0" applyNumberFormat="1" applyFont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6" fillId="0" borderId="7" xfId="0" applyFont="1" applyBorder="1" applyAlignment="1">
      <alignment horizontal="left" vertical="center"/>
    </xf>
    <xf numFmtId="0" fontId="22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20" fillId="0" borderId="1" xfId="2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vertical="center"/>
    </xf>
    <xf numFmtId="166" fontId="12" fillId="0" borderId="18" xfId="0" applyNumberFormat="1" applyFont="1" applyBorder="1" applyAlignment="1">
      <alignment horizontal="center" vertical="center"/>
    </xf>
    <xf numFmtId="168" fontId="12" fillId="0" borderId="18" xfId="0" applyNumberFormat="1" applyFont="1" applyBorder="1" applyAlignment="1">
      <alignment horizontal="center" vertical="center"/>
    </xf>
    <xf numFmtId="167" fontId="12" fillId="0" borderId="18" xfId="0" applyNumberFormat="1" applyFont="1" applyBorder="1" applyAlignment="1">
      <alignment horizontal="center" vertical="center"/>
    </xf>
    <xf numFmtId="171" fontId="13" fillId="0" borderId="18" xfId="0" applyNumberFormat="1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" fontId="17" fillId="0" borderId="20" xfId="0" applyNumberFormat="1" applyFont="1" applyBorder="1" applyAlignment="1">
      <alignment horizontal="center" vertical="center"/>
    </xf>
    <xf numFmtId="172" fontId="13" fillId="0" borderId="20" xfId="0" applyNumberFormat="1" applyFont="1" applyBorder="1" applyAlignment="1">
      <alignment horizontal="center" vertical="center"/>
    </xf>
    <xf numFmtId="167" fontId="17" fillId="0" borderId="20" xfId="0" applyNumberFormat="1" applyFont="1" applyBorder="1" applyAlignment="1">
      <alignment horizontal="center" vertical="center"/>
    </xf>
    <xf numFmtId="171" fontId="17" fillId="0" borderId="20" xfId="0" applyNumberFormat="1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71" fontId="17" fillId="0" borderId="18" xfId="0" applyNumberFormat="1" applyFont="1" applyBorder="1" applyAlignment="1">
      <alignment horizontal="right" vertical="center"/>
    </xf>
    <xf numFmtId="167" fontId="28" fillId="0" borderId="0" xfId="0" applyNumberFormat="1" applyFont="1" applyAlignment="1">
      <alignment horizontal="right" vertical="center"/>
    </xf>
    <xf numFmtId="170" fontId="6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14" fontId="6" fillId="0" borderId="6" xfId="1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6" xfId="1" applyNumberFormat="1" applyFont="1" applyBorder="1" applyAlignment="1">
      <alignment horizontal="right" vertical="center"/>
    </xf>
    <xf numFmtId="0" fontId="6" fillId="0" borderId="6" xfId="1" applyFont="1" applyBorder="1" applyAlignment="1">
      <alignment horizontal="right" vertical="center"/>
    </xf>
    <xf numFmtId="14" fontId="6" fillId="0" borderId="6" xfId="1" applyNumberFormat="1" applyFont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167" fontId="16" fillId="0" borderId="0" xfId="0" applyNumberFormat="1" applyFont="1" applyAlignment="1">
      <alignment horizontal="right" vertical="center"/>
    </xf>
    <xf numFmtId="0" fontId="32" fillId="0" borderId="6" xfId="1" applyFont="1" applyBorder="1" applyAlignment="1">
      <alignment vertical="center"/>
    </xf>
    <xf numFmtId="0" fontId="32" fillId="0" borderId="0" xfId="1" applyFont="1" applyAlignment="1">
      <alignment vertical="center"/>
    </xf>
    <xf numFmtId="0" fontId="17" fillId="0" borderId="19" xfId="0" applyFont="1" applyBorder="1" applyAlignment="1">
      <alignment horizontal="left" vertical="center"/>
    </xf>
    <xf numFmtId="0" fontId="15" fillId="4" borderId="14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 wrapText="1"/>
    </xf>
    <xf numFmtId="2" fontId="15" fillId="4" borderId="12" xfId="0" applyNumberFormat="1" applyFont="1" applyFill="1" applyBorder="1" applyAlignment="1">
      <alignment horizontal="center" vertical="center" wrapText="1"/>
    </xf>
    <xf numFmtId="166" fontId="15" fillId="4" borderId="12" xfId="0" applyNumberFormat="1" applyFont="1" applyFill="1" applyBorder="1" applyAlignment="1">
      <alignment horizontal="center" vertical="center" wrapText="1"/>
    </xf>
    <xf numFmtId="167" fontId="15" fillId="4" borderId="12" xfId="0" applyNumberFormat="1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169" fontId="14" fillId="0" borderId="0" xfId="0" applyNumberFormat="1" applyFont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/>
    </xf>
    <xf numFmtId="1" fontId="24" fillId="0" borderId="13" xfId="0" applyNumberFormat="1" applyFont="1" applyBorder="1" applyAlignment="1">
      <alignment horizontal="center" vertical="center" shrinkToFit="1"/>
    </xf>
    <xf numFmtId="0" fontId="12" fillId="0" borderId="13" xfId="0" quotePrefix="1" applyFont="1" applyBorder="1" applyAlignment="1">
      <alignment horizontal="center" vertical="center" wrapText="1"/>
    </xf>
    <xf numFmtId="173" fontId="13" fillId="0" borderId="13" xfId="0" applyNumberFormat="1" applyFont="1" applyBorder="1" applyAlignment="1">
      <alignment horizontal="center" vertical="center" wrapText="1"/>
    </xf>
    <xf numFmtId="168" fontId="13" fillId="0" borderId="13" xfId="0" applyNumberFormat="1" applyFont="1" applyBorder="1" applyAlignment="1">
      <alignment horizontal="center" vertical="center" wrapText="1"/>
    </xf>
    <xf numFmtId="167" fontId="33" fillId="0" borderId="0" xfId="0" applyNumberFormat="1" applyFont="1" applyAlignment="1">
      <alignment vertical="center"/>
    </xf>
    <xf numFmtId="4" fontId="16" fillId="2" borderId="0" xfId="0" applyNumberFormat="1" applyFont="1" applyFill="1" applyAlignment="1">
      <alignment horizontal="center" vertical="center"/>
    </xf>
    <xf numFmtId="4" fontId="15" fillId="0" borderId="0" xfId="0" applyNumberFormat="1" applyFont="1" applyAlignment="1">
      <alignment horizontal="center" vertical="center"/>
    </xf>
    <xf numFmtId="164" fontId="13" fillId="0" borderId="0" xfId="3" applyFont="1" applyAlignment="1">
      <alignment vertical="center"/>
    </xf>
    <xf numFmtId="174" fontId="12" fillId="5" borderId="13" xfId="0" applyNumberFormat="1" applyFont="1" applyFill="1" applyBorder="1" applyAlignment="1">
      <alignment horizontal="center" vertical="center" wrapText="1"/>
    </xf>
    <xf numFmtId="174" fontId="13" fillId="5" borderId="13" xfId="0" applyNumberFormat="1" applyFont="1" applyFill="1" applyBorder="1" applyAlignment="1">
      <alignment horizontal="center" vertical="center"/>
    </xf>
    <xf numFmtId="174" fontId="13" fillId="5" borderId="20" xfId="0" applyNumberFormat="1" applyFont="1" applyFill="1" applyBorder="1" applyAlignment="1">
      <alignment horizontal="center" vertical="center"/>
    </xf>
    <xf numFmtId="175" fontId="12" fillId="0" borderId="13" xfId="0" applyNumberFormat="1" applyFont="1" applyBorder="1" applyAlignment="1">
      <alignment horizontal="center" vertical="center"/>
    </xf>
    <xf numFmtId="171" fontId="13" fillId="0" borderId="21" xfId="0" applyNumberFormat="1" applyFont="1" applyBorder="1" applyAlignment="1">
      <alignment horizontal="center" vertical="center"/>
    </xf>
    <xf numFmtId="171" fontId="17" fillId="0" borderId="22" xfId="0" applyNumberFormat="1" applyFont="1" applyBorder="1" applyAlignment="1">
      <alignment horizontal="center" vertical="center"/>
    </xf>
    <xf numFmtId="171" fontId="13" fillId="0" borderId="23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12" xfId="0" quotePrefix="1" applyFont="1" applyBorder="1" applyAlignment="1">
      <alignment horizontal="center" vertical="center" wrapText="1"/>
    </xf>
    <xf numFmtId="1" fontId="24" fillId="0" borderId="12" xfId="0" applyNumberFormat="1" applyFont="1" applyBorder="1" applyAlignment="1">
      <alignment horizontal="center" vertical="center" shrinkToFit="1"/>
    </xf>
    <xf numFmtId="174" fontId="12" fillId="5" borderId="12" xfId="0" applyNumberFormat="1" applyFont="1" applyFill="1" applyBorder="1" applyAlignment="1">
      <alignment horizontal="center" vertical="center" wrapText="1"/>
    </xf>
    <xf numFmtId="176" fontId="12" fillId="0" borderId="13" xfId="0" applyNumberFormat="1" applyFont="1" applyBorder="1" applyAlignment="1">
      <alignment horizontal="center" vertical="center"/>
    </xf>
    <xf numFmtId="176" fontId="17" fillId="0" borderId="20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1" fontId="17" fillId="0" borderId="0" xfId="0" applyNumberFormat="1" applyFont="1" applyBorder="1" applyAlignment="1">
      <alignment horizontal="center" vertical="center"/>
    </xf>
    <xf numFmtId="174" fontId="13" fillId="5" borderId="0" xfId="0" applyNumberFormat="1" applyFont="1" applyFill="1" applyBorder="1" applyAlignment="1">
      <alignment horizontal="center" vertical="center"/>
    </xf>
    <xf numFmtId="172" fontId="13" fillId="0" borderId="0" xfId="0" applyNumberFormat="1" applyFont="1" applyBorder="1" applyAlignment="1">
      <alignment horizontal="center" vertical="center"/>
    </xf>
    <xf numFmtId="167" fontId="17" fillId="0" borderId="0" xfId="0" applyNumberFormat="1" applyFont="1" applyBorder="1" applyAlignment="1">
      <alignment horizontal="center" vertical="center"/>
    </xf>
    <xf numFmtId="176" fontId="17" fillId="0" borderId="0" xfId="0" applyNumberFormat="1" applyFont="1" applyBorder="1" applyAlignment="1">
      <alignment horizontal="center" vertical="center"/>
    </xf>
    <xf numFmtId="171" fontId="17" fillId="0" borderId="0" xfId="0" applyNumberFormat="1" applyFont="1" applyBorder="1" applyAlignment="1">
      <alignment horizontal="center" vertical="center"/>
    </xf>
    <xf numFmtId="171" fontId="17" fillId="0" borderId="8" xfId="0" applyNumberFormat="1" applyFont="1" applyBorder="1" applyAlignment="1">
      <alignment horizontal="center" vertical="center"/>
    </xf>
    <xf numFmtId="174" fontId="12" fillId="0" borderId="13" xfId="0" applyNumberFormat="1" applyFont="1" applyFill="1" applyBorder="1" applyAlignment="1">
      <alignment horizontal="center" vertical="center" wrapText="1"/>
    </xf>
    <xf numFmtId="174" fontId="13" fillId="0" borderId="13" xfId="0" applyNumberFormat="1" applyFont="1" applyFill="1" applyBorder="1" applyAlignment="1">
      <alignment horizontal="center" vertical="center"/>
    </xf>
    <xf numFmtId="173" fontId="13" fillId="0" borderId="13" xfId="0" applyNumberFormat="1" applyFont="1" applyFill="1" applyBorder="1" applyAlignment="1">
      <alignment horizontal="center" vertical="center" wrapText="1"/>
    </xf>
    <xf numFmtId="174" fontId="12" fillId="0" borderId="12" xfId="0" applyNumberFormat="1" applyFont="1" applyFill="1" applyBorder="1" applyAlignment="1">
      <alignment horizontal="center" vertical="center" wrapText="1"/>
    </xf>
    <xf numFmtId="174" fontId="13" fillId="0" borderId="20" xfId="0" applyNumberFormat="1" applyFont="1" applyFill="1" applyBorder="1" applyAlignment="1">
      <alignment horizontal="center" vertical="center"/>
    </xf>
    <xf numFmtId="172" fontId="13" fillId="0" borderId="20" xfId="0" applyNumberFormat="1" applyFont="1" applyFill="1" applyBorder="1" applyAlignment="1">
      <alignment horizontal="center" vertical="center"/>
    </xf>
    <xf numFmtId="171" fontId="19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24" xfId="0" applyFont="1" applyBorder="1" applyAlignment="1">
      <alignment horizontal="center"/>
    </xf>
    <xf numFmtId="171" fontId="28" fillId="0" borderId="24" xfId="0" applyNumberFormat="1" applyFont="1" applyBorder="1" applyAlignment="1">
      <alignment horizontal="center" vertical="center"/>
    </xf>
    <xf numFmtId="171" fontId="28" fillId="0" borderId="25" xfId="0" applyNumberFormat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171" fontId="28" fillId="0" borderId="0" xfId="0" applyNumberFormat="1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</cellXfs>
  <cellStyles count="4">
    <cellStyle name="Comma [0]" xfId="3" builtinId="6"/>
    <cellStyle name="Normal" xfId="0" builtinId="0"/>
    <cellStyle name="Normal 2" xfId="2" xr:uid="{00000000-0005-0000-0000-000001000000}"/>
    <cellStyle name="표준 2 2" xfId="1" xr:uid="{00000000-0005-0000-0000-000002000000}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F63"/>
  <sheetViews>
    <sheetView showGridLines="0" tabSelected="1" view="pageBreakPreview" topLeftCell="O43" zoomScaleSheetLayoutView="100" workbookViewId="0">
      <selection activeCell="P49" sqref="P49"/>
    </sheetView>
  </sheetViews>
  <sheetFormatPr defaultColWidth="8.7265625" defaultRowHeight="14"/>
  <cols>
    <col min="1" max="1" width="19.1796875" style="21" customWidth="1"/>
    <col min="2" max="2" width="12.453125" style="21" customWidth="1"/>
    <col min="3" max="3" width="14" style="21" customWidth="1"/>
    <col min="4" max="4" width="17.453125" style="21" customWidth="1"/>
    <col min="5" max="5" width="12" style="21" customWidth="1"/>
    <col min="6" max="6" width="10" style="21" customWidth="1"/>
    <col min="7" max="7" width="6.81640625" style="21" customWidth="1"/>
    <col min="8" max="8" width="8.54296875" style="22" customWidth="1"/>
    <col min="9" max="10" width="8.54296875" style="23" customWidth="1"/>
    <col min="11" max="11" width="8.54296875" style="24" customWidth="1"/>
    <col min="12" max="12" width="11.81640625" style="24" customWidth="1"/>
    <col min="13" max="14" width="8.54296875" style="24" customWidth="1"/>
    <col min="15" max="15" width="11.81640625" style="25" customWidth="1"/>
    <col min="16" max="16" width="9.1796875" style="25" customWidth="1"/>
    <col min="17" max="19" width="12.453125" style="26" customWidth="1"/>
    <col min="20" max="21" width="8.453125" style="26" customWidth="1"/>
    <col min="22" max="22" width="9.1796875" style="26" customWidth="1"/>
    <col min="23" max="23" width="10" style="26" customWidth="1"/>
    <col min="24" max="24" width="13.453125" style="29" customWidth="1"/>
    <col min="25" max="25" width="14.54296875" style="22" customWidth="1"/>
    <col min="26" max="27" width="11.26953125" style="22" customWidth="1"/>
    <col min="28" max="29" width="8.7265625" style="22"/>
    <col min="30" max="30" width="8.81640625" style="22" bestFit="1" customWidth="1"/>
    <col min="31" max="16384" width="8.7265625" style="22"/>
  </cols>
  <sheetData>
    <row r="1" spans="1:32" s="1" customFormat="1" ht="31.5" customHeight="1">
      <c r="A1" s="146" t="s">
        <v>38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</row>
    <row r="2" spans="1:32" s="2" customFormat="1" ht="15.5">
      <c r="A2" s="149" t="s">
        <v>42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1"/>
    </row>
    <row r="3" spans="1:32" s="3" customFormat="1" ht="20">
      <c r="A3" s="152" t="s">
        <v>44</v>
      </c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4"/>
    </row>
    <row r="4" spans="1:32" s="7" customFormat="1" ht="12" customHeight="1">
      <c r="A4" s="4" t="s">
        <v>0</v>
      </c>
      <c r="B4" s="46" t="s">
        <v>38</v>
      </c>
      <c r="C4" s="46"/>
      <c r="D4" s="46"/>
      <c r="E4" s="46"/>
      <c r="F4" s="47"/>
      <c r="G4" s="47"/>
      <c r="H4" s="47"/>
      <c r="I4" s="47"/>
      <c r="J4" s="47"/>
      <c r="K4" s="11"/>
      <c r="L4" s="5" t="s">
        <v>26</v>
      </c>
      <c r="M4" s="6"/>
      <c r="N4" s="6" t="s">
        <v>70</v>
      </c>
      <c r="O4" s="6"/>
      <c r="P4" s="6"/>
      <c r="Q4" s="6"/>
      <c r="R4" s="6"/>
      <c r="S4" s="6"/>
      <c r="T4" s="6"/>
      <c r="U4" s="6"/>
      <c r="V4" s="83"/>
      <c r="W4" s="6"/>
      <c r="X4" s="6"/>
      <c r="Y4" s="49"/>
      <c r="Z4" s="7" t="s">
        <v>60</v>
      </c>
      <c r="AA4" s="7">
        <v>0.24</v>
      </c>
    </row>
    <row r="5" spans="1:32" s="7" customFormat="1" ht="12" customHeight="1">
      <c r="A5" s="8"/>
      <c r="B5" s="43" t="s">
        <v>43</v>
      </c>
      <c r="C5" s="43"/>
      <c r="D5" s="43"/>
      <c r="E5" s="43"/>
      <c r="F5" s="82"/>
      <c r="G5" s="82"/>
      <c r="H5" s="82"/>
      <c r="I5" s="82"/>
      <c r="J5" s="82"/>
      <c r="K5" s="14"/>
      <c r="L5" s="5" t="s">
        <v>27</v>
      </c>
      <c r="M5" s="6"/>
      <c r="N5" s="6"/>
      <c r="O5" s="92"/>
      <c r="P5" s="92"/>
      <c r="Q5" s="6"/>
      <c r="R5" s="6"/>
      <c r="S5" s="6"/>
      <c r="T5" s="6"/>
      <c r="U5" s="6"/>
      <c r="V5" s="6"/>
      <c r="W5" s="6"/>
      <c r="X5" s="6"/>
      <c r="Y5" s="9"/>
    </row>
    <row r="6" spans="1:32" s="7" customFormat="1" ht="12" customHeight="1">
      <c r="A6" s="8"/>
      <c r="B6" s="43" t="s">
        <v>39</v>
      </c>
      <c r="C6" s="43"/>
      <c r="D6" s="43"/>
      <c r="E6" s="43"/>
      <c r="F6" s="82"/>
      <c r="G6" s="82"/>
      <c r="H6" s="82"/>
      <c r="I6" s="82"/>
      <c r="J6" s="82"/>
      <c r="K6" s="14"/>
      <c r="L6" s="4" t="s">
        <v>40</v>
      </c>
      <c r="M6" s="39"/>
      <c r="N6" s="10"/>
      <c r="O6" s="39"/>
      <c r="P6" s="39"/>
      <c r="Q6" s="39"/>
      <c r="R6" s="39"/>
      <c r="S6" s="39"/>
      <c r="T6" s="39"/>
      <c r="U6" s="39"/>
      <c r="V6" s="10"/>
      <c r="W6" s="10"/>
      <c r="X6" s="10"/>
      <c r="Y6" s="11"/>
    </row>
    <row r="7" spans="1:32" s="7" customFormat="1" ht="12" customHeight="1">
      <c r="A7" s="12"/>
      <c r="B7" s="44" t="s">
        <v>18</v>
      </c>
      <c r="C7" s="44"/>
      <c r="D7" s="44"/>
      <c r="E7" s="44"/>
      <c r="F7" s="45"/>
      <c r="G7" s="45"/>
      <c r="H7" s="45"/>
      <c r="I7" s="45"/>
      <c r="J7" s="45"/>
      <c r="K7" s="20"/>
      <c r="L7" s="12"/>
      <c r="M7" s="44"/>
      <c r="N7" s="13"/>
      <c r="O7" s="44"/>
      <c r="P7" s="44"/>
      <c r="Q7" s="44"/>
      <c r="R7" s="44"/>
      <c r="S7" s="44"/>
      <c r="T7" s="44"/>
      <c r="U7" s="44"/>
      <c r="V7" s="13"/>
      <c r="W7" s="13"/>
      <c r="X7" s="13"/>
      <c r="Y7" s="20"/>
    </row>
    <row r="8" spans="1:32" s="7" customFormat="1" ht="12" customHeight="1">
      <c r="A8" s="4" t="s">
        <v>1</v>
      </c>
      <c r="B8" s="46" t="s">
        <v>68</v>
      </c>
      <c r="C8" s="46"/>
      <c r="D8" s="46"/>
      <c r="E8" s="46"/>
      <c r="F8" s="46"/>
      <c r="G8" s="46"/>
      <c r="H8" s="46"/>
      <c r="I8" s="46"/>
      <c r="J8" s="46"/>
      <c r="K8" s="11"/>
      <c r="L8" s="5" t="s">
        <v>28</v>
      </c>
      <c r="M8" s="15"/>
      <c r="N8" s="6"/>
      <c r="O8" s="15"/>
      <c r="P8" s="15"/>
      <c r="Q8" s="15"/>
      <c r="R8" s="15"/>
      <c r="S8" s="15"/>
      <c r="T8" s="15"/>
      <c r="U8" s="15"/>
      <c r="V8" s="6"/>
      <c r="W8" s="6"/>
      <c r="X8" s="6"/>
      <c r="Y8" s="9"/>
    </row>
    <row r="9" spans="1:32" s="7" customFormat="1" ht="12" customHeight="1">
      <c r="A9" s="8"/>
      <c r="B9" s="43" t="s">
        <v>51</v>
      </c>
      <c r="C9" s="43"/>
      <c r="D9" s="43"/>
      <c r="E9" s="43"/>
      <c r="F9" s="43"/>
      <c r="G9" s="43"/>
      <c r="H9" s="43"/>
      <c r="I9" s="43"/>
      <c r="J9" s="43"/>
      <c r="K9" s="14"/>
      <c r="L9" s="39" t="s">
        <v>30</v>
      </c>
      <c r="M9" s="39"/>
      <c r="N9" s="10"/>
      <c r="O9" s="10" t="s">
        <v>31</v>
      </c>
      <c r="P9" s="10"/>
      <c r="Q9" s="39"/>
      <c r="R9" s="39"/>
      <c r="S9" s="39"/>
      <c r="T9" s="39"/>
      <c r="U9" s="39"/>
      <c r="V9" s="10"/>
      <c r="W9" s="10"/>
      <c r="X9" s="10"/>
      <c r="Y9" s="11"/>
    </row>
    <row r="10" spans="1:32" s="7" customFormat="1" ht="12" customHeight="1">
      <c r="A10" s="8"/>
      <c r="B10" s="43"/>
      <c r="C10" s="43"/>
      <c r="D10" s="43"/>
      <c r="E10" s="43"/>
      <c r="F10" s="43"/>
      <c r="G10" s="43"/>
      <c r="H10" s="43"/>
      <c r="I10" s="43"/>
      <c r="J10" s="43"/>
      <c r="K10" s="14"/>
      <c r="L10" s="7" t="s">
        <v>32</v>
      </c>
      <c r="Q10" s="84"/>
      <c r="R10" s="84"/>
      <c r="S10" s="84"/>
      <c r="T10" s="84"/>
      <c r="U10" s="84"/>
      <c r="V10" s="85"/>
      <c r="W10" s="16"/>
      <c r="Y10" s="14"/>
    </row>
    <row r="11" spans="1:32" s="7" customFormat="1" ht="12" customHeight="1">
      <c r="A11" s="12"/>
      <c r="B11" s="44"/>
      <c r="C11" s="44"/>
      <c r="D11" s="44"/>
      <c r="E11" s="44"/>
      <c r="F11" s="44"/>
      <c r="G11" s="44"/>
      <c r="H11" s="44"/>
      <c r="I11" s="44"/>
      <c r="J11" s="44"/>
      <c r="K11" s="20"/>
      <c r="L11" s="7" t="s">
        <v>2</v>
      </c>
      <c r="O11" s="93"/>
      <c r="P11" s="93"/>
      <c r="V11" s="16"/>
      <c r="W11" s="16"/>
      <c r="Y11" s="14"/>
    </row>
    <row r="12" spans="1:32" s="7" customFormat="1" ht="12" customHeight="1">
      <c r="A12" s="17"/>
      <c r="B12" s="86" t="s">
        <v>33</v>
      </c>
      <c r="C12" s="18"/>
      <c r="D12" s="18"/>
      <c r="E12" s="18"/>
      <c r="F12" s="18"/>
      <c r="G12" s="5"/>
      <c r="H12" s="88" t="s">
        <v>34</v>
      </c>
      <c r="I12" s="6" t="s">
        <v>36</v>
      </c>
      <c r="J12" s="6"/>
      <c r="K12" s="9"/>
      <c r="L12" s="13" t="s">
        <v>3</v>
      </c>
      <c r="M12" s="13"/>
      <c r="N12" s="13"/>
      <c r="O12" s="13"/>
      <c r="P12" s="13"/>
      <c r="Q12" s="13"/>
      <c r="R12" s="13"/>
      <c r="S12" s="13"/>
      <c r="T12" s="13"/>
      <c r="U12" s="13"/>
      <c r="V12" s="19"/>
      <c r="W12" s="19"/>
      <c r="X12" s="13"/>
      <c r="Y12" s="20"/>
    </row>
    <row r="13" spans="1:32" s="7" customFormat="1" ht="12" customHeight="1">
      <c r="A13" s="5"/>
      <c r="B13" s="87" t="s">
        <v>41</v>
      </c>
      <c r="C13" s="6"/>
      <c r="D13" s="6"/>
      <c r="E13" s="6"/>
      <c r="F13" s="6"/>
      <c r="G13" s="5"/>
      <c r="H13" s="87" t="s">
        <v>35</v>
      </c>
      <c r="I13" s="6" t="s">
        <v>37</v>
      </c>
      <c r="J13" s="6"/>
      <c r="K13" s="9"/>
      <c r="L13" s="5" t="s">
        <v>29</v>
      </c>
      <c r="M13" s="6"/>
      <c r="N13" s="6"/>
      <c r="O13" s="15"/>
      <c r="P13" s="15"/>
      <c r="Q13" s="15"/>
      <c r="R13" s="15"/>
      <c r="S13" s="15"/>
      <c r="T13" s="15"/>
      <c r="U13" s="15"/>
      <c r="V13" s="6"/>
      <c r="W13" s="6"/>
      <c r="X13" s="6"/>
      <c r="Y13" s="9"/>
      <c r="AA13" s="7" t="s">
        <v>58</v>
      </c>
      <c r="AB13" s="7">
        <v>73</v>
      </c>
    </row>
    <row r="14" spans="1:32" ht="16" customHeight="1">
      <c r="A14" s="56" t="s">
        <v>64</v>
      </c>
      <c r="K14" s="51"/>
      <c r="L14" s="51"/>
      <c r="M14" s="51"/>
      <c r="N14" s="51"/>
      <c r="W14" s="52"/>
      <c r="X14" s="91" t="s">
        <v>78</v>
      </c>
      <c r="Y14" s="101">
        <f>1.01*2942.05</f>
        <v>2971.4705000000004</v>
      </c>
      <c r="AA14" s="22" t="s">
        <v>59</v>
      </c>
      <c r="AB14" s="22">
        <v>166.27</v>
      </c>
    </row>
    <row r="15" spans="1:32" s="100" customFormat="1" ht="28">
      <c r="A15" s="95" t="s">
        <v>63</v>
      </c>
      <c r="B15" s="96" t="s">
        <v>4</v>
      </c>
      <c r="C15" s="96" t="s">
        <v>23</v>
      </c>
      <c r="D15" s="96" t="s">
        <v>45</v>
      </c>
      <c r="E15" s="96" t="s">
        <v>46</v>
      </c>
      <c r="F15" s="96" t="s">
        <v>5</v>
      </c>
      <c r="G15" s="96" t="s">
        <v>6</v>
      </c>
      <c r="H15" s="97" t="s">
        <v>7</v>
      </c>
      <c r="I15" s="97" t="s">
        <v>47</v>
      </c>
      <c r="J15" s="97" t="s">
        <v>8</v>
      </c>
      <c r="K15" s="98" t="s">
        <v>13</v>
      </c>
      <c r="L15" s="98" t="s">
        <v>19</v>
      </c>
      <c r="M15" s="98" t="s">
        <v>22</v>
      </c>
      <c r="N15" s="98" t="s">
        <v>20</v>
      </c>
      <c r="O15" s="99" t="s">
        <v>9</v>
      </c>
      <c r="P15" s="99" t="s">
        <v>49</v>
      </c>
      <c r="Q15" s="48" t="s">
        <v>50</v>
      </c>
      <c r="R15" s="48" t="s">
        <v>54</v>
      </c>
      <c r="S15" s="48" t="s">
        <v>67</v>
      </c>
      <c r="T15" s="48" t="s">
        <v>12</v>
      </c>
      <c r="U15" s="48" t="s">
        <v>52</v>
      </c>
      <c r="V15" s="48" t="s">
        <v>48</v>
      </c>
      <c r="W15" s="48" t="s">
        <v>14</v>
      </c>
      <c r="X15" s="53" t="s">
        <v>11</v>
      </c>
      <c r="Y15" s="53" t="s">
        <v>21</v>
      </c>
      <c r="AA15" s="100" t="s">
        <v>55</v>
      </c>
      <c r="AB15" s="100" t="s">
        <v>56</v>
      </c>
      <c r="AC15" s="100" t="s">
        <v>57</v>
      </c>
      <c r="AD15" s="100" t="s">
        <v>61</v>
      </c>
      <c r="AE15" s="100" t="s">
        <v>65</v>
      </c>
      <c r="AF15" s="100" t="s">
        <v>66</v>
      </c>
    </row>
    <row r="16" spans="1:32" s="27" customFormat="1" ht="28.5" thickBot="1">
      <c r="A16" s="103" t="s">
        <v>69</v>
      </c>
      <c r="B16" s="120" t="s">
        <v>71</v>
      </c>
      <c r="C16" s="121" t="s">
        <v>80</v>
      </c>
      <c r="D16" s="121" t="s">
        <v>72</v>
      </c>
      <c r="E16" s="120"/>
      <c r="F16" s="120" t="s">
        <v>81</v>
      </c>
      <c r="G16" s="122">
        <v>1</v>
      </c>
      <c r="H16" s="112">
        <v>6.08</v>
      </c>
      <c r="I16" s="123">
        <v>0.2</v>
      </c>
      <c r="J16" s="123">
        <v>0.44</v>
      </c>
      <c r="K16" s="113">
        <f t="shared" ref="K16" si="0">H16-I16-J16</f>
        <v>5.4399999999999995</v>
      </c>
      <c r="L16" s="106" t="s">
        <v>76</v>
      </c>
      <c r="M16" s="106" t="s">
        <v>82</v>
      </c>
      <c r="N16" s="107" t="s">
        <v>77</v>
      </c>
      <c r="O16" s="115">
        <v>9.25</v>
      </c>
      <c r="P16" s="124">
        <v>1</v>
      </c>
      <c r="Q16" s="38"/>
      <c r="R16" s="38"/>
      <c r="S16" s="38">
        <f t="shared" ref="S16" si="1">G16*0.035*(20+19)</f>
        <v>1.3650000000000002</v>
      </c>
      <c r="T16" s="38">
        <f>G16*2</f>
        <v>2</v>
      </c>
      <c r="U16" s="38">
        <f t="shared" ref="U16" si="2">IF(RIGHT(F16,2)="WG",K16*$AA$4,IF(OR(RIGHT(F16,3)="WRG",RIGHT(F16,3)="WYG",RIGHT(F16,3)="WYR"),K16*$AA$4+3*G16,0))</f>
        <v>0</v>
      </c>
      <c r="V16" s="38"/>
      <c r="W16" s="38">
        <f t="shared" ref="W16" si="3">G16*(20+19)*0.3</f>
        <v>11.7</v>
      </c>
      <c r="X16" s="38">
        <f t="shared" ref="X16" si="4">K16*O16</f>
        <v>50.319999999999993</v>
      </c>
      <c r="Y16" s="116">
        <f t="shared" ref="Y16" si="5">$Y$14/31.1035*K16*IF(LEFT(F16,3)="10K",0.417*1.07,IF(LEFT(F16,3)="14K",0.585*1.05,IF(LEFT(F16,3)="18K",0.75*1.05,0)))</f>
        <v>319.23185831690961</v>
      </c>
      <c r="Z16" s="27">
        <f t="shared" ref="Z16" si="6">2*K16</f>
        <v>10.879999999999999</v>
      </c>
      <c r="AA16" s="109">
        <f t="shared" ref="AA16" si="7">(SUM(Q16:W16)+AF16)-Z16</f>
        <v>54.504999999999995</v>
      </c>
      <c r="AB16" s="109">
        <f t="shared" ref="AB16" si="8">AD16*$AB$13+P16*$AB$14</f>
        <v>410.20096000000001</v>
      </c>
      <c r="AC16" s="109">
        <f t="shared" ref="AC16" si="9">SUM(AA16:AB16)</f>
        <v>464.70596</v>
      </c>
      <c r="AD16" s="27">
        <f t="shared" ref="AD16" si="10">K16*IF(LEFT(F16,3)="10K",0.417*1.07,IF(LEFT(F16,3)="14K",0.585*1.05,IF(LEFT(F16,3)="18K",0.75*1.05,0)))</f>
        <v>3.3415199999999996</v>
      </c>
      <c r="AF16" s="27">
        <f t="shared" ref="AF16" si="11">IF(AE16&gt;0,AE16*K16,X16)</f>
        <v>50.319999999999993</v>
      </c>
    </row>
    <row r="17" spans="1:32" s="28" customFormat="1" ht="16" customHeight="1">
      <c r="A17" s="94" t="s">
        <v>62</v>
      </c>
      <c r="B17" s="72"/>
      <c r="C17" s="72"/>
      <c r="D17" s="72"/>
      <c r="E17" s="72"/>
      <c r="F17" s="72"/>
      <c r="G17" s="73">
        <f>SUM(G16:G16)</f>
        <v>1</v>
      </c>
      <c r="H17" s="114"/>
      <c r="I17" s="114"/>
      <c r="J17" s="114"/>
      <c r="K17" s="114">
        <f>SUM(K16:K16)</f>
        <v>5.4399999999999995</v>
      </c>
      <c r="L17" s="74"/>
      <c r="M17" s="74"/>
      <c r="N17" s="74"/>
      <c r="O17" s="75"/>
      <c r="P17" s="125">
        <f t="shared" ref="P17:Y17" si="12">SUM(P16:P16)</f>
        <v>1</v>
      </c>
      <c r="Q17" s="76">
        <f t="shared" si="12"/>
        <v>0</v>
      </c>
      <c r="R17" s="76">
        <f t="shared" si="12"/>
        <v>0</v>
      </c>
      <c r="S17" s="76">
        <f t="shared" si="12"/>
        <v>1.3650000000000002</v>
      </c>
      <c r="T17" s="76">
        <f t="shared" si="12"/>
        <v>2</v>
      </c>
      <c r="U17" s="76">
        <f t="shared" si="12"/>
        <v>0</v>
      </c>
      <c r="V17" s="76">
        <f t="shared" si="12"/>
        <v>0</v>
      </c>
      <c r="W17" s="76">
        <f t="shared" si="12"/>
        <v>11.7</v>
      </c>
      <c r="X17" s="76">
        <f t="shared" si="12"/>
        <v>50.319999999999993</v>
      </c>
      <c r="Y17" s="117">
        <f t="shared" si="12"/>
        <v>319.23185831690961</v>
      </c>
      <c r="AA17" s="110"/>
      <c r="AB17" s="110"/>
      <c r="AC17" s="110"/>
      <c r="AD17" s="110"/>
    </row>
    <row r="18" spans="1:32" ht="16" customHeight="1">
      <c r="A18" s="56" t="s">
        <v>64</v>
      </c>
      <c r="K18" s="51"/>
      <c r="L18" s="51"/>
      <c r="M18" s="51"/>
      <c r="N18" s="51"/>
      <c r="W18" s="52"/>
      <c r="X18" s="91" t="s">
        <v>84</v>
      </c>
      <c r="Y18" s="101">
        <f>1.01*2929.7</f>
        <v>2958.9969999999998</v>
      </c>
    </row>
    <row r="19" spans="1:32" s="100" customFormat="1" ht="28">
      <c r="A19" s="95" t="s">
        <v>63</v>
      </c>
      <c r="B19" s="96" t="s">
        <v>4</v>
      </c>
      <c r="C19" s="96" t="s">
        <v>23</v>
      </c>
      <c r="D19" s="96" t="s">
        <v>45</v>
      </c>
      <c r="E19" s="96" t="s">
        <v>46</v>
      </c>
      <c r="F19" s="96" t="s">
        <v>5</v>
      </c>
      <c r="G19" s="96" t="s">
        <v>6</v>
      </c>
      <c r="H19" s="97" t="s">
        <v>7</v>
      </c>
      <c r="I19" s="97" t="s">
        <v>47</v>
      </c>
      <c r="J19" s="97" t="s">
        <v>8</v>
      </c>
      <c r="K19" s="98" t="s">
        <v>13</v>
      </c>
      <c r="L19" s="98" t="s">
        <v>19</v>
      </c>
      <c r="M19" s="98" t="s">
        <v>22</v>
      </c>
      <c r="N19" s="98" t="s">
        <v>20</v>
      </c>
      <c r="O19" s="99" t="s">
        <v>9</v>
      </c>
      <c r="P19" s="99" t="s">
        <v>49</v>
      </c>
      <c r="Q19" s="48" t="s">
        <v>50</v>
      </c>
      <c r="R19" s="48" t="s">
        <v>54</v>
      </c>
      <c r="S19" s="48" t="s">
        <v>67</v>
      </c>
      <c r="T19" s="48" t="s">
        <v>12</v>
      </c>
      <c r="U19" s="48" t="s">
        <v>52</v>
      </c>
      <c r="V19" s="48" t="s">
        <v>48</v>
      </c>
      <c r="W19" s="48" t="s">
        <v>14</v>
      </c>
      <c r="X19" s="53" t="s">
        <v>11</v>
      </c>
      <c r="Y19" s="53" t="s">
        <v>21</v>
      </c>
    </row>
    <row r="20" spans="1:32" s="27" customFormat="1" ht="28">
      <c r="A20" s="103" t="s">
        <v>85</v>
      </c>
      <c r="B20" s="102" t="s">
        <v>71</v>
      </c>
      <c r="C20" s="105" t="s">
        <v>79</v>
      </c>
      <c r="D20" s="105" t="s">
        <v>86</v>
      </c>
      <c r="E20" s="102"/>
      <c r="F20" s="102" t="s">
        <v>87</v>
      </c>
      <c r="G20" s="104">
        <v>1</v>
      </c>
      <c r="H20" s="135">
        <v>6.23</v>
      </c>
      <c r="I20" s="135">
        <v>0.22</v>
      </c>
      <c r="J20" s="135">
        <v>0.44</v>
      </c>
      <c r="K20" s="136">
        <f>H20-I20-J20</f>
        <v>5.57</v>
      </c>
      <c r="L20" s="137" t="s">
        <v>76</v>
      </c>
      <c r="M20" s="106" t="s">
        <v>88</v>
      </c>
      <c r="N20" s="107" t="s">
        <v>77</v>
      </c>
      <c r="O20" s="115">
        <v>9.25</v>
      </c>
      <c r="P20" s="124">
        <v>1.0900000000000001</v>
      </c>
      <c r="Q20" s="38"/>
      <c r="R20" s="38"/>
      <c r="S20" s="38">
        <f>G20*0.035*(20+19)</f>
        <v>1.3650000000000002</v>
      </c>
      <c r="T20" s="38">
        <f>G20*2</f>
        <v>2</v>
      </c>
      <c r="U20" s="38">
        <f t="shared" ref="U20:U22" si="13">IF(RIGHT(F20,2)="WG",K20*$AA$4,IF(OR(RIGHT(F20,3)="WRG",RIGHT(F20,3)="WYG",RIGHT(F20,3)="WYR"),K20*$AA$4+3*G20,0))</f>
        <v>1.3368</v>
      </c>
      <c r="V20" s="38"/>
      <c r="W20" s="38">
        <f>G20*(20+19)*0.3</f>
        <v>11.7</v>
      </c>
      <c r="X20" s="38">
        <f t="shared" ref="X20:X22" si="14">K20*O20</f>
        <v>51.522500000000001</v>
      </c>
      <c r="Y20" s="116">
        <f>$Y$18/31.1035*K20*IF(LEFT(F20,3)="10K",0.417*1.07,IF(LEFT(F20,3)="14K",0.585*1.05,IF(LEFT(F20,3)="18K",0.75*1.05,0)))</f>
        <v>417.29292413635125</v>
      </c>
      <c r="Z20" s="27">
        <f>2*K20</f>
        <v>11.14</v>
      </c>
      <c r="AA20" s="109">
        <f>(SUM(Q20:W20)+AF20)-Z20</f>
        <v>56.784300000000002</v>
      </c>
      <c r="AB20" s="109">
        <f>AD20*$AB$13+P20*$AB$14</f>
        <v>501.43967500000008</v>
      </c>
      <c r="AC20" s="109">
        <f t="shared" ref="AC20" si="15">SUM(AA20:AB20)</f>
        <v>558.22397500000011</v>
      </c>
      <c r="AD20" s="27">
        <f t="shared" ref="AD20:AD22" si="16">K20*IF(LEFT(F20,3)="10K",0.417*1.07,IF(LEFT(F20,3)="14K",0.585*1.05,IF(LEFT(F20,3)="18K",0.75*1.05,0)))</f>
        <v>4.386375000000001</v>
      </c>
      <c r="AF20" s="27">
        <f>IF(AE20&gt;0,AE20*K20,X20)</f>
        <v>51.522500000000001</v>
      </c>
    </row>
    <row r="21" spans="1:32" s="27" customFormat="1" ht="28">
      <c r="A21" s="119">
        <v>2</v>
      </c>
      <c r="B21" s="120" t="s">
        <v>71</v>
      </c>
      <c r="C21" s="121" t="s">
        <v>79</v>
      </c>
      <c r="D21" s="121" t="s">
        <v>86</v>
      </c>
      <c r="E21" s="120"/>
      <c r="F21" s="102" t="s">
        <v>87</v>
      </c>
      <c r="G21" s="122">
        <v>1</v>
      </c>
      <c r="H21" s="135">
        <v>6.28</v>
      </c>
      <c r="I21" s="138">
        <v>0.23</v>
      </c>
      <c r="J21" s="138">
        <v>0.44</v>
      </c>
      <c r="K21" s="136">
        <f t="shared" ref="K21:K22" si="17">H21-I21-J21</f>
        <v>5.6099999999999994</v>
      </c>
      <c r="L21" s="137" t="s">
        <v>76</v>
      </c>
      <c r="M21" s="106" t="s">
        <v>88</v>
      </c>
      <c r="N21" s="107" t="s">
        <v>77</v>
      </c>
      <c r="O21" s="115">
        <v>9.25</v>
      </c>
      <c r="P21" s="124">
        <v>1.155</v>
      </c>
      <c r="Q21" s="38"/>
      <c r="R21" s="38"/>
      <c r="S21" s="38">
        <f>G21*0.035*(20+19)</f>
        <v>1.3650000000000002</v>
      </c>
      <c r="T21" s="38">
        <f t="shared" ref="T21:T22" si="18">G21*2</f>
        <v>2</v>
      </c>
      <c r="U21" s="38">
        <f t="shared" si="13"/>
        <v>1.3463999999999998</v>
      </c>
      <c r="V21" s="38"/>
      <c r="W21" s="38">
        <f>G21*(20+19)*0.3</f>
        <v>11.7</v>
      </c>
      <c r="X21" s="38">
        <f t="shared" si="14"/>
        <v>51.892499999999998</v>
      </c>
      <c r="Y21" s="116">
        <f t="shared" ref="Y21:Y22" si="19">$Y$18/31.1035*K21*IF(LEFT(F21,3)="10K",0.417*1.07,IF(LEFT(F21,3)="14K",0.585*1.05,IF(LEFT(F21,3)="18K",0.75*1.05,0)))</f>
        <v>420.28964172440402</v>
      </c>
      <c r="Z21" s="27">
        <f t="shared" ref="Z21:Z22" si="20">2*K21</f>
        <v>11.219999999999999</v>
      </c>
      <c r="AA21" s="109">
        <f t="shared" ref="AA21:AA22" si="21">(SUM(Q21:W21)+AF21)-Z21</f>
        <v>57.0839</v>
      </c>
      <c r="AB21" s="109">
        <f t="shared" ref="AB21:AB22" si="22">AD21*$AB$13+P21*$AB$14</f>
        <v>514.54672500000004</v>
      </c>
      <c r="AC21" s="109">
        <f t="shared" ref="AC21:AC22" si="23">SUM(AA21:AB21)</f>
        <v>571.63062500000001</v>
      </c>
      <c r="AD21" s="27">
        <f t="shared" si="16"/>
        <v>4.4178750000000004</v>
      </c>
      <c r="AF21" s="27">
        <f>IF(AE21&gt;0,AE21*K21,X21)</f>
        <v>51.892499999999998</v>
      </c>
    </row>
    <row r="22" spans="1:32" s="27" customFormat="1" ht="28.5" thickBot="1">
      <c r="A22" s="119">
        <v>3</v>
      </c>
      <c r="B22" s="120" t="s">
        <v>71</v>
      </c>
      <c r="C22" s="121" t="s">
        <v>89</v>
      </c>
      <c r="D22" s="121" t="s">
        <v>86</v>
      </c>
      <c r="E22" s="120"/>
      <c r="F22" s="102" t="s">
        <v>87</v>
      </c>
      <c r="G22" s="122">
        <v>1</v>
      </c>
      <c r="H22" s="135">
        <v>6.24</v>
      </c>
      <c r="I22" s="138">
        <v>0.2</v>
      </c>
      <c r="J22" s="138">
        <v>0.44</v>
      </c>
      <c r="K22" s="136">
        <f t="shared" si="17"/>
        <v>5.6</v>
      </c>
      <c r="L22" s="137">
        <v>1.8</v>
      </c>
      <c r="M22" s="106" t="s">
        <v>90</v>
      </c>
      <c r="N22" s="107">
        <v>39</v>
      </c>
      <c r="O22" s="115">
        <v>9.25</v>
      </c>
      <c r="P22" s="124">
        <v>1.01</v>
      </c>
      <c r="Q22" s="38"/>
      <c r="R22" s="38"/>
      <c r="S22" s="38">
        <f>G22*0.035*N22</f>
        <v>1.3650000000000002</v>
      </c>
      <c r="T22" s="38">
        <f t="shared" si="18"/>
        <v>2</v>
      </c>
      <c r="U22" s="38">
        <f t="shared" si="13"/>
        <v>1.3439999999999999</v>
      </c>
      <c r="V22" s="38"/>
      <c r="W22" s="38">
        <f>G22*N22*0.3</f>
        <v>11.7</v>
      </c>
      <c r="X22" s="38">
        <f t="shared" si="14"/>
        <v>51.8</v>
      </c>
      <c r="Y22" s="116">
        <f t="shared" si="19"/>
        <v>419.54046232739086</v>
      </c>
      <c r="Z22" s="27">
        <f t="shared" si="20"/>
        <v>11.2</v>
      </c>
      <c r="AA22" s="109">
        <f t="shared" si="21"/>
        <v>57.009</v>
      </c>
      <c r="AB22" s="109">
        <f t="shared" si="22"/>
        <v>489.86270000000002</v>
      </c>
      <c r="AC22" s="109">
        <f t="shared" si="23"/>
        <v>546.87170000000003</v>
      </c>
      <c r="AD22" s="27">
        <f t="shared" si="16"/>
        <v>4.41</v>
      </c>
      <c r="AF22" s="27">
        <f t="shared" ref="AF22" si="24">IF(AE22&gt;0,AE22*K22,X22)</f>
        <v>51.8</v>
      </c>
    </row>
    <row r="23" spans="1:32" s="28" customFormat="1" ht="16" customHeight="1">
      <c r="A23" s="94" t="s">
        <v>62</v>
      </c>
      <c r="B23" s="72"/>
      <c r="C23" s="72"/>
      <c r="D23" s="72"/>
      <c r="E23" s="72"/>
      <c r="F23" s="72"/>
      <c r="G23" s="73">
        <f>SUM(G20:G22)</f>
        <v>3</v>
      </c>
      <c r="H23" s="139"/>
      <c r="I23" s="139"/>
      <c r="J23" s="139"/>
      <c r="K23" s="139">
        <f>SUM(K20:K22)</f>
        <v>16.78</v>
      </c>
      <c r="L23" s="140"/>
      <c r="M23" s="74"/>
      <c r="N23" s="74"/>
      <c r="O23" s="75"/>
      <c r="P23" s="125">
        <f t="shared" ref="P23:Y23" si="25">SUM(P20:P22)</f>
        <v>3.2549999999999999</v>
      </c>
      <c r="Q23" s="76">
        <f t="shared" si="25"/>
        <v>0</v>
      </c>
      <c r="R23" s="76">
        <f t="shared" si="25"/>
        <v>0</v>
      </c>
      <c r="S23" s="76">
        <f t="shared" si="25"/>
        <v>4.0950000000000006</v>
      </c>
      <c r="T23" s="76">
        <f t="shared" si="25"/>
        <v>6</v>
      </c>
      <c r="U23" s="76">
        <f t="shared" si="25"/>
        <v>4.0271999999999997</v>
      </c>
      <c r="V23" s="76">
        <f t="shared" si="25"/>
        <v>0</v>
      </c>
      <c r="W23" s="76">
        <f t="shared" si="25"/>
        <v>35.099999999999994</v>
      </c>
      <c r="X23" s="76">
        <f t="shared" si="25"/>
        <v>155.21499999999997</v>
      </c>
      <c r="Y23" s="117">
        <f t="shared" si="25"/>
        <v>1257.1230281881462</v>
      </c>
      <c r="AA23" s="110"/>
      <c r="AB23" s="110"/>
      <c r="AC23" s="110"/>
      <c r="AD23" s="110"/>
    </row>
    <row r="24" spans="1:32" ht="16" customHeight="1">
      <c r="A24" s="56" t="s">
        <v>64</v>
      </c>
      <c r="K24" s="51"/>
      <c r="L24" s="51"/>
      <c r="M24" s="51"/>
      <c r="N24" s="51"/>
      <c r="W24" s="52"/>
      <c r="X24" s="91" t="s">
        <v>91</v>
      </c>
      <c r="Y24" s="101">
        <f>1.01*3026.2</f>
        <v>3056.462</v>
      </c>
    </row>
    <row r="25" spans="1:32" s="100" customFormat="1" ht="28">
      <c r="A25" s="95" t="s">
        <v>63</v>
      </c>
      <c r="B25" s="96" t="s">
        <v>4</v>
      </c>
      <c r="C25" s="96" t="s">
        <v>23</v>
      </c>
      <c r="D25" s="96" t="s">
        <v>45</v>
      </c>
      <c r="E25" s="96" t="s">
        <v>46</v>
      </c>
      <c r="F25" s="96" t="s">
        <v>5</v>
      </c>
      <c r="G25" s="96" t="s">
        <v>6</v>
      </c>
      <c r="H25" s="97" t="s">
        <v>7</v>
      </c>
      <c r="I25" s="97" t="s">
        <v>47</v>
      </c>
      <c r="J25" s="97" t="s">
        <v>8</v>
      </c>
      <c r="K25" s="98" t="s">
        <v>13</v>
      </c>
      <c r="L25" s="98" t="s">
        <v>19</v>
      </c>
      <c r="M25" s="98" t="s">
        <v>22</v>
      </c>
      <c r="N25" s="98" t="s">
        <v>20</v>
      </c>
      <c r="O25" s="99" t="s">
        <v>9</v>
      </c>
      <c r="P25" s="99" t="s">
        <v>49</v>
      </c>
      <c r="Q25" s="48" t="s">
        <v>50</v>
      </c>
      <c r="R25" s="48" t="s">
        <v>54</v>
      </c>
      <c r="S25" s="48" t="s">
        <v>67</v>
      </c>
      <c r="T25" s="48" t="s">
        <v>12</v>
      </c>
      <c r="U25" s="48" t="s">
        <v>52</v>
      </c>
      <c r="V25" s="48" t="s">
        <v>48</v>
      </c>
      <c r="W25" s="48" t="s">
        <v>14</v>
      </c>
      <c r="X25" s="53" t="s">
        <v>11</v>
      </c>
      <c r="Y25" s="53" t="s">
        <v>21</v>
      </c>
    </row>
    <row r="26" spans="1:32" s="27" customFormat="1" ht="28">
      <c r="A26" s="103" t="s">
        <v>92</v>
      </c>
      <c r="B26" s="102" t="s">
        <v>93</v>
      </c>
      <c r="C26" s="105" t="s">
        <v>94</v>
      </c>
      <c r="D26" s="105" t="s">
        <v>95</v>
      </c>
      <c r="E26" s="102"/>
      <c r="F26" s="102" t="s">
        <v>74</v>
      </c>
      <c r="G26" s="104">
        <v>1</v>
      </c>
      <c r="H26" s="112">
        <v>10.34</v>
      </c>
      <c r="I26" s="112">
        <v>0.45</v>
      </c>
      <c r="J26" s="112">
        <v>0.38</v>
      </c>
      <c r="K26" s="113">
        <f>H26-I26-J26</f>
        <v>9.51</v>
      </c>
      <c r="L26" s="106" t="s">
        <v>76</v>
      </c>
      <c r="M26" s="106" t="s">
        <v>83</v>
      </c>
      <c r="N26" s="107" t="s">
        <v>96</v>
      </c>
      <c r="O26" s="115">
        <f>9.25+2</f>
        <v>11.25</v>
      </c>
      <c r="P26" s="124">
        <v>2.2450000000000001</v>
      </c>
      <c r="Q26" s="38"/>
      <c r="R26" s="38"/>
      <c r="S26" s="38">
        <f>G26*0.035*(44+44)</f>
        <v>3.08</v>
      </c>
      <c r="T26" s="38">
        <f>G26*2</f>
        <v>2</v>
      </c>
      <c r="U26" s="38">
        <f t="shared" ref="U26:U31" si="26">IF(RIGHT(F26,2)="WG",K26*$AA$4,IF(OR(RIGHT(F26,3)="WRG",RIGHT(F26,3)="WYG",RIGHT(F26,3)="WYR"),K26*$AA$4+3*G26,0))</f>
        <v>2.2824</v>
      </c>
      <c r="V26" s="38"/>
      <c r="W26" s="38">
        <f>G26*(44+44)*0.3</f>
        <v>26.4</v>
      </c>
      <c r="X26" s="38">
        <f t="shared" ref="X26:X31" si="27">K26*O26</f>
        <v>106.9875</v>
      </c>
      <c r="Y26" s="116">
        <f>$Y$24/31.1035*K26*IF(LEFT(F26,3)="10K",0.417*1.07,IF(LEFT(F26,3)="14K",0.585*1.05,IF(LEFT(F26,3)="18K",0.75*1.05,0)))</f>
        <v>574.03109814281345</v>
      </c>
      <c r="Z26" s="27">
        <f>2*K26</f>
        <v>19.02</v>
      </c>
      <c r="AA26" s="109">
        <f>(SUM(Q26:W26)+AF26)-Z26</f>
        <v>121.7299</v>
      </c>
      <c r="AB26" s="109">
        <f>AD26*$AB$13+P26*$AB$14</f>
        <v>799.70692749999989</v>
      </c>
      <c r="AC26" s="109">
        <f t="shared" ref="AC26" si="28">SUM(AA26:AB26)</f>
        <v>921.43682749999994</v>
      </c>
      <c r="AD26" s="27">
        <f t="shared" ref="AD26:AD31" si="29">K26*IF(LEFT(F26,3)="10K",0.417*1.07,IF(LEFT(F26,3)="14K",0.585*1.05,IF(LEFT(F26,3)="18K",0.75*1.05,0)))</f>
        <v>5.8415174999999993</v>
      </c>
      <c r="AF26" s="27">
        <f>IF(AE26&gt;0,AE26*K26,X26)</f>
        <v>106.9875</v>
      </c>
    </row>
    <row r="27" spans="1:32" s="27" customFormat="1" ht="28">
      <c r="A27" s="119">
        <v>2</v>
      </c>
      <c r="B27" s="120" t="s">
        <v>71</v>
      </c>
      <c r="C27" s="121" t="s">
        <v>97</v>
      </c>
      <c r="D27" s="121" t="s">
        <v>95</v>
      </c>
      <c r="E27" s="120"/>
      <c r="F27" s="120" t="s">
        <v>75</v>
      </c>
      <c r="G27" s="122">
        <v>1</v>
      </c>
      <c r="H27" s="112">
        <v>5.96</v>
      </c>
      <c r="I27" s="123">
        <v>0.22</v>
      </c>
      <c r="J27" s="123">
        <v>0.44</v>
      </c>
      <c r="K27" s="113">
        <f t="shared" ref="K27:K31" si="30">H27-I27-J27</f>
        <v>5.3</v>
      </c>
      <c r="L27" s="106" t="s">
        <v>76</v>
      </c>
      <c r="M27" s="106" t="s">
        <v>98</v>
      </c>
      <c r="N27" s="107" t="s">
        <v>99</v>
      </c>
      <c r="O27" s="115">
        <v>9.25</v>
      </c>
      <c r="P27" s="124">
        <v>1.105</v>
      </c>
      <c r="Q27" s="38"/>
      <c r="R27" s="38"/>
      <c r="S27" s="38">
        <f>G27*0.035*(18+21)</f>
        <v>1.3650000000000002</v>
      </c>
      <c r="T27" s="38">
        <f t="shared" ref="T27:T31" si="31">G27*2</f>
        <v>2</v>
      </c>
      <c r="U27" s="38">
        <f t="shared" si="26"/>
        <v>0</v>
      </c>
      <c r="V27" s="38"/>
      <c r="W27" s="38">
        <f>G27*(18+21)*0.3</f>
        <v>11.7</v>
      </c>
      <c r="X27" s="38">
        <f t="shared" si="27"/>
        <v>49.024999999999999</v>
      </c>
      <c r="Y27" s="116">
        <f t="shared" ref="Y27:Y31" si="32">$Y$24/31.1035*K27*IF(LEFT(F27,3)="10K",0.417*1.07,IF(LEFT(F27,3)="14K",0.585*1.05,IF(LEFT(F27,3)="18K",0.75*1.05,0)))</f>
        <v>319.91217877570051</v>
      </c>
      <c r="Z27" s="27">
        <f t="shared" ref="Z27:Z31" si="33">2*K27</f>
        <v>10.6</v>
      </c>
      <c r="AA27" s="109">
        <f t="shared" ref="AA27:AA31" si="34">(SUM(Q27:W27)+AF27)-Z27</f>
        <v>53.49</v>
      </c>
      <c r="AB27" s="109">
        <f t="shared" ref="AB27:AB31" si="35">AD27*$AB$13+P27*$AB$14</f>
        <v>421.38167499999997</v>
      </c>
      <c r="AC27" s="109">
        <f t="shared" ref="AC27:AC31" si="36">SUM(AA27:AB27)</f>
        <v>474.87167499999998</v>
      </c>
      <c r="AD27" s="27">
        <f t="shared" si="29"/>
        <v>3.2555249999999996</v>
      </c>
      <c r="AF27" s="27">
        <f>IF(AE27&gt;0,AE27*K27,X27)</f>
        <v>49.024999999999999</v>
      </c>
    </row>
    <row r="28" spans="1:32" s="27" customFormat="1" ht="28">
      <c r="A28" s="119">
        <v>3</v>
      </c>
      <c r="B28" s="120" t="s">
        <v>71</v>
      </c>
      <c r="C28" s="121" t="s">
        <v>97</v>
      </c>
      <c r="D28" s="121" t="s">
        <v>95</v>
      </c>
      <c r="E28" s="120"/>
      <c r="F28" s="120" t="s">
        <v>81</v>
      </c>
      <c r="G28" s="122">
        <v>1</v>
      </c>
      <c r="H28" s="112">
        <v>5.7</v>
      </c>
      <c r="I28" s="123">
        <v>0.22</v>
      </c>
      <c r="J28" s="123">
        <v>0.44</v>
      </c>
      <c r="K28" s="113">
        <f t="shared" si="30"/>
        <v>5.04</v>
      </c>
      <c r="L28" s="106" t="s">
        <v>76</v>
      </c>
      <c r="M28" s="106" t="s">
        <v>100</v>
      </c>
      <c r="N28" s="107" t="s">
        <v>99</v>
      </c>
      <c r="O28" s="115">
        <v>9.25</v>
      </c>
      <c r="P28" s="124">
        <v>1.075</v>
      </c>
      <c r="Q28" s="38"/>
      <c r="R28" s="38"/>
      <c r="S28" s="38">
        <f>G28*0.035*(18+21)</f>
        <v>1.3650000000000002</v>
      </c>
      <c r="T28" s="38">
        <f t="shared" si="31"/>
        <v>2</v>
      </c>
      <c r="U28" s="38">
        <f t="shared" si="26"/>
        <v>0</v>
      </c>
      <c r="V28" s="38"/>
      <c r="W28" s="38">
        <f>G28*(18+21)*0.3</f>
        <v>11.7</v>
      </c>
      <c r="X28" s="38">
        <f t="shared" si="27"/>
        <v>46.62</v>
      </c>
      <c r="Y28" s="116">
        <f t="shared" si="32"/>
        <v>304.21837377915665</v>
      </c>
      <c r="Z28" s="27">
        <f t="shared" si="33"/>
        <v>10.08</v>
      </c>
      <c r="AA28" s="109">
        <f t="shared" si="34"/>
        <v>51.604999999999997</v>
      </c>
      <c r="AB28" s="109">
        <f t="shared" si="35"/>
        <v>404.73510999999996</v>
      </c>
      <c r="AC28" s="109">
        <f t="shared" si="36"/>
        <v>456.34010999999998</v>
      </c>
      <c r="AD28" s="27">
        <f t="shared" si="29"/>
        <v>3.0958199999999998</v>
      </c>
      <c r="AF28" s="27">
        <f t="shared" ref="AF28:AF31" si="37">IF(AE28&gt;0,AE28*K28,X28)</f>
        <v>46.62</v>
      </c>
    </row>
    <row r="29" spans="1:32" s="27" customFormat="1" ht="28">
      <c r="A29" s="119">
        <v>4</v>
      </c>
      <c r="B29" s="120" t="s">
        <v>101</v>
      </c>
      <c r="C29" s="121" t="s">
        <v>102</v>
      </c>
      <c r="D29" s="121" t="s">
        <v>95</v>
      </c>
      <c r="E29" s="120"/>
      <c r="F29" s="102" t="s">
        <v>74</v>
      </c>
      <c r="G29" s="122">
        <v>1</v>
      </c>
      <c r="H29" s="112">
        <v>6.39</v>
      </c>
      <c r="I29" s="123">
        <v>0.21</v>
      </c>
      <c r="J29" s="123">
        <v>0.48</v>
      </c>
      <c r="K29" s="113">
        <f t="shared" si="30"/>
        <v>5.6999999999999993</v>
      </c>
      <c r="L29" s="106" t="s">
        <v>76</v>
      </c>
      <c r="M29" s="106" t="s">
        <v>103</v>
      </c>
      <c r="N29" s="107" t="s">
        <v>104</v>
      </c>
      <c r="O29" s="115">
        <v>9.25</v>
      </c>
      <c r="P29" s="124">
        <v>1.0349999999999999</v>
      </c>
      <c r="Q29" s="38"/>
      <c r="R29" s="38"/>
      <c r="S29" s="38">
        <f>G29*0.035*(19+20)</f>
        <v>1.3650000000000002</v>
      </c>
      <c r="T29" s="38">
        <f t="shared" si="31"/>
        <v>2</v>
      </c>
      <c r="U29" s="38">
        <f t="shared" si="26"/>
        <v>1.3679999999999999</v>
      </c>
      <c r="V29" s="38"/>
      <c r="W29" s="38">
        <f>G29*(19+20)*0.3</f>
        <v>11.7</v>
      </c>
      <c r="X29" s="38">
        <f t="shared" si="27"/>
        <v>52.724999999999994</v>
      </c>
      <c r="Y29" s="116">
        <f t="shared" si="32"/>
        <v>344.05649415499857</v>
      </c>
      <c r="Z29" s="27">
        <f t="shared" si="33"/>
        <v>11.399999999999999</v>
      </c>
      <c r="AA29" s="109">
        <f t="shared" si="34"/>
        <v>57.757999999999988</v>
      </c>
      <c r="AB29" s="109">
        <f t="shared" si="35"/>
        <v>427.67887499999995</v>
      </c>
      <c r="AC29" s="109">
        <f t="shared" si="36"/>
        <v>485.43687499999993</v>
      </c>
      <c r="AD29" s="27">
        <f t="shared" si="29"/>
        <v>3.5012249999999994</v>
      </c>
      <c r="AF29" s="27">
        <f t="shared" si="37"/>
        <v>52.724999999999994</v>
      </c>
    </row>
    <row r="30" spans="1:32" s="27" customFormat="1" ht="28">
      <c r="A30" s="119">
        <v>5</v>
      </c>
      <c r="B30" s="120" t="s">
        <v>71</v>
      </c>
      <c r="C30" s="121" t="s">
        <v>102</v>
      </c>
      <c r="D30" s="121" t="s">
        <v>95</v>
      </c>
      <c r="E30" s="120"/>
      <c r="F30" s="102" t="s">
        <v>74</v>
      </c>
      <c r="G30" s="122">
        <v>3</v>
      </c>
      <c r="H30" s="112">
        <v>17.809999999999999</v>
      </c>
      <c r="I30" s="123">
        <v>0.64</v>
      </c>
      <c r="J30" s="123">
        <v>1.32</v>
      </c>
      <c r="K30" s="113">
        <f t="shared" si="30"/>
        <v>15.849999999999998</v>
      </c>
      <c r="L30" s="106" t="s">
        <v>76</v>
      </c>
      <c r="M30" s="106" t="s">
        <v>103</v>
      </c>
      <c r="N30" s="107" t="s">
        <v>99</v>
      </c>
      <c r="O30" s="115">
        <v>9.25</v>
      </c>
      <c r="P30" s="124">
        <v>3.21</v>
      </c>
      <c r="Q30" s="38"/>
      <c r="R30" s="38"/>
      <c r="S30" s="38">
        <f>G30*0.035*(18+21)</f>
        <v>4.0950000000000006</v>
      </c>
      <c r="T30" s="38">
        <f t="shared" si="31"/>
        <v>6</v>
      </c>
      <c r="U30" s="38">
        <f t="shared" si="26"/>
        <v>3.8039999999999994</v>
      </c>
      <c r="V30" s="38"/>
      <c r="W30" s="38">
        <f>G30*(18+21)*0.3</f>
        <v>35.1</v>
      </c>
      <c r="X30" s="38">
        <f t="shared" si="27"/>
        <v>146.61249999999998</v>
      </c>
      <c r="Y30" s="116">
        <f t="shared" si="32"/>
        <v>956.718496904689</v>
      </c>
      <c r="Z30" s="27">
        <f t="shared" si="33"/>
        <v>31.699999999999996</v>
      </c>
      <c r="AA30" s="109">
        <f t="shared" si="34"/>
        <v>163.91149999999999</v>
      </c>
      <c r="AB30" s="109">
        <f t="shared" si="35"/>
        <v>1244.4446625</v>
      </c>
      <c r="AC30" s="109">
        <f t="shared" si="36"/>
        <v>1408.3561625</v>
      </c>
      <c r="AD30" s="27">
        <f t="shared" si="29"/>
        <v>9.7358624999999979</v>
      </c>
      <c r="AF30" s="27">
        <f t="shared" si="37"/>
        <v>146.61249999999998</v>
      </c>
    </row>
    <row r="31" spans="1:32" s="27" customFormat="1" ht="28.5" thickBot="1">
      <c r="A31" s="103">
        <v>6</v>
      </c>
      <c r="B31" s="102" t="s">
        <v>71</v>
      </c>
      <c r="C31" s="105" t="s">
        <v>105</v>
      </c>
      <c r="D31" s="105" t="s">
        <v>95</v>
      </c>
      <c r="E31" s="102"/>
      <c r="F31" s="102" t="s">
        <v>74</v>
      </c>
      <c r="G31" s="104">
        <v>3</v>
      </c>
      <c r="H31" s="112">
        <v>18.21</v>
      </c>
      <c r="I31" s="112">
        <v>0.63</v>
      </c>
      <c r="J31" s="112">
        <v>1.32</v>
      </c>
      <c r="K31" s="113">
        <f t="shared" si="30"/>
        <v>16.260000000000002</v>
      </c>
      <c r="L31" s="106" t="s">
        <v>76</v>
      </c>
      <c r="M31" s="106" t="s">
        <v>106</v>
      </c>
      <c r="N31" s="107" t="s">
        <v>99</v>
      </c>
      <c r="O31" s="115">
        <v>9.25</v>
      </c>
      <c r="P31" s="124">
        <v>3.1150000000000002</v>
      </c>
      <c r="Q31" s="38"/>
      <c r="R31" s="38"/>
      <c r="S31" s="38">
        <f>G31*0.035*(18+21)</f>
        <v>4.0950000000000006</v>
      </c>
      <c r="T31" s="38">
        <f t="shared" si="31"/>
        <v>6</v>
      </c>
      <c r="U31" s="38">
        <f t="shared" si="26"/>
        <v>3.9024000000000001</v>
      </c>
      <c r="V31" s="38"/>
      <c r="W31" s="38">
        <f>G31*(18*0.3+21*0.3*1.3)</f>
        <v>40.769999999999996</v>
      </c>
      <c r="X31" s="38">
        <f t="shared" si="27"/>
        <v>150.405</v>
      </c>
      <c r="Y31" s="116">
        <f t="shared" si="32"/>
        <v>981.46642016846988</v>
      </c>
      <c r="Z31" s="27">
        <f t="shared" si="33"/>
        <v>32.520000000000003</v>
      </c>
      <c r="AA31" s="109">
        <f t="shared" si="34"/>
        <v>172.65239999999997</v>
      </c>
      <c r="AB31" s="109">
        <f t="shared" si="35"/>
        <v>1247.0335150000001</v>
      </c>
      <c r="AC31" s="109">
        <f t="shared" si="36"/>
        <v>1419.685915</v>
      </c>
      <c r="AD31" s="27">
        <f t="shared" si="29"/>
        <v>9.9877050000000001</v>
      </c>
      <c r="AF31" s="27">
        <f t="shared" si="37"/>
        <v>150.405</v>
      </c>
    </row>
    <row r="32" spans="1:32" s="28" customFormat="1" ht="16" customHeight="1">
      <c r="A32" s="94" t="s">
        <v>62</v>
      </c>
      <c r="B32" s="72"/>
      <c r="C32" s="72"/>
      <c r="D32" s="72"/>
      <c r="E32" s="72"/>
      <c r="F32" s="72"/>
      <c r="G32" s="73">
        <f>SUM(G26:G31)</f>
        <v>10</v>
      </c>
      <c r="H32" s="114"/>
      <c r="I32" s="114"/>
      <c r="J32" s="114"/>
      <c r="K32" s="114">
        <f>SUM(K26:K31)</f>
        <v>57.66</v>
      </c>
      <c r="L32" s="74"/>
      <c r="M32" s="74"/>
      <c r="N32" s="74"/>
      <c r="O32" s="75"/>
      <c r="P32" s="125">
        <f t="shared" ref="P32:Y32" si="38">SUM(P26:P31)</f>
        <v>11.785</v>
      </c>
      <c r="Q32" s="76">
        <f t="shared" si="38"/>
        <v>0</v>
      </c>
      <c r="R32" s="76">
        <f t="shared" si="38"/>
        <v>0</v>
      </c>
      <c r="S32" s="76">
        <f t="shared" si="38"/>
        <v>15.365000000000002</v>
      </c>
      <c r="T32" s="76">
        <f t="shared" si="38"/>
        <v>20</v>
      </c>
      <c r="U32" s="76">
        <f t="shared" si="38"/>
        <v>11.3568</v>
      </c>
      <c r="V32" s="76">
        <f t="shared" si="38"/>
        <v>0</v>
      </c>
      <c r="W32" s="76">
        <f t="shared" si="38"/>
        <v>137.37</v>
      </c>
      <c r="X32" s="76">
        <f t="shared" si="38"/>
        <v>552.375</v>
      </c>
      <c r="Y32" s="117">
        <f t="shared" si="38"/>
        <v>3480.4030619258283</v>
      </c>
      <c r="AA32" s="110"/>
      <c r="AB32" s="110"/>
      <c r="AC32" s="110"/>
      <c r="AD32" s="110"/>
    </row>
    <row r="33" spans="1:32" ht="16" customHeight="1">
      <c r="A33" s="56" t="s">
        <v>64</v>
      </c>
      <c r="K33" s="51"/>
      <c r="L33" s="51"/>
      <c r="M33" s="51"/>
      <c r="N33" s="51"/>
      <c r="W33" s="52"/>
      <c r="X33" s="91" t="s">
        <v>107</v>
      </c>
      <c r="Y33" s="101">
        <f>1.01*3026.2</f>
        <v>3056.462</v>
      </c>
    </row>
    <row r="34" spans="1:32" s="100" customFormat="1" ht="28">
      <c r="A34" s="95" t="s">
        <v>63</v>
      </c>
      <c r="B34" s="96" t="s">
        <v>4</v>
      </c>
      <c r="C34" s="96" t="s">
        <v>23</v>
      </c>
      <c r="D34" s="96" t="s">
        <v>45</v>
      </c>
      <c r="E34" s="96" t="s">
        <v>46</v>
      </c>
      <c r="F34" s="96" t="s">
        <v>5</v>
      </c>
      <c r="G34" s="96" t="s">
        <v>6</v>
      </c>
      <c r="H34" s="97" t="s">
        <v>7</v>
      </c>
      <c r="I34" s="97" t="s">
        <v>47</v>
      </c>
      <c r="J34" s="97" t="s">
        <v>8</v>
      </c>
      <c r="K34" s="98" t="s">
        <v>13</v>
      </c>
      <c r="L34" s="98" t="s">
        <v>19</v>
      </c>
      <c r="M34" s="98" t="s">
        <v>22</v>
      </c>
      <c r="N34" s="98" t="s">
        <v>20</v>
      </c>
      <c r="O34" s="99" t="s">
        <v>9</v>
      </c>
      <c r="P34" s="99" t="s">
        <v>49</v>
      </c>
      <c r="Q34" s="48" t="s">
        <v>50</v>
      </c>
      <c r="R34" s="48" t="s">
        <v>54</v>
      </c>
      <c r="S34" s="48" t="s">
        <v>67</v>
      </c>
      <c r="T34" s="48" t="s">
        <v>12</v>
      </c>
      <c r="U34" s="48" t="s">
        <v>52</v>
      </c>
      <c r="V34" s="48" t="s">
        <v>48</v>
      </c>
      <c r="W34" s="48" t="s">
        <v>14</v>
      </c>
      <c r="X34" s="53" t="s">
        <v>11</v>
      </c>
      <c r="Y34" s="53" t="s">
        <v>21</v>
      </c>
    </row>
    <row r="35" spans="1:32" s="27" customFormat="1" ht="28">
      <c r="A35" s="103" t="s">
        <v>108</v>
      </c>
      <c r="B35" s="102" t="s">
        <v>71</v>
      </c>
      <c r="C35" s="105" t="s">
        <v>109</v>
      </c>
      <c r="D35" s="105" t="s">
        <v>110</v>
      </c>
      <c r="E35" s="102"/>
      <c r="F35" s="102" t="s">
        <v>75</v>
      </c>
      <c r="G35" s="104">
        <v>5</v>
      </c>
      <c r="H35" s="112">
        <v>29.360000000000003</v>
      </c>
      <c r="I35" s="112">
        <v>0.99</v>
      </c>
      <c r="J35" s="112">
        <v>2.2000000000000002</v>
      </c>
      <c r="K35" s="113">
        <f>H35-I35-J35</f>
        <v>26.170000000000005</v>
      </c>
      <c r="L35" s="106">
        <v>1.8</v>
      </c>
      <c r="M35" s="106" t="s">
        <v>90</v>
      </c>
      <c r="N35" s="107">
        <v>39</v>
      </c>
      <c r="O35" s="115">
        <v>9.25</v>
      </c>
      <c r="P35" s="124">
        <v>4.9050000000000002</v>
      </c>
      <c r="Q35" s="38"/>
      <c r="R35" s="38"/>
      <c r="S35" s="38">
        <f>G35*0.035*N35</f>
        <v>6.8250000000000011</v>
      </c>
      <c r="T35" s="38">
        <f>G35*2</f>
        <v>10</v>
      </c>
      <c r="U35" s="38">
        <f t="shared" ref="U35:U36" si="39">IF(RIGHT(F35,2)="WG",K35*$AA$4,IF(OR(RIGHT(F35,3)="WRG",RIGHT(F35,3)="WYG",RIGHT(F35,3)="WYR"),K35*$AA$4+3*G35,0))</f>
        <v>0</v>
      </c>
      <c r="V35" s="38"/>
      <c r="W35" s="38">
        <f>G35*N35*0.3</f>
        <v>58.5</v>
      </c>
      <c r="X35" s="38">
        <f t="shared" ref="X35:X36" si="40">K35*O35</f>
        <v>242.07250000000005</v>
      </c>
      <c r="Y35" s="116">
        <f>$Y$33/31.1035*K35*IF(LEFT(F35,3)="10K",0.417*1.07,IF(LEFT(F35,3)="14K",0.585*1.05,IF(LEFT(F35,3)="18K",0.75*1.05,0)))</f>
        <v>1579.6418336905817</v>
      </c>
      <c r="Z35" s="27">
        <f>2*K35</f>
        <v>52.340000000000011</v>
      </c>
      <c r="AA35" s="109">
        <f>(SUM(Q35:W35)+AF35)-Z35</f>
        <v>265.0575</v>
      </c>
      <c r="AB35" s="109">
        <f>AD35*$AB$13+P35*$AB$14</f>
        <v>1989.0236925000004</v>
      </c>
      <c r="AC35" s="109">
        <f t="shared" ref="AC35" si="41">SUM(AA35:AB35)</f>
        <v>2254.0811925000003</v>
      </c>
      <c r="AD35" s="27">
        <f t="shared" ref="AD35:AD36" si="42">K35*IF(LEFT(F35,3)="10K",0.417*1.07,IF(LEFT(F35,3)="14K",0.585*1.05,IF(LEFT(F35,3)="18K",0.75*1.05,0)))</f>
        <v>16.074922500000003</v>
      </c>
      <c r="AF35" s="27">
        <f>IF(AE35&gt;0,AE35*K35,X35)</f>
        <v>242.07250000000005</v>
      </c>
    </row>
    <row r="36" spans="1:32" s="27" customFormat="1" ht="28.5" thickBot="1">
      <c r="A36" s="119">
        <v>2</v>
      </c>
      <c r="B36" s="120" t="s">
        <v>71</v>
      </c>
      <c r="C36" s="121" t="s">
        <v>109</v>
      </c>
      <c r="D36" s="121" t="s">
        <v>110</v>
      </c>
      <c r="E36" s="120"/>
      <c r="F36" s="120" t="s">
        <v>74</v>
      </c>
      <c r="G36" s="122">
        <v>5</v>
      </c>
      <c r="H36" s="112">
        <v>29.179999999999996</v>
      </c>
      <c r="I36" s="123">
        <v>0.86999999999999988</v>
      </c>
      <c r="J36" s="123">
        <v>2.2000000000000002</v>
      </c>
      <c r="K36" s="113">
        <f t="shared" ref="K36" si="43">H36-I36-J36</f>
        <v>26.109999999999996</v>
      </c>
      <c r="L36" s="106">
        <v>1.8</v>
      </c>
      <c r="M36" s="106" t="s">
        <v>90</v>
      </c>
      <c r="N36" s="107">
        <v>39</v>
      </c>
      <c r="O36" s="115">
        <v>9.25</v>
      </c>
      <c r="P36" s="124">
        <v>4.37</v>
      </c>
      <c r="Q36" s="38"/>
      <c r="R36" s="38"/>
      <c r="S36" s="38">
        <f>G36*0.035*N36</f>
        <v>6.8250000000000011</v>
      </c>
      <c r="T36" s="38">
        <f>G36*2</f>
        <v>10</v>
      </c>
      <c r="U36" s="38">
        <f t="shared" si="39"/>
        <v>6.2663999999999991</v>
      </c>
      <c r="V36" s="38"/>
      <c r="W36" s="38">
        <f>G36*N36*0.3</f>
        <v>58.5</v>
      </c>
      <c r="X36" s="38">
        <f t="shared" si="40"/>
        <v>241.51749999999996</v>
      </c>
      <c r="Y36" s="116">
        <f>$Y$33/31.1035*K36*IF(LEFT(F36,3)="10K",0.417*1.07,IF(LEFT(F36,3)="14K",0.585*1.05,IF(LEFT(F36,3)="18K",0.75*1.05,0)))</f>
        <v>1576.0201863836865</v>
      </c>
      <c r="Z36" s="27">
        <f t="shared" ref="Z36" si="44">2*K36</f>
        <v>52.219999999999992</v>
      </c>
      <c r="AA36" s="109">
        <f t="shared" ref="AA36" si="45">(SUM(Q36:W36)+AF36)-Z36</f>
        <v>270.88889999999998</v>
      </c>
      <c r="AB36" s="109">
        <f t="shared" ref="AB36" si="46">AD36*$AB$13+P36*$AB$14</f>
        <v>1897.3788274999997</v>
      </c>
      <c r="AC36" s="109">
        <f t="shared" ref="AC36" si="47">SUM(AA36:AB36)</f>
        <v>2168.2677274999996</v>
      </c>
      <c r="AD36" s="27">
        <f t="shared" si="42"/>
        <v>16.038067499999997</v>
      </c>
      <c r="AF36" s="27">
        <f>IF(AE36&gt;0,AE36*K36,X36)</f>
        <v>241.51749999999996</v>
      </c>
    </row>
    <row r="37" spans="1:32" s="28" customFormat="1" ht="16" customHeight="1">
      <c r="A37" s="94" t="s">
        <v>62</v>
      </c>
      <c r="B37" s="72"/>
      <c r="C37" s="72"/>
      <c r="D37" s="72"/>
      <c r="E37" s="72"/>
      <c r="F37" s="72"/>
      <c r="G37" s="73">
        <f>SUM(G35:G36)</f>
        <v>10</v>
      </c>
      <c r="H37" s="114"/>
      <c r="I37" s="114"/>
      <c r="J37" s="114"/>
      <c r="K37" s="114">
        <f>SUM(K35:K36)</f>
        <v>52.28</v>
      </c>
      <c r="L37" s="74"/>
      <c r="M37" s="74"/>
      <c r="N37" s="74"/>
      <c r="O37" s="75"/>
      <c r="P37" s="125">
        <f t="shared" ref="P37:Y37" si="48">SUM(P35:P36)</f>
        <v>9.2750000000000004</v>
      </c>
      <c r="Q37" s="76">
        <f t="shared" si="48"/>
        <v>0</v>
      </c>
      <c r="R37" s="76">
        <f t="shared" si="48"/>
        <v>0</v>
      </c>
      <c r="S37" s="76">
        <f t="shared" si="48"/>
        <v>13.650000000000002</v>
      </c>
      <c r="T37" s="76">
        <f t="shared" si="48"/>
        <v>20</v>
      </c>
      <c r="U37" s="76">
        <f t="shared" si="48"/>
        <v>6.2663999999999991</v>
      </c>
      <c r="V37" s="76">
        <f t="shared" si="48"/>
        <v>0</v>
      </c>
      <c r="W37" s="76">
        <f t="shared" si="48"/>
        <v>117</v>
      </c>
      <c r="X37" s="76">
        <f t="shared" si="48"/>
        <v>483.59000000000003</v>
      </c>
      <c r="Y37" s="117">
        <f t="shared" si="48"/>
        <v>3155.6620200742682</v>
      </c>
      <c r="AA37" s="110"/>
      <c r="AB37" s="110"/>
      <c r="AC37" s="110"/>
      <c r="AD37" s="110"/>
    </row>
    <row r="38" spans="1:32" ht="16" customHeight="1">
      <c r="A38" s="56" t="s">
        <v>64</v>
      </c>
      <c r="K38" s="51"/>
      <c r="L38" s="51"/>
      <c r="M38" s="51"/>
      <c r="N38" s="51"/>
      <c r="W38" s="52"/>
      <c r="X38" s="91" t="s">
        <v>111</v>
      </c>
      <c r="Y38" s="101">
        <f>1.01*3021.85</f>
        <v>3052.0684999999999</v>
      </c>
    </row>
    <row r="39" spans="1:32" s="100" customFormat="1" ht="28">
      <c r="A39" s="95" t="s">
        <v>63</v>
      </c>
      <c r="B39" s="96" t="s">
        <v>4</v>
      </c>
      <c r="C39" s="96" t="s">
        <v>23</v>
      </c>
      <c r="D39" s="96" t="s">
        <v>45</v>
      </c>
      <c r="E39" s="96" t="s">
        <v>46</v>
      </c>
      <c r="F39" s="96" t="s">
        <v>5</v>
      </c>
      <c r="G39" s="96" t="s">
        <v>6</v>
      </c>
      <c r="H39" s="97" t="s">
        <v>7</v>
      </c>
      <c r="I39" s="97" t="s">
        <v>47</v>
      </c>
      <c r="J39" s="97" t="s">
        <v>8</v>
      </c>
      <c r="K39" s="98" t="s">
        <v>13</v>
      </c>
      <c r="L39" s="98" t="s">
        <v>19</v>
      </c>
      <c r="M39" s="98" t="s">
        <v>22</v>
      </c>
      <c r="N39" s="98" t="s">
        <v>20</v>
      </c>
      <c r="O39" s="99" t="s">
        <v>9</v>
      </c>
      <c r="P39" s="99" t="s">
        <v>49</v>
      </c>
      <c r="Q39" s="48" t="s">
        <v>50</v>
      </c>
      <c r="R39" s="48" t="s">
        <v>54</v>
      </c>
      <c r="S39" s="48" t="s">
        <v>67</v>
      </c>
      <c r="T39" s="48" t="s">
        <v>12</v>
      </c>
      <c r="U39" s="48" t="s">
        <v>52</v>
      </c>
      <c r="V39" s="48" t="s">
        <v>48</v>
      </c>
      <c r="W39" s="48" t="s">
        <v>14</v>
      </c>
      <c r="X39" s="53" t="s">
        <v>11</v>
      </c>
      <c r="Y39" s="53" t="s">
        <v>21</v>
      </c>
    </row>
    <row r="40" spans="1:32" s="27" customFormat="1" ht="56">
      <c r="A40" s="103" t="s">
        <v>112</v>
      </c>
      <c r="B40" s="102" t="s">
        <v>113</v>
      </c>
      <c r="C40" s="105" t="s">
        <v>114</v>
      </c>
      <c r="D40" s="105" t="s">
        <v>115</v>
      </c>
      <c r="E40" s="102"/>
      <c r="F40" s="102" t="s">
        <v>75</v>
      </c>
      <c r="G40" s="104">
        <v>1</v>
      </c>
      <c r="H40" s="112">
        <v>4.51</v>
      </c>
      <c r="I40" s="112">
        <v>0.9</v>
      </c>
      <c r="J40" s="112"/>
      <c r="K40" s="113">
        <f>H40-I40-J40</f>
        <v>3.61</v>
      </c>
      <c r="L40" s="106" t="s">
        <v>116</v>
      </c>
      <c r="M40" s="106" t="s">
        <v>117</v>
      </c>
      <c r="N40" s="107" t="s">
        <v>118</v>
      </c>
      <c r="O40" s="115">
        <f>8+2</f>
        <v>10</v>
      </c>
      <c r="P40" s="124">
        <v>4.4999999999999998E-2</v>
      </c>
      <c r="Q40" s="38">
        <f>G40*6.9</f>
        <v>6.9</v>
      </c>
      <c r="R40" s="38"/>
      <c r="S40" s="38">
        <f>G40*0.035*2</f>
        <v>7.0000000000000007E-2</v>
      </c>
      <c r="T40" s="38"/>
      <c r="U40" s="38">
        <f t="shared" ref="U40:U41" si="49">IF(RIGHT(F40,2)="WG",K40*$AA$4,IF(OR(RIGHT(F40,3)="WRG",RIGHT(F40,3)="WYG",RIGHT(F40,3)="WYR"),K40*$AA$4+3*G40,0))</f>
        <v>0</v>
      </c>
      <c r="V40" s="38">
        <f>G40*2*30</f>
        <v>60</v>
      </c>
      <c r="W40" s="38">
        <f>G40*2*1</f>
        <v>2</v>
      </c>
      <c r="X40" s="38">
        <f t="shared" ref="X40:X41" si="50">K40*O40</f>
        <v>36.1</v>
      </c>
      <c r="Y40" s="116">
        <f>$Y$38/31.1035*K40*IF(LEFT(F40,3)="10K",0.417*1.07,IF(LEFT(F40,3)="14K",0.585*1.05,IF(LEFT(F40,3)="18K",0.75*1.05,0)))</f>
        <v>217.58922323247378</v>
      </c>
      <c r="Z40" s="27">
        <f>2*K40</f>
        <v>7.22</v>
      </c>
      <c r="AA40" s="109">
        <f>(SUM(Q40:W40)+AF40)-Z40</f>
        <v>97.85</v>
      </c>
      <c r="AB40" s="109">
        <f>AD40*$AB$13+P40*$AB$14</f>
        <v>169.35545249999998</v>
      </c>
      <c r="AC40" s="109">
        <f t="shared" ref="AC40" si="51">SUM(AA40:AB40)</f>
        <v>267.20545249999998</v>
      </c>
      <c r="AD40" s="27">
        <f t="shared" ref="AD40:AD41" si="52">K40*IF(LEFT(F40,3)="10K",0.417*1.07,IF(LEFT(F40,3)="14K",0.585*1.05,IF(LEFT(F40,3)="18K",0.75*1.05,0)))</f>
        <v>2.2174424999999998</v>
      </c>
      <c r="AF40" s="27">
        <f>IF(AE40&gt;0,AE40*K40,X40)</f>
        <v>36.1</v>
      </c>
    </row>
    <row r="41" spans="1:32" s="27" customFormat="1" ht="56.5" thickBot="1">
      <c r="A41" s="119">
        <v>2</v>
      </c>
      <c r="B41" s="120" t="s">
        <v>113</v>
      </c>
      <c r="C41" s="121" t="s">
        <v>114</v>
      </c>
      <c r="D41" s="121" t="s">
        <v>115</v>
      </c>
      <c r="E41" s="120"/>
      <c r="F41" s="120" t="s">
        <v>81</v>
      </c>
      <c r="G41" s="122">
        <v>1</v>
      </c>
      <c r="H41" s="112">
        <v>4.51</v>
      </c>
      <c r="I41" s="123">
        <v>0.9</v>
      </c>
      <c r="J41" s="123"/>
      <c r="K41" s="113">
        <f t="shared" ref="K41" si="53">H41-I41-J41</f>
        <v>3.61</v>
      </c>
      <c r="L41" s="106" t="s">
        <v>116</v>
      </c>
      <c r="M41" s="106" t="s">
        <v>117</v>
      </c>
      <c r="N41" s="107" t="s">
        <v>118</v>
      </c>
      <c r="O41" s="115">
        <f>8+2</f>
        <v>10</v>
      </c>
      <c r="P41" s="124">
        <v>4.4999999999999998E-2</v>
      </c>
      <c r="Q41" s="38">
        <f>G41*6.9</f>
        <v>6.9</v>
      </c>
      <c r="R41" s="38"/>
      <c r="S41" s="38">
        <f>G41*0.035*2</f>
        <v>7.0000000000000007E-2</v>
      </c>
      <c r="T41" s="38"/>
      <c r="U41" s="38">
        <f t="shared" si="49"/>
        <v>0</v>
      </c>
      <c r="V41" s="38">
        <f>G41*2*30</f>
        <v>60</v>
      </c>
      <c r="W41" s="38">
        <f>G41*2*1</f>
        <v>2</v>
      </c>
      <c r="X41" s="38">
        <f t="shared" si="50"/>
        <v>36.1</v>
      </c>
      <c r="Y41" s="116">
        <f>$Y$38/31.1035*K41*IF(LEFT(F41,3)="10K",0.417*1.07,IF(LEFT(F41,3)="14K",0.585*1.05,IF(LEFT(F41,3)="18K",0.75*1.05,0)))</f>
        <v>217.58922323247378</v>
      </c>
      <c r="Z41" s="27">
        <f t="shared" ref="Z41" si="54">2*K41</f>
        <v>7.22</v>
      </c>
      <c r="AA41" s="109">
        <f t="shared" ref="AA41" si="55">(SUM(Q41:W41)+AF41)-Z41</f>
        <v>97.85</v>
      </c>
      <c r="AB41" s="109">
        <f t="shared" ref="AB41" si="56">AD41*$AB$13+P41*$AB$14</f>
        <v>169.35545249999998</v>
      </c>
      <c r="AC41" s="109">
        <f t="shared" ref="AC41" si="57">SUM(AA41:AB41)</f>
        <v>267.20545249999998</v>
      </c>
      <c r="AD41" s="27">
        <f t="shared" si="52"/>
        <v>2.2174424999999998</v>
      </c>
      <c r="AF41" s="27">
        <f>IF(AE41&gt;0,AE41*K41,X41)</f>
        <v>36.1</v>
      </c>
    </row>
    <row r="42" spans="1:32" s="28" customFormat="1" ht="16" customHeight="1">
      <c r="A42" s="94" t="s">
        <v>62</v>
      </c>
      <c r="B42" s="72"/>
      <c r="C42" s="72"/>
      <c r="D42" s="72"/>
      <c r="E42" s="72"/>
      <c r="F42" s="72"/>
      <c r="G42" s="73">
        <f>SUM(G40:G41)</f>
        <v>2</v>
      </c>
      <c r="H42" s="114"/>
      <c r="I42" s="114"/>
      <c r="J42" s="114"/>
      <c r="K42" s="114">
        <f>SUM(K40:K41)</f>
        <v>7.22</v>
      </c>
      <c r="L42" s="74"/>
      <c r="M42" s="74"/>
      <c r="N42" s="74"/>
      <c r="O42" s="75"/>
      <c r="P42" s="125">
        <f t="shared" ref="P42:Y42" si="58">SUM(P40:P41)</f>
        <v>0.09</v>
      </c>
      <c r="Q42" s="76">
        <f t="shared" si="58"/>
        <v>13.8</v>
      </c>
      <c r="R42" s="76">
        <f t="shared" si="58"/>
        <v>0</v>
      </c>
      <c r="S42" s="76">
        <f t="shared" si="58"/>
        <v>0.14000000000000001</v>
      </c>
      <c r="T42" s="76">
        <f t="shared" si="58"/>
        <v>0</v>
      </c>
      <c r="U42" s="76">
        <f t="shared" si="58"/>
        <v>0</v>
      </c>
      <c r="V42" s="76">
        <f t="shared" si="58"/>
        <v>120</v>
      </c>
      <c r="W42" s="76">
        <f t="shared" si="58"/>
        <v>4</v>
      </c>
      <c r="X42" s="76">
        <f t="shared" si="58"/>
        <v>72.2</v>
      </c>
      <c r="Y42" s="117">
        <f t="shared" si="58"/>
        <v>435.17844646494757</v>
      </c>
      <c r="AA42" s="110"/>
      <c r="AB42" s="110"/>
      <c r="AC42" s="110"/>
      <c r="AD42" s="110"/>
    </row>
    <row r="43" spans="1:32" ht="16" customHeight="1">
      <c r="A43" s="56" t="s">
        <v>64</v>
      </c>
      <c r="K43" s="51"/>
      <c r="L43" s="51"/>
      <c r="M43" s="51"/>
      <c r="N43" s="51"/>
      <c r="W43" s="52"/>
      <c r="X43" s="91" t="s">
        <v>119</v>
      </c>
      <c r="Y43" s="101">
        <f>1.01*3021.85</f>
        <v>3052.0684999999999</v>
      </c>
    </row>
    <row r="44" spans="1:32" s="100" customFormat="1" ht="28">
      <c r="A44" s="95" t="s">
        <v>63</v>
      </c>
      <c r="B44" s="96" t="s">
        <v>4</v>
      </c>
      <c r="C44" s="96" t="s">
        <v>23</v>
      </c>
      <c r="D44" s="96" t="s">
        <v>45</v>
      </c>
      <c r="E44" s="96" t="s">
        <v>46</v>
      </c>
      <c r="F44" s="96" t="s">
        <v>5</v>
      </c>
      <c r="G44" s="96" t="s">
        <v>6</v>
      </c>
      <c r="H44" s="97" t="s">
        <v>7</v>
      </c>
      <c r="I44" s="97" t="s">
        <v>47</v>
      </c>
      <c r="J44" s="97" t="s">
        <v>8</v>
      </c>
      <c r="K44" s="98" t="s">
        <v>13</v>
      </c>
      <c r="L44" s="98" t="s">
        <v>19</v>
      </c>
      <c r="M44" s="98" t="s">
        <v>22</v>
      </c>
      <c r="N44" s="98" t="s">
        <v>20</v>
      </c>
      <c r="O44" s="99" t="s">
        <v>9</v>
      </c>
      <c r="P44" s="99" t="s">
        <v>49</v>
      </c>
      <c r="Q44" s="48" t="s">
        <v>50</v>
      </c>
      <c r="R44" s="48" t="s">
        <v>54</v>
      </c>
      <c r="S44" s="48" t="s">
        <v>67</v>
      </c>
      <c r="T44" s="48" t="s">
        <v>12</v>
      </c>
      <c r="U44" s="48" t="s">
        <v>52</v>
      </c>
      <c r="V44" s="48" t="s">
        <v>48</v>
      </c>
      <c r="W44" s="48" t="s">
        <v>14</v>
      </c>
      <c r="X44" s="53" t="s">
        <v>11</v>
      </c>
      <c r="Y44" s="53" t="s">
        <v>21</v>
      </c>
    </row>
    <row r="45" spans="1:32" s="27" customFormat="1" ht="28">
      <c r="A45" s="103" t="s">
        <v>120</v>
      </c>
      <c r="B45" s="102" t="s">
        <v>71</v>
      </c>
      <c r="C45" s="105" t="s">
        <v>102</v>
      </c>
      <c r="D45" s="105" t="s">
        <v>121</v>
      </c>
      <c r="E45" s="102"/>
      <c r="F45" s="102" t="s">
        <v>74</v>
      </c>
      <c r="G45" s="104">
        <v>1</v>
      </c>
      <c r="H45" s="112">
        <v>5.87</v>
      </c>
      <c r="I45" s="112">
        <v>0.22</v>
      </c>
      <c r="J45" s="112">
        <v>0.44</v>
      </c>
      <c r="K45" s="113">
        <f>H45-I45-J45</f>
        <v>5.21</v>
      </c>
      <c r="L45" s="106" t="s">
        <v>76</v>
      </c>
      <c r="M45" s="106" t="s">
        <v>103</v>
      </c>
      <c r="N45" s="107" t="s">
        <v>99</v>
      </c>
      <c r="O45" s="115">
        <v>9.25</v>
      </c>
      <c r="P45" s="124">
        <v>1.115</v>
      </c>
      <c r="Q45" s="38"/>
      <c r="R45" s="38"/>
      <c r="S45" s="38">
        <f>G45*0.035*(18+21)</f>
        <v>1.3650000000000002</v>
      </c>
      <c r="T45" s="38">
        <f>G45*2</f>
        <v>2</v>
      </c>
      <c r="U45" s="38">
        <f t="shared" ref="U45:U47" si="59">IF(RIGHT(F45,2)="WG",K45*$AA$4,IF(OR(RIGHT(F45,3)="WRG",RIGHT(F45,3)="WYG",RIGHT(F45,3)="WYR"),K45*$AA$4+3*G45,0))</f>
        <v>1.2504</v>
      </c>
      <c r="V45" s="38"/>
      <c r="W45" s="38">
        <f>G45*(18+21)*0.3</f>
        <v>11.7</v>
      </c>
      <c r="X45" s="38">
        <f t="shared" ref="X45:X47" si="60">K45*O45</f>
        <v>48.192500000000003</v>
      </c>
      <c r="Y45" s="116">
        <f>$Y$43/31.1035*K45*IF(LEFT(F45,3)="10K",0.417*1.07,IF(LEFT(F45,3)="14K",0.585*1.05,IF(LEFT(F45,3)="18K",0.75*1.05,0)))</f>
        <v>314.02766012221292</v>
      </c>
      <c r="Z45" s="27">
        <f>2*K45</f>
        <v>10.42</v>
      </c>
      <c r="AA45" s="109">
        <f>(SUM(Q45:W45)+AF45)-Z45</f>
        <v>54.087900000000005</v>
      </c>
      <c r="AB45" s="109">
        <f>AD45*$AB$13+P45*$AB$14</f>
        <v>419.00875250000001</v>
      </c>
      <c r="AC45" s="109">
        <f t="shared" ref="AC45" si="61">SUM(AA45:AB45)</f>
        <v>473.0966525</v>
      </c>
      <c r="AD45" s="27">
        <f t="shared" ref="AD45:AD47" si="62">K45*IF(LEFT(F45,3)="10K",0.417*1.07,IF(LEFT(F45,3)="14K",0.585*1.05,IF(LEFT(F45,3)="18K",0.75*1.05,0)))</f>
        <v>3.2002424999999999</v>
      </c>
      <c r="AF45" s="27">
        <f>IF(AE45&gt;0,AE45*K45,X45)</f>
        <v>48.192500000000003</v>
      </c>
    </row>
    <row r="46" spans="1:32" s="27" customFormat="1" ht="28">
      <c r="A46" s="119">
        <v>2</v>
      </c>
      <c r="B46" s="120" t="s">
        <v>71</v>
      </c>
      <c r="C46" s="121" t="s">
        <v>122</v>
      </c>
      <c r="D46" s="121" t="s">
        <v>121</v>
      </c>
      <c r="E46" s="120"/>
      <c r="F46" s="102" t="s">
        <v>74</v>
      </c>
      <c r="G46" s="122">
        <v>1</v>
      </c>
      <c r="H46" s="112">
        <v>5.61</v>
      </c>
      <c r="I46" s="123">
        <v>0.22</v>
      </c>
      <c r="J46" s="123">
        <v>0.44</v>
      </c>
      <c r="K46" s="113">
        <f t="shared" ref="K46:K47" si="63">H46-I46-J46</f>
        <v>4.95</v>
      </c>
      <c r="L46" s="106" t="s">
        <v>76</v>
      </c>
      <c r="M46" s="106" t="s">
        <v>103</v>
      </c>
      <c r="N46" s="107" t="s">
        <v>104</v>
      </c>
      <c r="O46" s="115">
        <v>9.25</v>
      </c>
      <c r="P46" s="124">
        <v>1.1200000000000001</v>
      </c>
      <c r="Q46" s="38"/>
      <c r="R46" s="38"/>
      <c r="S46" s="38">
        <f>G46*0.035*(19+20)</f>
        <v>1.3650000000000002</v>
      </c>
      <c r="T46" s="38">
        <f t="shared" ref="T46:T47" si="64">G46*2</f>
        <v>2</v>
      </c>
      <c r="U46" s="38">
        <f t="shared" si="59"/>
        <v>1.1879999999999999</v>
      </c>
      <c r="V46" s="38"/>
      <c r="W46" s="38">
        <f>G46*(19+20)*0.3</f>
        <v>11.7</v>
      </c>
      <c r="X46" s="38">
        <f t="shared" si="60"/>
        <v>45.787500000000001</v>
      </c>
      <c r="Y46" s="116">
        <f t="shared" ref="Y46:Y47" si="65">$Y$43/31.1035*K46*IF(LEFT(F46,3)="10K",0.417*1.07,IF(LEFT(F46,3)="14K",0.585*1.05,IF(LEFT(F46,3)="18K",0.75*1.05,0)))</f>
        <v>298.35641412763033</v>
      </c>
      <c r="Z46" s="27">
        <f t="shared" ref="Z46:Z47" si="66">2*K46</f>
        <v>9.9</v>
      </c>
      <c r="AA46" s="109">
        <f t="shared" ref="AA46:AA47" si="67">(SUM(Q46:W46)+AF46)-Z46</f>
        <v>52.140500000000003</v>
      </c>
      <c r="AB46" s="109">
        <f t="shared" ref="AB46:AB47" si="68">AD46*$AB$13+P46*$AB$14</f>
        <v>408.18163750000002</v>
      </c>
      <c r="AC46" s="109">
        <f t="shared" ref="AC46:AC47" si="69">SUM(AA46:AB46)</f>
        <v>460.32213750000005</v>
      </c>
      <c r="AD46" s="27">
        <f t="shared" si="62"/>
        <v>3.0405375000000001</v>
      </c>
      <c r="AF46" s="27">
        <f>IF(AE46&gt;0,AE46*K46,X46)</f>
        <v>45.787500000000001</v>
      </c>
    </row>
    <row r="47" spans="1:32" s="27" customFormat="1" ht="28.5" thickBot="1">
      <c r="A47" s="119">
        <v>3</v>
      </c>
      <c r="B47" s="120" t="s">
        <v>123</v>
      </c>
      <c r="C47" s="121" t="s">
        <v>73</v>
      </c>
      <c r="D47" s="121" t="s">
        <v>121</v>
      </c>
      <c r="E47" s="120"/>
      <c r="F47" s="120" t="s">
        <v>75</v>
      </c>
      <c r="G47" s="122">
        <v>1</v>
      </c>
      <c r="H47" s="112">
        <v>5.19</v>
      </c>
      <c r="I47" s="123">
        <v>0.22</v>
      </c>
      <c r="J47" s="123">
        <v>0.42</v>
      </c>
      <c r="K47" s="113">
        <f t="shared" si="63"/>
        <v>4.5500000000000007</v>
      </c>
      <c r="L47" s="106" t="s">
        <v>76</v>
      </c>
      <c r="M47" s="106" t="s">
        <v>124</v>
      </c>
      <c r="N47" s="107" t="s">
        <v>99</v>
      </c>
      <c r="O47" s="115">
        <v>9.25</v>
      </c>
      <c r="P47" s="124">
        <v>1.105</v>
      </c>
      <c r="Q47" s="38"/>
      <c r="R47" s="38"/>
      <c r="S47" s="38">
        <f>G47*0.035*(18+21)</f>
        <v>1.3650000000000002</v>
      </c>
      <c r="T47" s="38">
        <f t="shared" si="64"/>
        <v>2</v>
      </c>
      <c r="U47" s="38">
        <f t="shared" si="59"/>
        <v>0</v>
      </c>
      <c r="V47" s="38"/>
      <c r="W47" s="38">
        <f>G47*(18+21)*0.3</f>
        <v>11.7</v>
      </c>
      <c r="X47" s="38">
        <f t="shared" si="60"/>
        <v>42.087500000000006</v>
      </c>
      <c r="Y47" s="116">
        <f t="shared" si="65"/>
        <v>274.24680490519557</v>
      </c>
      <c r="Z47" s="27">
        <f t="shared" si="66"/>
        <v>9.1000000000000014</v>
      </c>
      <c r="AA47" s="109">
        <f t="shared" si="67"/>
        <v>48.052500000000002</v>
      </c>
      <c r="AB47" s="109">
        <f t="shared" si="68"/>
        <v>387.75148750000005</v>
      </c>
      <c r="AC47" s="109">
        <f t="shared" si="69"/>
        <v>435.80398750000006</v>
      </c>
      <c r="AD47" s="27">
        <f t="shared" si="62"/>
        <v>2.7948375000000003</v>
      </c>
      <c r="AF47" s="27">
        <f t="shared" ref="AF47" si="70">IF(AE47&gt;0,AE47*K47,X47)</f>
        <v>42.087500000000006</v>
      </c>
    </row>
    <row r="48" spans="1:32" s="28" customFormat="1" ht="16" customHeight="1">
      <c r="A48" s="94" t="s">
        <v>62</v>
      </c>
      <c r="B48" s="72"/>
      <c r="C48" s="72"/>
      <c r="D48" s="72"/>
      <c r="E48" s="72"/>
      <c r="F48" s="72"/>
      <c r="G48" s="73">
        <f>SUM(G45:G47)</f>
        <v>3</v>
      </c>
      <c r="H48" s="114"/>
      <c r="I48" s="114"/>
      <c r="J48" s="114"/>
      <c r="K48" s="114">
        <f>SUM(K45:K47)</f>
        <v>14.71</v>
      </c>
      <c r="L48" s="74"/>
      <c r="M48" s="74"/>
      <c r="N48" s="74"/>
      <c r="O48" s="75"/>
      <c r="P48" s="125">
        <f t="shared" ref="P48:Y48" si="71">SUM(P45:P47)</f>
        <v>3.3400000000000003</v>
      </c>
      <c r="Q48" s="76">
        <f t="shared" si="71"/>
        <v>0</v>
      </c>
      <c r="R48" s="76">
        <f t="shared" si="71"/>
        <v>0</v>
      </c>
      <c r="S48" s="76">
        <f t="shared" si="71"/>
        <v>4.0950000000000006</v>
      </c>
      <c r="T48" s="76">
        <f t="shared" si="71"/>
        <v>6</v>
      </c>
      <c r="U48" s="76">
        <f t="shared" si="71"/>
        <v>2.4383999999999997</v>
      </c>
      <c r="V48" s="76">
        <f t="shared" si="71"/>
        <v>0</v>
      </c>
      <c r="W48" s="76">
        <f t="shared" si="71"/>
        <v>35.099999999999994</v>
      </c>
      <c r="X48" s="76">
        <f t="shared" si="71"/>
        <v>136.0675</v>
      </c>
      <c r="Y48" s="117">
        <f t="shared" si="71"/>
        <v>886.63087915503888</v>
      </c>
      <c r="AA48" s="110"/>
      <c r="AB48" s="110"/>
      <c r="AC48" s="110"/>
      <c r="AD48" s="110"/>
    </row>
    <row r="49" spans="1:32" s="28" customFormat="1" ht="16" customHeight="1">
      <c r="A49" s="126" t="s">
        <v>125</v>
      </c>
      <c r="B49" s="127"/>
      <c r="C49" s="127"/>
      <c r="D49" s="127"/>
      <c r="E49" s="127"/>
      <c r="F49" s="127"/>
      <c r="G49" s="128">
        <f>SUM(G48,G42,G37,G32,G23,G17)</f>
        <v>29</v>
      </c>
      <c r="H49" s="129"/>
      <c r="I49" s="129"/>
      <c r="J49" s="129"/>
      <c r="K49" s="129">
        <f>SUM(K48,K42,K37,K32,K23,K17)</f>
        <v>154.09</v>
      </c>
      <c r="L49" s="130"/>
      <c r="M49" s="130"/>
      <c r="N49" s="130"/>
      <c r="O49" s="131"/>
      <c r="P49" s="132">
        <f t="shared" ref="P49:Y49" si="72">SUM(P48,P42,P37,P32,P23,P17)</f>
        <v>28.745000000000001</v>
      </c>
      <c r="Q49" s="133">
        <f t="shared" si="72"/>
        <v>13.8</v>
      </c>
      <c r="R49" s="133">
        <f t="shared" si="72"/>
        <v>0</v>
      </c>
      <c r="S49" s="133">
        <f t="shared" si="72"/>
        <v>38.71</v>
      </c>
      <c r="T49" s="133">
        <f t="shared" si="72"/>
        <v>54</v>
      </c>
      <c r="U49" s="133">
        <f t="shared" si="72"/>
        <v>24.088799999999999</v>
      </c>
      <c r="V49" s="133">
        <f t="shared" si="72"/>
        <v>120</v>
      </c>
      <c r="W49" s="133">
        <f t="shared" si="72"/>
        <v>340.27000000000004</v>
      </c>
      <c r="X49" s="133">
        <f t="shared" si="72"/>
        <v>1449.7674999999999</v>
      </c>
      <c r="Y49" s="134">
        <f t="shared" si="72"/>
        <v>9534.229294125138</v>
      </c>
      <c r="AA49" s="110">
        <f>SUM(AA16:AA48)</f>
        <v>1732.4562999999996</v>
      </c>
      <c r="AB49" s="110">
        <f>SUM(AB16:AB48)</f>
        <v>11901.086127500001</v>
      </c>
      <c r="AC49" s="110">
        <f>SUM(AC16:AC48)</f>
        <v>13633.5424275</v>
      </c>
      <c r="AD49" s="110">
        <f>SUM(AD16:AD48)</f>
        <v>97.556917499999997</v>
      </c>
      <c r="AF49" s="110">
        <f>SUM(AF16:AF48)</f>
        <v>1449.7674999999999</v>
      </c>
    </row>
    <row r="50" spans="1:32" s="28" customFormat="1" ht="16" customHeight="1" thickBot="1">
      <c r="A50" s="77"/>
      <c r="B50" s="78"/>
      <c r="C50" s="78"/>
      <c r="D50" s="78"/>
      <c r="E50" s="78"/>
      <c r="F50" s="78"/>
      <c r="G50" s="78"/>
      <c r="H50" s="78"/>
      <c r="I50" s="78"/>
      <c r="J50" s="67"/>
      <c r="K50" s="68"/>
      <c r="L50" s="68"/>
      <c r="M50" s="68"/>
      <c r="N50" s="68"/>
      <c r="O50" s="69"/>
      <c r="P50" s="69"/>
      <c r="Q50" s="70"/>
      <c r="R50" s="70"/>
      <c r="S50" s="70"/>
      <c r="T50" s="70"/>
      <c r="U50" s="70"/>
      <c r="V50" s="71"/>
      <c r="W50" s="79" t="s">
        <v>25</v>
      </c>
      <c r="X50" s="71"/>
      <c r="Y50" s="118"/>
    </row>
    <row r="51" spans="1:32" s="28" customFormat="1" ht="18.5" thickTop="1">
      <c r="A51" s="50"/>
      <c r="B51" s="143"/>
      <c r="C51" s="143"/>
      <c r="D51" s="143"/>
      <c r="E51" s="143"/>
      <c r="F51" s="143"/>
      <c r="G51" s="143"/>
      <c r="H51" s="143"/>
      <c r="I51" s="23"/>
      <c r="J51" s="54"/>
      <c r="K51" s="25"/>
      <c r="L51" s="25"/>
      <c r="M51" s="25"/>
      <c r="N51" s="25"/>
      <c r="O51" s="26"/>
      <c r="P51" s="26"/>
      <c r="Q51" s="55"/>
      <c r="R51" s="55"/>
      <c r="S51" s="55"/>
      <c r="T51" s="55"/>
      <c r="U51" s="55"/>
      <c r="W51" s="80" t="s">
        <v>15</v>
      </c>
      <c r="X51" s="144">
        <f>SUM(Q49:Y49)</f>
        <v>11574.865594125138</v>
      </c>
      <c r="Y51" s="145"/>
    </row>
    <row r="52" spans="1:32" s="28" customFormat="1" ht="18">
      <c r="A52" s="108" t="s">
        <v>53</v>
      </c>
      <c r="B52" s="89"/>
      <c r="C52" s="89"/>
      <c r="D52" s="89"/>
      <c r="E52" s="89"/>
      <c r="F52" s="90"/>
      <c r="G52" s="90"/>
      <c r="H52" s="90"/>
      <c r="I52" s="23"/>
      <c r="J52" s="54"/>
      <c r="K52" s="25"/>
      <c r="L52" s="25"/>
      <c r="M52" s="25"/>
      <c r="N52" s="25"/>
      <c r="O52" s="26"/>
      <c r="P52" s="26"/>
      <c r="Q52" s="55"/>
      <c r="R52" s="55"/>
      <c r="S52" s="55"/>
      <c r="T52" s="55"/>
      <c r="U52" s="55"/>
      <c r="W52" s="80" t="s">
        <v>16</v>
      </c>
      <c r="X52" s="155"/>
      <c r="Y52" s="156"/>
    </row>
    <row r="53" spans="1:32" ht="15.5">
      <c r="A53" s="50"/>
      <c r="B53" s="40"/>
      <c r="C53" s="40"/>
      <c r="D53" s="40"/>
      <c r="E53" s="40"/>
      <c r="G53" s="22"/>
      <c r="H53" s="23"/>
      <c r="J53" s="54"/>
      <c r="K53" s="25"/>
      <c r="L53" s="25"/>
      <c r="M53" s="25"/>
      <c r="N53" s="25"/>
      <c r="O53" s="26"/>
      <c r="P53" s="26"/>
      <c r="V53" s="22"/>
      <c r="W53" s="80" t="s">
        <v>17</v>
      </c>
      <c r="X53" s="155">
        <f>X51-X52</f>
        <v>11574.865594125138</v>
      </c>
      <c r="Y53" s="156"/>
      <c r="AC53" s="111"/>
    </row>
    <row r="54" spans="1:32" ht="20">
      <c r="A54" s="56"/>
      <c r="G54" s="22"/>
      <c r="H54" s="23"/>
      <c r="J54" s="54"/>
      <c r="K54" s="25"/>
      <c r="L54" s="25"/>
      <c r="M54" s="25"/>
      <c r="N54" s="25"/>
      <c r="O54" s="26"/>
      <c r="P54" s="26"/>
      <c r="V54" s="41"/>
      <c r="W54" s="41"/>
      <c r="X54" s="141"/>
      <c r="Y54" s="142"/>
    </row>
    <row r="55" spans="1:32" ht="22.5" customHeight="1">
      <c r="A55" s="56"/>
      <c r="B55" s="42"/>
      <c r="C55" s="42"/>
      <c r="D55" s="42"/>
      <c r="E55" s="42"/>
      <c r="G55" s="22"/>
      <c r="H55" s="23"/>
      <c r="J55" s="54"/>
      <c r="K55" s="25"/>
      <c r="L55" s="25"/>
      <c r="M55" s="25"/>
      <c r="N55" s="25"/>
      <c r="O55" s="26"/>
      <c r="P55" s="26"/>
      <c r="V55" s="41"/>
      <c r="W55" s="41"/>
      <c r="X55" s="30"/>
      <c r="Y55" s="57"/>
    </row>
    <row r="56" spans="1:32" ht="16" customHeight="1">
      <c r="A56" s="58"/>
      <c r="B56" s="42"/>
      <c r="C56" s="42"/>
      <c r="D56" s="42"/>
      <c r="E56" s="42"/>
      <c r="F56" s="32"/>
      <c r="G56" s="32"/>
      <c r="H56" s="32"/>
      <c r="I56" s="32"/>
      <c r="J56" s="33"/>
      <c r="K56" s="32"/>
      <c r="L56" s="32"/>
      <c r="M56" s="32"/>
      <c r="N56" s="32"/>
      <c r="O56" s="34"/>
      <c r="P56" s="34"/>
      <c r="Q56" s="34"/>
      <c r="R56" s="34"/>
      <c r="S56" s="34"/>
      <c r="T56" s="34"/>
      <c r="U56" s="34"/>
      <c r="V56" s="22"/>
      <c r="W56" s="35"/>
      <c r="X56" s="36"/>
      <c r="Y56" s="59"/>
    </row>
    <row r="57" spans="1:32" ht="16" customHeight="1">
      <c r="A57" s="58"/>
      <c r="B57" s="42"/>
      <c r="C57" s="42"/>
      <c r="D57" s="42"/>
      <c r="E57" s="42"/>
      <c r="F57" s="32"/>
      <c r="G57" s="32"/>
      <c r="H57" s="32"/>
      <c r="I57" s="32"/>
      <c r="J57" s="32"/>
      <c r="K57" s="32"/>
      <c r="L57" s="32"/>
      <c r="M57" s="32"/>
      <c r="N57" s="32"/>
      <c r="O57" s="34"/>
      <c r="P57" s="34"/>
      <c r="Q57" s="34"/>
      <c r="R57" s="34"/>
      <c r="S57" s="34"/>
      <c r="T57" s="34"/>
      <c r="U57" s="34"/>
      <c r="V57" s="31"/>
      <c r="W57" s="31"/>
      <c r="X57" s="32"/>
      <c r="Y57" s="60"/>
    </row>
    <row r="58" spans="1:32">
      <c r="A58" s="61"/>
      <c r="B58" s="42"/>
      <c r="C58" s="42"/>
      <c r="D58" s="42"/>
      <c r="E58" s="4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81" t="s">
        <v>10</v>
      </c>
      <c r="W58" s="31"/>
      <c r="X58" s="37" t="s">
        <v>24</v>
      </c>
      <c r="Y58" s="60"/>
    </row>
    <row r="59" spans="1:32" s="32" customFormat="1" ht="12.75" customHeight="1">
      <c r="A59" s="62"/>
      <c r="B59" s="63"/>
      <c r="C59" s="63"/>
      <c r="D59" s="63"/>
      <c r="E59" s="63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5"/>
      <c r="W59" s="65"/>
      <c r="X59" s="64"/>
      <c r="Y59" s="66"/>
    </row>
    <row r="60" spans="1:32" s="36" customFormat="1" ht="12.75" customHeight="1">
      <c r="A60" s="21"/>
      <c r="B60" s="21"/>
      <c r="C60" s="21"/>
      <c r="D60" s="21"/>
      <c r="E60" s="21"/>
      <c r="F60" s="21"/>
      <c r="G60" s="21"/>
      <c r="H60" s="22"/>
      <c r="I60" s="23"/>
      <c r="J60" s="23"/>
      <c r="K60" s="24"/>
      <c r="L60" s="24"/>
      <c r="M60" s="24"/>
      <c r="N60" s="24"/>
      <c r="O60" s="25"/>
      <c r="P60" s="25"/>
      <c r="Q60" s="26"/>
      <c r="R60" s="26"/>
      <c r="S60" s="26"/>
      <c r="T60" s="26"/>
      <c r="U60" s="26"/>
      <c r="V60" s="26"/>
      <c r="W60" s="26"/>
      <c r="X60" s="29"/>
      <c r="Y60" s="22"/>
    </row>
    <row r="61" spans="1:32" s="32" customFormat="1" ht="12.75" customHeight="1">
      <c r="A61" s="21"/>
      <c r="B61" s="21"/>
      <c r="C61" s="21"/>
      <c r="D61" s="21"/>
      <c r="E61" s="21"/>
      <c r="F61" s="21"/>
      <c r="G61" s="21"/>
      <c r="H61" s="22"/>
      <c r="I61" s="23"/>
      <c r="J61" s="23"/>
      <c r="K61" s="24"/>
      <c r="L61" s="24"/>
      <c r="M61" s="24"/>
      <c r="N61" s="24"/>
      <c r="O61" s="25"/>
      <c r="P61" s="25"/>
      <c r="Q61" s="26"/>
      <c r="R61" s="26"/>
      <c r="S61" s="26"/>
      <c r="T61" s="26"/>
      <c r="U61" s="26"/>
      <c r="V61" s="26"/>
      <c r="W61" s="26"/>
      <c r="X61" s="29"/>
      <c r="Y61" s="22"/>
    </row>
    <row r="62" spans="1:32" s="32" customFormat="1" ht="12.75" customHeight="1">
      <c r="A62" s="21"/>
      <c r="B62" s="21"/>
      <c r="C62" s="21"/>
      <c r="D62" s="21"/>
      <c r="E62" s="21"/>
      <c r="F62" s="21"/>
      <c r="G62" s="21"/>
      <c r="H62" s="22"/>
      <c r="I62" s="23"/>
      <c r="J62" s="23"/>
      <c r="K62" s="24"/>
      <c r="L62" s="24"/>
      <c r="M62" s="24"/>
      <c r="N62" s="24"/>
      <c r="O62" s="25"/>
      <c r="P62" s="25"/>
      <c r="Q62" s="26"/>
      <c r="R62" s="26"/>
      <c r="S62" s="26"/>
      <c r="T62" s="26"/>
      <c r="U62" s="26"/>
      <c r="V62" s="26"/>
      <c r="W62" s="26"/>
      <c r="X62" s="29"/>
      <c r="Y62" s="22"/>
    </row>
    <row r="63" spans="1:32" s="32" customFormat="1" ht="12.75" customHeight="1">
      <c r="A63" s="21"/>
      <c r="B63" s="21"/>
      <c r="C63" s="21"/>
      <c r="D63" s="21"/>
      <c r="E63" s="21"/>
      <c r="F63" s="21"/>
      <c r="G63" s="21"/>
      <c r="H63" s="22"/>
      <c r="I63" s="23"/>
      <c r="J63" s="23"/>
      <c r="K63" s="24"/>
      <c r="L63" s="24"/>
      <c r="M63" s="24"/>
      <c r="N63" s="24"/>
      <c r="O63" s="25"/>
      <c r="P63" s="25"/>
      <c r="Q63" s="26"/>
      <c r="R63" s="26"/>
      <c r="S63" s="26"/>
      <c r="T63" s="26"/>
      <c r="U63" s="26"/>
      <c r="V63" s="26"/>
      <c r="W63" s="26"/>
      <c r="X63" s="29"/>
      <c r="Y63" s="22"/>
    </row>
  </sheetData>
  <mergeCells count="8">
    <mergeCell ref="X54:Y54"/>
    <mergeCell ref="B51:H51"/>
    <mergeCell ref="X51:Y51"/>
    <mergeCell ref="A1:Y1"/>
    <mergeCell ref="A2:Y2"/>
    <mergeCell ref="A3:Y3"/>
    <mergeCell ref="X52:Y52"/>
    <mergeCell ref="X53:Y53"/>
  </mergeCells>
  <phoneticPr fontId="3" type="noConversion"/>
  <conditionalFormatting sqref="F16">
    <cfRule type="containsText" dxfId="4" priority="6" operator="containsText" text="18K">
      <formula>NOT(ISERROR(SEARCH("18K",F16)))</formula>
    </cfRule>
  </conditionalFormatting>
  <conditionalFormatting sqref="F26:F31">
    <cfRule type="containsText" dxfId="3" priority="4" operator="containsText" text="18K">
      <formula>NOT(ISERROR(SEARCH("18K",F26)))</formula>
    </cfRule>
  </conditionalFormatting>
  <conditionalFormatting sqref="F35:F36">
    <cfRule type="containsText" dxfId="2" priority="3" operator="containsText" text="18K">
      <formula>NOT(ISERROR(SEARCH("18K",F35)))</formula>
    </cfRule>
  </conditionalFormatting>
  <conditionalFormatting sqref="F40:F41">
    <cfRule type="containsText" dxfId="1" priority="2" operator="containsText" text="18K">
      <formula>NOT(ISERROR(SEARCH("18K",F40)))</formula>
    </cfRule>
  </conditionalFormatting>
  <conditionalFormatting sqref="F45:F47">
    <cfRule type="containsText" dxfId="0" priority="1" operator="containsText" text="18K">
      <formula>NOT(ISERROR(SEARCH("18K",F45)))</formula>
    </cfRule>
  </conditionalFormatting>
  <pageMargins left="0" right="0" top="0.19685039370078741" bottom="0" header="0.31496062992125984" footer="0.31496062992125984"/>
  <pageSetup paperSize="9" scale="5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PI</vt:lpstr>
      <vt:lpstr>PI!Print_Area</vt:lpstr>
      <vt:lpstr>PI!Print_Titles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hkjung</dc:creator>
  <cp:lastModifiedBy>DINDA</cp:lastModifiedBy>
  <cp:lastPrinted>2018-08-29T01:12:30Z</cp:lastPrinted>
  <dcterms:created xsi:type="dcterms:W3CDTF">2018-02-12T04:12:08Z</dcterms:created>
  <dcterms:modified xsi:type="dcterms:W3CDTF">2025-04-16T12:27:36Z</dcterms:modified>
</cp:coreProperties>
</file>