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E976ACE9-1488-485A-9002-764E9AC809F3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PI!$A$1:$Y$51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0" i="1" l="1"/>
  <c r="AD40" i="1"/>
  <c r="AC40" i="1"/>
  <c r="AB40" i="1"/>
  <c r="AA40" i="1"/>
  <c r="Y39" i="1" l="1"/>
  <c r="V40" i="1" l="1"/>
  <c r="R40" i="1"/>
  <c r="Q40" i="1"/>
  <c r="P40" i="1"/>
  <c r="G40" i="1"/>
  <c r="W39" i="1"/>
  <c r="W40" i="1" s="1"/>
  <c r="T39" i="1"/>
  <c r="T40" i="1" s="1"/>
  <c r="S39" i="1"/>
  <c r="S40" i="1" s="1"/>
  <c r="K39" i="1"/>
  <c r="Y37" i="1"/>
  <c r="Y40" i="1" l="1"/>
  <c r="K40" i="1"/>
  <c r="Z39" i="1"/>
  <c r="U39" i="1"/>
  <c r="U40" i="1" s="1"/>
  <c r="X39" i="1"/>
  <c r="AD39" i="1"/>
  <c r="AB39" i="1" s="1"/>
  <c r="AF39" i="1" l="1"/>
  <c r="AA39" i="1" s="1"/>
  <c r="AC39" i="1" s="1"/>
  <c r="X40" i="1"/>
  <c r="S29" i="1" l="1"/>
  <c r="S28" i="1"/>
  <c r="S27" i="1"/>
  <c r="S26" i="1"/>
  <c r="S34" i="1"/>
  <c r="S33" i="1"/>
  <c r="S35" i="1"/>
  <c r="W35" i="1"/>
  <c r="T35" i="1"/>
  <c r="W34" i="1"/>
  <c r="K34" i="1"/>
  <c r="X34" i="1" s="1"/>
  <c r="W33" i="1"/>
  <c r="Y31" i="1"/>
  <c r="Y34" i="1" l="1"/>
  <c r="W29" i="1" l="1"/>
  <c r="Q29" i="1"/>
  <c r="K29" i="1"/>
  <c r="Z29" i="1" s="1"/>
  <c r="W28" i="1"/>
  <c r="Q28" i="1"/>
  <c r="K28" i="1"/>
  <c r="W27" i="1"/>
  <c r="Q27" i="1"/>
  <c r="K27" i="1"/>
  <c r="W26" i="1"/>
  <c r="V26" i="1"/>
  <c r="Q26" i="1"/>
  <c r="K26" i="1"/>
  <c r="Y24" i="1"/>
  <c r="W22" i="1"/>
  <c r="T22" i="1"/>
  <c r="S22" i="1"/>
  <c r="K22" i="1"/>
  <c r="Y20" i="1"/>
  <c r="S18" i="1"/>
  <c r="W18" i="1"/>
  <c r="V18" i="1"/>
  <c r="T18" i="1"/>
  <c r="S17" i="1"/>
  <c r="S16" i="1"/>
  <c r="V17" i="1"/>
  <c r="W17" i="1"/>
  <c r="T17" i="1"/>
  <c r="W16" i="1"/>
  <c r="V16" i="1"/>
  <c r="T16" i="1"/>
  <c r="Y14" i="1"/>
  <c r="V36" i="1"/>
  <c r="R36" i="1"/>
  <c r="Q36" i="1"/>
  <c r="P36" i="1"/>
  <c r="G36" i="1"/>
  <c r="K35" i="1"/>
  <c r="Y35" i="1" s="1"/>
  <c r="K33" i="1"/>
  <c r="Y33" i="1" s="1"/>
  <c r="V23" i="1"/>
  <c r="R23" i="1"/>
  <c r="Q23" i="1"/>
  <c r="P23" i="1"/>
  <c r="G23" i="1"/>
  <c r="R30" i="1"/>
  <c r="P30" i="1"/>
  <c r="G30" i="1"/>
  <c r="Y28" i="1" l="1"/>
  <c r="Y26" i="1"/>
  <c r="Y27" i="1"/>
  <c r="Y29" i="1"/>
  <c r="V30" i="1"/>
  <c r="Q30" i="1"/>
  <c r="Z26" i="1"/>
  <c r="X26" i="1"/>
  <c r="AF26" i="1" s="1"/>
  <c r="U23" i="1"/>
  <c r="X22" i="1"/>
  <c r="AF22" i="1" s="1"/>
  <c r="Y22" i="1"/>
  <c r="Z22" i="1"/>
  <c r="S23" i="1"/>
  <c r="K36" i="1"/>
  <c r="Z34" i="1"/>
  <c r="AD34" i="1"/>
  <c r="AB34" i="1" s="1"/>
  <c r="T30" i="1"/>
  <c r="W30" i="1"/>
  <c r="T23" i="1"/>
  <c r="W23" i="1"/>
  <c r="AD22" i="1"/>
  <c r="AB22" i="1" s="1"/>
  <c r="U30" i="1"/>
  <c r="S30" i="1"/>
  <c r="S36" i="1"/>
  <c r="T36" i="1"/>
  <c r="W36" i="1"/>
  <c r="Z35" i="1"/>
  <c r="X35" i="1"/>
  <c r="AF35" i="1" s="1"/>
  <c r="AD35" i="1"/>
  <c r="AB35" i="1" s="1"/>
  <c r="AF34" i="1"/>
  <c r="X33" i="1"/>
  <c r="AF33" i="1" s="1"/>
  <c r="AD33" i="1"/>
  <c r="AB33" i="1" s="1"/>
  <c r="Z33" i="1"/>
  <c r="K23" i="1"/>
  <c r="Z27" i="1"/>
  <c r="X27" i="1"/>
  <c r="AF27" i="1" s="1"/>
  <c r="AD27" i="1"/>
  <c r="AB27" i="1" s="1"/>
  <c r="AD28" i="1"/>
  <c r="AB28" i="1" s="1"/>
  <c r="Z28" i="1"/>
  <c r="X28" i="1"/>
  <c r="AF28" i="1" s="1"/>
  <c r="K30" i="1"/>
  <c r="AD29" i="1"/>
  <c r="AB29" i="1" s="1"/>
  <c r="AD26" i="1"/>
  <c r="AB26" i="1" s="1"/>
  <c r="X29" i="1"/>
  <c r="AF29" i="1" s="1"/>
  <c r="AA29" i="1" s="1"/>
  <c r="U36" i="1" l="1"/>
  <c r="AA34" i="1"/>
  <c r="AC34" i="1" s="1"/>
  <c r="AA35" i="1"/>
  <c r="AC35" i="1" s="1"/>
  <c r="AA26" i="1"/>
  <c r="AC26" i="1" s="1"/>
  <c r="AA27" i="1"/>
  <c r="AC27" i="1" s="1"/>
  <c r="AA22" i="1"/>
  <c r="AC22" i="1" s="1"/>
  <c r="AA28" i="1"/>
  <c r="AC28" i="1" s="1"/>
  <c r="Y36" i="1"/>
  <c r="AA33" i="1"/>
  <c r="AC33" i="1" s="1"/>
  <c r="X36" i="1"/>
  <c r="Y23" i="1"/>
  <c r="X23" i="1"/>
  <c r="Y30" i="1"/>
  <c r="AC29" i="1"/>
  <c r="X30" i="1"/>
  <c r="S19" i="1" l="1"/>
  <c r="S41" i="1" s="1"/>
  <c r="K16" i="1"/>
  <c r="K17" i="1"/>
  <c r="K18" i="1"/>
  <c r="Z18" i="1" s="1"/>
  <c r="AD16" i="1" l="1"/>
  <c r="AB16" i="1" s="1"/>
  <c r="AD18" i="1"/>
  <c r="AB18" i="1" s="1"/>
  <c r="Z17" i="1"/>
  <c r="AD17" i="1"/>
  <c r="AB17" i="1" s="1"/>
  <c r="Z16" i="1"/>
  <c r="V19" i="1" l="1"/>
  <c r="V41" i="1" s="1"/>
  <c r="R19" i="1"/>
  <c r="R41" i="1" s="1"/>
  <c r="Q19" i="1"/>
  <c r="Q41" i="1" s="1"/>
  <c r="P19" i="1"/>
  <c r="P41" i="1" s="1"/>
  <c r="G19" i="1"/>
  <c r="G41" i="1" s="1"/>
  <c r="Y18" i="1"/>
  <c r="Y17" i="1"/>
  <c r="Y16" i="1"/>
  <c r="T19" i="1" l="1"/>
  <c r="T41" i="1" s="1"/>
  <c r="X18" i="1"/>
  <c r="AF18" i="1" s="1"/>
  <c r="AA18" i="1" s="1"/>
  <c r="AC18" i="1" s="1"/>
  <c r="U19" i="1"/>
  <c r="U41" i="1" s="1"/>
  <c r="W19" i="1"/>
  <c r="W41" i="1" s="1"/>
  <c r="X16" i="1"/>
  <c r="AF16" i="1" s="1"/>
  <c r="AA16" i="1" s="1"/>
  <c r="AC16" i="1" s="1"/>
  <c r="K19" i="1"/>
  <c r="K41" i="1" s="1"/>
  <c r="X17" i="1"/>
  <c r="AF17" i="1" s="1"/>
  <c r="AA17" i="1" s="1"/>
  <c r="AC17" i="1" s="1"/>
  <c r="X19" i="1" l="1"/>
  <c r="X41" i="1" s="1"/>
  <c r="Y19" i="1"/>
  <c r="Y41" i="1" s="1"/>
  <c r="X43" i="1" l="1"/>
  <c r="X4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DINDA</author>
  </authors>
  <commentList>
    <comment ref="Q27" authorId="0" shapeId="0" xr:uid="{F2392C15-B8F9-444D-B581-519D38D22413}">
      <text>
        <r>
          <rPr>
            <b/>
            <sz val="9"/>
            <color indexed="81"/>
            <rFont val="Tahoma"/>
            <family val="2"/>
          </rPr>
          <t>Post &amp; Clutch $6.9
MOP Cost $20</t>
        </r>
      </text>
    </comment>
  </commentList>
</comments>
</file>

<file path=xl/sharedStrings.xml><?xml version="1.0" encoding="utf-8"?>
<sst xmlns="http://schemas.openxmlformats.org/spreadsheetml/2006/main" count="247" uniqueCount="116">
  <si>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</si>
  <si>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</si>
  <si>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</si>
  <si>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</si>
  <si>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</si>
  <si>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</si>
  <si>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</si>
  <si>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</si>
  <si>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</si>
  <si>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</si>
  <si>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</si>
  <si>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</si>
  <si>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</si>
  <si>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</si>
  <si>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</si>
  <si>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</si>
  <si>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</si>
  <si>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</si>
  <si>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</si>
  <si>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</si>
  <si>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</si>
  <si>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</si>
  <si>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</si>
  <si>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</si>
  <si>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</si>
  <si>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</si>
  <si>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</si>
  <si>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</si>
  <si>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</si>
  <si>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</si>
  <si>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</si>
  <si>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</si>
  <si>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</si>
  <si>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</si>
  <si>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</si>
  <si>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</si>
  <si>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</si>
  <si>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</si>
  <si>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</si>
  <si>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</si>
  <si>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</si>
  <si>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</si>
  <si>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</si>
  <si>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</si>
  <si>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</si>
  <si>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</si>
  <si>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</si>
  <si>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</si>
  <si>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</si>
  <si>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</si>
  <si>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</si>
  <si>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</si>
  <si>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</si>
  <si>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</si>
  <si>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</si>
  <si>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</si>
  <si>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</si>
  <si>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</si>
  <si>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</si>
  <si>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</si>
  <si>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</si>
  <si>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</si>
  <si>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</si>
  <si>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</si>
  <si>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</si>
  <si>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</si>
  <si>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</si>
  <si>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</si>
  <si>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>PI RDJ250409</t>
  </si>
  <si>
    <t>ROYAL DIAMOND JOSHUA</t>
  </si>
  <si>
    <t>8 Mar London AM + 1%</t>
  </si>
  <si>
    <t>RDJ250218RB-14K-NS</t>
  </si>
  <si>
    <t>H0227B01 6.75"</t>
  </si>
  <si>
    <t>14K YG</t>
  </si>
  <si>
    <t>0.90mm
0.90mm
1.50mm
Flower Flat 7.0*7.0</t>
  </si>
  <si>
    <t>W
W
W
Lapiz Lazuli</t>
  </si>
  <si>
    <t>8pcs
1pcs
8pcs
1pcs</t>
  </si>
  <si>
    <t>W
W
W
Malachite</t>
  </si>
  <si>
    <t>H0206B01 6.75"</t>
  </si>
  <si>
    <t>0.80mm
1.10mm
1.20mm
Flower Flat 4petals 6.0*6.0</t>
  </si>
  <si>
    <t>24pcs
3pcs
24pcs
3pcs</t>
  </si>
  <si>
    <t>4 Mar London AM + 1%</t>
  </si>
  <si>
    <t>RDJ250305RB-14K</t>
  </si>
  <si>
    <t>W</t>
  </si>
  <si>
    <t>H0207B01 6.75"</t>
  </si>
  <si>
    <t>0.90mm
1.80mm</t>
  </si>
  <si>
    <t>W
W</t>
  </si>
  <si>
    <t>3pcs
12pcs</t>
  </si>
  <si>
    <t>14K WG</t>
  </si>
  <si>
    <t>6 Mar London AM + 1%</t>
  </si>
  <si>
    <t>RDJ250305RB-14K-NS</t>
  </si>
  <si>
    <t>H0180E01</t>
  </si>
  <si>
    <t>0.90mm
2.00mm
Flower Flat 4 Petal 6.39mm</t>
  </si>
  <si>
    <t>16pcs
8pcs
2pcs</t>
  </si>
  <si>
    <t>W
W
Turquoise</t>
  </si>
  <si>
    <t>W
W
White MOP</t>
  </si>
  <si>
    <t>W
W
Black MOP</t>
  </si>
  <si>
    <t>H0182E01</t>
  </si>
  <si>
    <t>0.80mm
1.20mm
1.35mm
Flower Flat 4 Petal 7.0*5.75*1.3mm</t>
  </si>
  <si>
    <t>16pcs
16pcs
8pcs
2pcs</t>
  </si>
  <si>
    <t>W
W
W
Black MOP</t>
  </si>
  <si>
    <t>13 Mar London AM + 1%</t>
  </si>
  <si>
    <t>RDJ250312RB-14K</t>
  </si>
  <si>
    <t>K5025E10 OV 0.61"</t>
  </si>
  <si>
    <t>3.05mm
3.20mm</t>
  </si>
  <si>
    <t>8pcs
14pcs</t>
  </si>
  <si>
    <t>K0725N02 17"+1"</t>
  </si>
  <si>
    <t>K01590B02 OV F 6.5"</t>
  </si>
  <si>
    <t>TOTAL</t>
  </si>
  <si>
    <t>20 Mar London AM + 1%</t>
  </si>
  <si>
    <t>RDJ250318RB-14K</t>
  </si>
  <si>
    <t>K0038B13 OV H 6.25"</t>
  </si>
  <si>
    <t>Saph = R250320</t>
  </si>
  <si>
    <t>2.35mm
2.35mm</t>
  </si>
  <si>
    <t>W
SAP</t>
  </si>
  <si>
    <t>22pcs
12pcs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</si>
</sst>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5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74" fontId="13" fillId="5" borderId="0" xfId="0" applyNumberFormat="1" applyFont="1" applyFill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2" fillId="0" borderId="12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74" fontId="13" fillId="0" borderId="2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55"/>
  <sheetViews>
    <sheetView showGridLines="0" tabSelected="1" view="pageBreakPreview" topLeftCell="P30" zoomScaleSheetLayoutView="100" workbookViewId="0">
      <selection activeCell="P41" sqref="P41"/>
    </sheetView>
  </sheetViews>
  <sheetFormatPr defaultColWidth="8.7265625" defaultRowHeight="14"/>
  <cols>
    <col min="1" max="1" width="20.453125" style="21" customWidth="1"/>
    <col min="2" max="2" width="12.453125" style="21" customWidth="1"/>
    <col min="3" max="3" width="10.26953125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13.542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44" t="s">
        <v>38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6"/>
    </row>
    <row r="2" spans="1:32" s="2" customFormat="1" ht="15.5">
      <c r="A2" s="147" t="s">
        <v>42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9"/>
    </row>
    <row r="3" spans="1:32" s="3" customFormat="1" ht="20">
      <c r="A3" s="150" t="s">
        <v>44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2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/>
      <c r="O4" s="6" t="s">
        <v>68</v>
      </c>
      <c r="P4" s="6"/>
      <c r="Q4" s="6"/>
      <c r="R4" s="6"/>
      <c r="S4" s="6"/>
      <c r="T4" s="6"/>
      <c r="U4" s="6"/>
      <c r="V4" s="83"/>
      <c r="W4" s="6"/>
      <c r="X4" s="6"/>
      <c r="Y4" s="49">
        <v>45756</v>
      </c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69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70</v>
      </c>
      <c r="Y14" s="101">
        <f>1.01*2901.65</f>
        <v>2930.6665000000003</v>
      </c>
      <c r="AA14" s="22" t="s">
        <v>59</v>
      </c>
      <c r="AB14" s="22">
        <v>166.27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70">
      <c r="A16" s="103" t="s">
        <v>71</v>
      </c>
      <c r="B16" s="120" t="s">
        <v>72</v>
      </c>
      <c r="C16" s="121"/>
      <c r="D16" s="121"/>
      <c r="E16" s="120"/>
      <c r="F16" s="120" t="s">
        <v>73</v>
      </c>
      <c r="G16" s="122">
        <v>1</v>
      </c>
      <c r="H16" s="112">
        <v>12.59</v>
      </c>
      <c r="I16" s="123">
        <v>0.14000000000000001</v>
      </c>
      <c r="J16" s="123">
        <v>1.39</v>
      </c>
      <c r="K16" s="113">
        <f t="shared" ref="K16:K18" si="0">H16-I16-J16</f>
        <v>11.059999999999999</v>
      </c>
      <c r="L16" s="106" t="s">
        <v>74</v>
      </c>
      <c r="M16" s="106" t="s">
        <v>77</v>
      </c>
      <c r="N16" s="107" t="s">
        <v>76</v>
      </c>
      <c r="O16" s="115">
        <v>10.75</v>
      </c>
      <c r="P16" s="124">
        <v>0.14000000000000001</v>
      </c>
      <c r="Q16" s="38"/>
      <c r="R16" s="38"/>
      <c r="S16" s="38">
        <f>G16*(8+1+8)*0.02</f>
        <v>0.34</v>
      </c>
      <c r="T16" s="38">
        <f t="shared" ref="T16" si="1">G16*3</f>
        <v>3</v>
      </c>
      <c r="U16" s="38"/>
      <c r="V16" s="38">
        <f>35*1*G16</f>
        <v>35</v>
      </c>
      <c r="W16" s="38">
        <f>G16*((8+8)*0.3+1*1)</f>
        <v>5.8</v>
      </c>
      <c r="X16" s="38">
        <f t="shared" ref="X16:X18" si="2">K16*O16</f>
        <v>118.89499999999998</v>
      </c>
      <c r="Y16" s="116">
        <f t="shared" ref="Y16:Y18" si="3">$Y$14/31.1035*K16*IF(LEFT(F16,3)="10K",0.417*1.07,IF(LEFT(F16,3)="14K",0.585*1.05,IF(LEFT(F16,3)="18K",0.75*1.05,0)))</f>
        <v>640.11415396121015</v>
      </c>
      <c r="Z16" s="27">
        <f t="shared" ref="Z16:Z18" si="4">2*K16</f>
        <v>22.119999999999997</v>
      </c>
      <c r="AA16" s="109">
        <f t="shared" ref="AA16:AA18" si="5">(SUM(Q16:W16)+AF16)-Z16</f>
        <v>140.91499999999996</v>
      </c>
      <c r="AB16" s="109">
        <f t="shared" ref="AB16:AB18" si="6">AD16*$AB$13+P16*$AB$14</f>
        <v>519.21096499999987</v>
      </c>
      <c r="AC16" s="109">
        <f t="shared" ref="AC16:AC18" si="7">SUM(AA16:AB16)</f>
        <v>660.12596499999984</v>
      </c>
      <c r="AD16" s="27">
        <f t="shared" ref="AD16:AD18" si="8">K16*IF(LEFT(F16,3)="10K",0.417*1.07,IF(LEFT(F16,3)="14K",0.585*1.05,IF(LEFT(F16,3)="18K",0.75*1.05,0)))</f>
        <v>6.7936049999999986</v>
      </c>
      <c r="AF16" s="27">
        <f>IF(AE16&gt;0,AE16*K16,X16)</f>
        <v>118.89499999999998</v>
      </c>
    </row>
    <row r="17" spans="1:32" s="27" customFormat="1" ht="84">
      <c r="A17" s="119">
        <v>8</v>
      </c>
      <c r="B17" s="120" t="s">
        <v>78</v>
      </c>
      <c r="C17" s="121"/>
      <c r="D17" s="121"/>
      <c r="E17" s="120"/>
      <c r="F17" s="120" t="s">
        <v>73</v>
      </c>
      <c r="G17" s="122">
        <v>1</v>
      </c>
      <c r="H17" s="112">
        <v>19.36</v>
      </c>
      <c r="I17" s="123">
        <v>0.25</v>
      </c>
      <c r="J17" s="123">
        <v>2.09</v>
      </c>
      <c r="K17" s="113">
        <f t="shared" si="0"/>
        <v>17.02</v>
      </c>
      <c r="L17" s="106" t="s">
        <v>79</v>
      </c>
      <c r="M17" s="106" t="s">
        <v>75</v>
      </c>
      <c r="N17" s="107" t="s">
        <v>80</v>
      </c>
      <c r="O17" s="115">
        <v>10.75</v>
      </c>
      <c r="P17" s="124">
        <v>0.27</v>
      </c>
      <c r="Q17" s="38"/>
      <c r="R17" s="38"/>
      <c r="S17" s="38">
        <f>G17*(24+3+24)*0.02</f>
        <v>1.02</v>
      </c>
      <c r="T17" s="38">
        <f>G17*3.5</f>
        <v>3.5</v>
      </c>
      <c r="U17" s="38"/>
      <c r="V17" s="38">
        <f>30*3*G17</f>
        <v>90</v>
      </c>
      <c r="W17" s="38">
        <f>G17*((24+24)*0.3+3*1)</f>
        <v>17.399999999999999</v>
      </c>
      <c r="X17" s="38">
        <f t="shared" si="2"/>
        <v>182.965</v>
      </c>
      <c r="Y17" s="116">
        <f t="shared" si="3"/>
        <v>985.05812842855312</v>
      </c>
      <c r="Z17" s="27">
        <f t="shared" si="4"/>
        <v>34.04</v>
      </c>
      <c r="AA17" s="109">
        <f t="shared" si="5"/>
        <v>260.84499999999997</v>
      </c>
      <c r="AB17" s="109">
        <f t="shared" si="6"/>
        <v>808.07395500000007</v>
      </c>
      <c r="AC17" s="109">
        <f t="shared" si="7"/>
        <v>1068.9189550000001</v>
      </c>
      <c r="AD17" s="27">
        <f t="shared" si="8"/>
        <v>10.454535</v>
      </c>
      <c r="AF17" s="27">
        <f t="shared" ref="AF17:AF18" si="9">IF(AE17&gt;0,AE17*K17,X17)</f>
        <v>182.965</v>
      </c>
    </row>
    <row r="18" spans="1:32" s="27" customFormat="1" ht="84.5" thickBot="1">
      <c r="A18" s="119">
        <v>9</v>
      </c>
      <c r="B18" s="120" t="s">
        <v>78</v>
      </c>
      <c r="C18" s="121"/>
      <c r="D18" s="121"/>
      <c r="E18" s="120"/>
      <c r="F18" s="120" t="s">
        <v>73</v>
      </c>
      <c r="G18" s="122">
        <v>1</v>
      </c>
      <c r="H18" s="112">
        <v>19.12</v>
      </c>
      <c r="I18" s="123">
        <v>0.33</v>
      </c>
      <c r="J18" s="123">
        <v>2.09</v>
      </c>
      <c r="K18" s="113">
        <f t="shared" si="0"/>
        <v>16.700000000000003</v>
      </c>
      <c r="L18" s="106" t="s">
        <v>79</v>
      </c>
      <c r="M18" s="106" t="s">
        <v>77</v>
      </c>
      <c r="N18" s="107" t="s">
        <v>80</v>
      </c>
      <c r="O18" s="115">
        <v>10.75</v>
      </c>
      <c r="P18" s="124">
        <v>0.27</v>
      </c>
      <c r="Q18" s="38"/>
      <c r="R18" s="38"/>
      <c r="S18" s="38">
        <f>G18*(24+3+24)*0.02</f>
        <v>1.02</v>
      </c>
      <c r="T18" s="38">
        <f>G18*3.5</f>
        <v>3.5</v>
      </c>
      <c r="U18" s="38"/>
      <c r="V18" s="38">
        <f>25*3*G18</f>
        <v>75</v>
      </c>
      <c r="W18" s="38">
        <f>G18*((24+24)*0.3+3*1)</f>
        <v>17.399999999999999</v>
      </c>
      <c r="X18" s="38">
        <f t="shared" si="2"/>
        <v>179.52500000000003</v>
      </c>
      <c r="Y18" s="116">
        <f t="shared" si="3"/>
        <v>966.53764657795773</v>
      </c>
      <c r="Z18" s="27">
        <f t="shared" si="4"/>
        <v>33.400000000000006</v>
      </c>
      <c r="AA18" s="109">
        <f t="shared" si="5"/>
        <v>243.04500000000004</v>
      </c>
      <c r="AB18" s="109">
        <f t="shared" si="6"/>
        <v>793.72507500000017</v>
      </c>
      <c r="AC18" s="109">
        <f t="shared" si="7"/>
        <v>1036.7700750000001</v>
      </c>
      <c r="AD18" s="27">
        <f t="shared" si="8"/>
        <v>10.257975000000002</v>
      </c>
      <c r="AF18" s="27">
        <f t="shared" si="9"/>
        <v>179.52500000000003</v>
      </c>
    </row>
    <row r="19" spans="1:32" s="28" customFormat="1" ht="16" customHeight="1">
      <c r="A19" s="94" t="s">
        <v>62</v>
      </c>
      <c r="B19" s="72"/>
      <c r="C19" s="72"/>
      <c r="D19" s="72"/>
      <c r="E19" s="72"/>
      <c r="F19" s="72"/>
      <c r="G19" s="73">
        <f>SUM(G16:G18)</f>
        <v>3</v>
      </c>
      <c r="H19" s="114"/>
      <c r="I19" s="114"/>
      <c r="J19" s="114"/>
      <c r="K19" s="114">
        <f>SUM(K16:K18)</f>
        <v>44.78</v>
      </c>
      <c r="L19" s="74"/>
      <c r="M19" s="74"/>
      <c r="N19" s="74"/>
      <c r="O19" s="75"/>
      <c r="P19" s="125">
        <f t="shared" ref="P19:Y19" si="10">SUM(P16:P18)</f>
        <v>0.68</v>
      </c>
      <c r="Q19" s="76">
        <f t="shared" si="10"/>
        <v>0</v>
      </c>
      <c r="R19" s="76">
        <f t="shared" si="10"/>
        <v>0</v>
      </c>
      <c r="S19" s="76">
        <f t="shared" si="10"/>
        <v>2.38</v>
      </c>
      <c r="T19" s="76">
        <f t="shared" si="10"/>
        <v>10</v>
      </c>
      <c r="U19" s="76">
        <f t="shared" si="10"/>
        <v>0</v>
      </c>
      <c r="V19" s="76">
        <f t="shared" si="10"/>
        <v>200</v>
      </c>
      <c r="W19" s="76">
        <f t="shared" si="10"/>
        <v>40.599999999999994</v>
      </c>
      <c r="X19" s="76">
        <f t="shared" si="10"/>
        <v>481.38500000000005</v>
      </c>
      <c r="Y19" s="117">
        <f t="shared" si="10"/>
        <v>2591.7099289677208</v>
      </c>
      <c r="AA19" s="110"/>
      <c r="AB19" s="110"/>
      <c r="AC19" s="110"/>
      <c r="AD19" s="110"/>
    </row>
    <row r="20" spans="1:32" ht="16" customHeight="1">
      <c r="A20" s="56" t="s">
        <v>64</v>
      </c>
      <c r="K20" s="51"/>
      <c r="L20" s="51"/>
      <c r="M20" s="51"/>
      <c r="N20" s="51"/>
      <c r="W20" s="52"/>
      <c r="X20" s="91" t="s">
        <v>81</v>
      </c>
      <c r="Y20" s="101">
        <f>1.01*2911.6</f>
        <v>2940.7159999999999</v>
      </c>
    </row>
    <row r="21" spans="1:32" s="100" customFormat="1" ht="28">
      <c r="A21" s="95" t="s">
        <v>63</v>
      </c>
      <c r="B21" s="96" t="s">
        <v>4</v>
      </c>
      <c r="C21" s="96" t="s">
        <v>23</v>
      </c>
      <c r="D21" s="96" t="s">
        <v>45</v>
      </c>
      <c r="E21" s="96" t="s">
        <v>46</v>
      </c>
      <c r="F21" s="96" t="s">
        <v>5</v>
      </c>
      <c r="G21" s="96" t="s">
        <v>6</v>
      </c>
      <c r="H21" s="97" t="s">
        <v>7</v>
      </c>
      <c r="I21" s="97" t="s">
        <v>47</v>
      </c>
      <c r="J21" s="97" t="s">
        <v>8</v>
      </c>
      <c r="K21" s="98" t="s">
        <v>13</v>
      </c>
      <c r="L21" s="98" t="s">
        <v>19</v>
      </c>
      <c r="M21" s="98" t="s">
        <v>22</v>
      </c>
      <c r="N21" s="98" t="s">
        <v>20</v>
      </c>
      <c r="O21" s="99" t="s">
        <v>9</v>
      </c>
      <c r="P21" s="99" t="s">
        <v>49</v>
      </c>
      <c r="Q21" s="48" t="s">
        <v>50</v>
      </c>
      <c r="R21" s="48" t="s">
        <v>54</v>
      </c>
      <c r="S21" s="48" t="s">
        <v>67</v>
      </c>
      <c r="T21" s="48" t="s">
        <v>12</v>
      </c>
      <c r="U21" s="48" t="s">
        <v>52</v>
      </c>
      <c r="V21" s="48" t="s">
        <v>48</v>
      </c>
      <c r="W21" s="48" t="s">
        <v>14</v>
      </c>
      <c r="X21" s="53" t="s">
        <v>11</v>
      </c>
      <c r="Y21" s="53" t="s">
        <v>21</v>
      </c>
    </row>
    <row r="22" spans="1:32" s="27" customFormat="1" ht="28.5" thickBot="1">
      <c r="A22" s="103" t="s">
        <v>82</v>
      </c>
      <c r="B22" s="120" t="s">
        <v>84</v>
      </c>
      <c r="C22" s="121"/>
      <c r="D22" s="121"/>
      <c r="E22" s="120"/>
      <c r="F22" s="102" t="s">
        <v>73</v>
      </c>
      <c r="G22" s="122">
        <v>2</v>
      </c>
      <c r="H22" s="112">
        <v>31.41</v>
      </c>
      <c r="I22" s="123">
        <v>0.12</v>
      </c>
      <c r="J22" s="123">
        <v>4.18</v>
      </c>
      <c r="K22" s="113">
        <f t="shared" ref="K22" si="11">H22-I22-J22</f>
        <v>27.11</v>
      </c>
      <c r="L22" s="106" t="s">
        <v>85</v>
      </c>
      <c r="M22" s="106" t="s">
        <v>86</v>
      </c>
      <c r="N22" s="107" t="s">
        <v>87</v>
      </c>
      <c r="O22" s="115">
        <v>10.75</v>
      </c>
      <c r="P22" s="124">
        <v>0.61</v>
      </c>
      <c r="Q22" s="38"/>
      <c r="R22" s="38"/>
      <c r="S22" s="38">
        <f>G22*(3+12)*0.02</f>
        <v>0.6</v>
      </c>
      <c r="T22" s="38">
        <f>G22*3.5</f>
        <v>7</v>
      </c>
      <c r="U22" s="38"/>
      <c r="V22" s="38"/>
      <c r="W22" s="38">
        <f>G22*(3+12)*0.6</f>
        <v>18</v>
      </c>
      <c r="X22" s="38">
        <f t="shared" ref="X22" si="12">K22*O22</f>
        <v>291.4325</v>
      </c>
      <c r="Y22" s="116">
        <f t="shared" ref="Y22" si="13">$Y$20/31.1035*K22*IF(LEFT(F22,3)="10K",0.417*1.07,IF(LEFT(F22,3)="14K",0.585*1.05,IF(LEFT(F22,3)="18K",0.75*1.05,0)))</f>
        <v>1574.4124136939572</v>
      </c>
      <c r="Z22" s="27">
        <f t="shared" ref="Z22" si="14">2*K22</f>
        <v>54.22</v>
      </c>
      <c r="AA22" s="109">
        <f t="shared" ref="AA22" si="15">(SUM(Q22:W22)+AF22)-Z22</f>
        <v>262.8125</v>
      </c>
      <c r="AB22" s="109">
        <f t="shared" ref="AB22" si="16">AD22*$AB$13+P22*$AB$14</f>
        <v>1317.0438775</v>
      </c>
      <c r="AC22" s="109">
        <f t="shared" ref="AC22" si="17">SUM(AA22:AB22)</f>
        <v>1579.8563775</v>
      </c>
      <c r="AD22" s="27">
        <f t="shared" ref="AD22" si="18">K22*IF(LEFT(F22,3)="10K",0.417*1.07,IF(LEFT(F22,3)="14K",0.585*1.05,IF(LEFT(F22,3)="18K",0.75*1.05,0)))</f>
        <v>16.652317499999999</v>
      </c>
      <c r="AF22" s="27">
        <f>IF(AE22&gt;0,AE22*K22,X22)</f>
        <v>291.4325</v>
      </c>
    </row>
    <row r="23" spans="1:32" s="28" customFormat="1" ht="16" customHeight="1">
      <c r="A23" s="94" t="s">
        <v>62</v>
      </c>
      <c r="B23" s="72"/>
      <c r="C23" s="72"/>
      <c r="D23" s="72"/>
      <c r="E23" s="72"/>
      <c r="F23" s="72"/>
      <c r="G23" s="73">
        <f>SUM(G22:G22)</f>
        <v>2</v>
      </c>
      <c r="H23" s="114"/>
      <c r="I23" s="114"/>
      <c r="J23" s="114"/>
      <c r="K23" s="114">
        <f>SUM(K22:K22)</f>
        <v>27.11</v>
      </c>
      <c r="L23" s="74"/>
      <c r="M23" s="74"/>
      <c r="N23" s="74"/>
      <c r="O23" s="75"/>
      <c r="P23" s="125">
        <f t="shared" ref="P23:Y23" si="19">SUM(P22:P22)</f>
        <v>0.61</v>
      </c>
      <c r="Q23" s="76">
        <f t="shared" si="19"/>
        <v>0</v>
      </c>
      <c r="R23" s="76">
        <f t="shared" si="19"/>
        <v>0</v>
      </c>
      <c r="S23" s="76">
        <f t="shared" si="19"/>
        <v>0.6</v>
      </c>
      <c r="T23" s="76">
        <f t="shared" si="19"/>
        <v>7</v>
      </c>
      <c r="U23" s="76">
        <f t="shared" si="19"/>
        <v>0</v>
      </c>
      <c r="V23" s="76">
        <f t="shared" si="19"/>
        <v>0</v>
      </c>
      <c r="W23" s="76">
        <f t="shared" si="19"/>
        <v>18</v>
      </c>
      <c r="X23" s="76">
        <f t="shared" si="19"/>
        <v>291.4325</v>
      </c>
      <c r="Y23" s="117">
        <f t="shared" si="19"/>
        <v>1574.4124136939572</v>
      </c>
      <c r="AA23" s="110"/>
      <c r="AB23" s="110"/>
      <c r="AC23" s="110"/>
      <c r="AD23" s="110"/>
    </row>
    <row r="24" spans="1:32" ht="16" customHeight="1">
      <c r="A24" s="56" t="s">
        <v>64</v>
      </c>
      <c r="K24" s="51"/>
      <c r="L24" s="51"/>
      <c r="M24" s="51"/>
      <c r="N24" s="51"/>
      <c r="W24" s="52"/>
      <c r="X24" s="91" t="s">
        <v>89</v>
      </c>
      <c r="Y24" s="101">
        <f>1.01*2901.65</f>
        <v>2930.6665000000003</v>
      </c>
    </row>
    <row r="25" spans="1:32" s="100" customFormat="1" ht="28">
      <c r="A25" s="95" t="s">
        <v>63</v>
      </c>
      <c r="B25" s="96" t="s">
        <v>4</v>
      </c>
      <c r="C25" s="96" t="s">
        <v>23</v>
      </c>
      <c r="D25" s="96" t="s">
        <v>45</v>
      </c>
      <c r="E25" s="96" t="s">
        <v>46</v>
      </c>
      <c r="F25" s="96" t="s">
        <v>5</v>
      </c>
      <c r="G25" s="96" t="s">
        <v>6</v>
      </c>
      <c r="H25" s="97" t="s">
        <v>7</v>
      </c>
      <c r="I25" s="97" t="s">
        <v>47</v>
      </c>
      <c r="J25" s="97" t="s">
        <v>8</v>
      </c>
      <c r="K25" s="98" t="s">
        <v>13</v>
      </c>
      <c r="L25" s="98" t="s">
        <v>19</v>
      </c>
      <c r="M25" s="98" t="s">
        <v>22</v>
      </c>
      <c r="N25" s="98" t="s">
        <v>20</v>
      </c>
      <c r="O25" s="99" t="s">
        <v>9</v>
      </c>
      <c r="P25" s="99" t="s">
        <v>49</v>
      </c>
      <c r="Q25" s="48" t="s">
        <v>50</v>
      </c>
      <c r="R25" s="48" t="s">
        <v>54</v>
      </c>
      <c r="S25" s="48" t="s">
        <v>67</v>
      </c>
      <c r="T25" s="48" t="s">
        <v>12</v>
      </c>
      <c r="U25" s="48" t="s">
        <v>52</v>
      </c>
      <c r="V25" s="48" t="s">
        <v>48</v>
      </c>
      <c r="W25" s="48" t="s">
        <v>14</v>
      </c>
      <c r="X25" s="53" t="s">
        <v>11</v>
      </c>
      <c r="Y25" s="53" t="s">
        <v>21</v>
      </c>
    </row>
    <row r="26" spans="1:32" s="27" customFormat="1" ht="56">
      <c r="A26" s="103" t="s">
        <v>90</v>
      </c>
      <c r="B26" s="120" t="s">
        <v>91</v>
      </c>
      <c r="C26" s="121"/>
      <c r="D26" s="121"/>
      <c r="E26" s="120"/>
      <c r="F26" s="102" t="s">
        <v>73</v>
      </c>
      <c r="G26" s="122">
        <v>1</v>
      </c>
      <c r="H26" s="135">
        <v>3.76</v>
      </c>
      <c r="I26" s="136">
        <v>0.21</v>
      </c>
      <c r="J26" s="136"/>
      <c r="K26" s="137">
        <f t="shared" ref="K26:K29" si="20">H26-I26-J26</f>
        <v>3.55</v>
      </c>
      <c r="L26" s="106" t="s">
        <v>92</v>
      </c>
      <c r="M26" s="106" t="s">
        <v>94</v>
      </c>
      <c r="N26" s="107" t="s">
        <v>93</v>
      </c>
      <c r="O26" s="115">
        <v>8</v>
      </c>
      <c r="P26" s="124">
        <v>0.32500000000000001</v>
      </c>
      <c r="Q26" s="38">
        <f>6.9*G26</f>
        <v>6.9</v>
      </c>
      <c r="R26" s="38"/>
      <c r="S26" s="38">
        <f>G26*(16+8)*0.02</f>
        <v>0.48</v>
      </c>
      <c r="T26" s="38"/>
      <c r="U26" s="38"/>
      <c r="V26" s="38">
        <f>50*2*G26</f>
        <v>100</v>
      </c>
      <c r="W26" s="38">
        <f>G26*(16+8)*0.3</f>
        <v>7.1999999999999993</v>
      </c>
      <c r="X26" s="38">
        <f t="shared" ref="X26:X29" si="21">K26*O26</f>
        <v>28.4</v>
      </c>
      <c r="Y26" s="116">
        <f t="shared" ref="Y26:Y29" si="22">$Y$24/31.1035*K26*IF(LEFT(F26,3)="10K",0.417*1.07,IF(LEFT(F26,3)="14K",0.585*1.05,IF(LEFT(F26,3)="18K",0.75*1.05,0)))</f>
        <v>205.46159553004483</v>
      </c>
      <c r="Z26" s="27">
        <f t="shared" ref="Z26:Z29" si="23">2*K26</f>
        <v>7.1</v>
      </c>
      <c r="AA26" s="109">
        <f t="shared" ref="AA26:AA29" si="24">(SUM(Q26:W26)+AF26)-Z26</f>
        <v>135.88</v>
      </c>
      <c r="AB26" s="109">
        <f t="shared" ref="AB26:AB29" si="25">AD26*$AB$13+P26*$AB$14</f>
        <v>213.22063749999995</v>
      </c>
      <c r="AC26" s="109">
        <f t="shared" ref="AC26:AC29" si="26">SUM(AA26:AB26)</f>
        <v>349.10063749999995</v>
      </c>
      <c r="AD26" s="27">
        <f t="shared" ref="AD26:AD29" si="27">K26*IF(LEFT(F26,3)="10K",0.417*1.07,IF(LEFT(F26,3)="14K",0.585*1.05,IF(LEFT(F26,3)="18K",0.75*1.05,0)))</f>
        <v>2.1805874999999997</v>
      </c>
      <c r="AF26" s="27">
        <f>IF(AE26&gt;0,AE26*K26,X26)</f>
        <v>28.4</v>
      </c>
    </row>
    <row r="27" spans="1:32" s="27" customFormat="1" ht="56">
      <c r="A27" s="119">
        <v>3</v>
      </c>
      <c r="B27" s="120" t="s">
        <v>91</v>
      </c>
      <c r="C27" s="121"/>
      <c r="D27" s="121"/>
      <c r="E27" s="120"/>
      <c r="F27" s="102" t="s">
        <v>73</v>
      </c>
      <c r="G27" s="122">
        <v>1</v>
      </c>
      <c r="H27" s="135">
        <v>3.82</v>
      </c>
      <c r="I27" s="136">
        <v>0.24</v>
      </c>
      <c r="J27" s="136"/>
      <c r="K27" s="137">
        <f t="shared" si="20"/>
        <v>3.58</v>
      </c>
      <c r="L27" s="106" t="s">
        <v>92</v>
      </c>
      <c r="M27" s="106" t="s">
        <v>95</v>
      </c>
      <c r="N27" s="107" t="s">
        <v>93</v>
      </c>
      <c r="O27" s="115">
        <v>8</v>
      </c>
      <c r="P27" s="124">
        <v>0.315</v>
      </c>
      <c r="Q27" s="38">
        <f>6.9*G27+20*2*G27</f>
        <v>46.9</v>
      </c>
      <c r="R27" s="38"/>
      <c r="S27" s="38">
        <f>G27*(16+8)*0.02</f>
        <v>0.48</v>
      </c>
      <c r="T27" s="38"/>
      <c r="U27" s="38"/>
      <c r="V27" s="38"/>
      <c r="W27" s="38">
        <f>G27*(16+8)*0.3</f>
        <v>7.1999999999999993</v>
      </c>
      <c r="X27" s="38">
        <f t="shared" si="21"/>
        <v>28.64</v>
      </c>
      <c r="Y27" s="116">
        <f t="shared" si="22"/>
        <v>207.19789070353818</v>
      </c>
      <c r="Z27" s="27">
        <f t="shared" si="23"/>
        <v>7.16</v>
      </c>
      <c r="AA27" s="109">
        <f t="shared" si="24"/>
        <v>76.06</v>
      </c>
      <c r="AB27" s="109">
        <f t="shared" si="25"/>
        <v>212.90314499999999</v>
      </c>
      <c r="AC27" s="109">
        <f t="shared" si="26"/>
        <v>288.963145</v>
      </c>
      <c r="AD27" s="27">
        <f t="shared" si="27"/>
        <v>2.1990149999999997</v>
      </c>
      <c r="AF27" s="27">
        <f t="shared" ref="AF27:AF29" si="28">IF(AE27&gt;0,AE27*K27,X27)</f>
        <v>28.64</v>
      </c>
    </row>
    <row r="28" spans="1:32" s="27" customFormat="1" ht="56">
      <c r="A28" s="119">
        <v>4</v>
      </c>
      <c r="B28" s="120" t="s">
        <v>91</v>
      </c>
      <c r="C28" s="121"/>
      <c r="D28" s="121"/>
      <c r="E28" s="120"/>
      <c r="F28" s="102" t="s">
        <v>73</v>
      </c>
      <c r="G28" s="122">
        <v>1</v>
      </c>
      <c r="H28" s="135">
        <v>3.89</v>
      </c>
      <c r="I28" s="136">
        <v>0.23</v>
      </c>
      <c r="J28" s="136"/>
      <c r="K28" s="137">
        <f t="shared" si="20"/>
        <v>3.66</v>
      </c>
      <c r="L28" s="106" t="s">
        <v>92</v>
      </c>
      <c r="M28" s="106" t="s">
        <v>96</v>
      </c>
      <c r="N28" s="107" t="s">
        <v>93</v>
      </c>
      <c r="O28" s="115">
        <v>8</v>
      </c>
      <c r="P28" s="124">
        <v>0.31</v>
      </c>
      <c r="Q28" s="38">
        <f>6.9*G28+40*2*G28</f>
        <v>86.9</v>
      </c>
      <c r="R28" s="38"/>
      <c r="S28" s="38">
        <f>G28*(16+8)*0.02</f>
        <v>0.48</v>
      </c>
      <c r="T28" s="38"/>
      <c r="U28" s="38"/>
      <c r="V28" s="38"/>
      <c r="W28" s="38">
        <f>G28*(16+8)*0.3</f>
        <v>7.1999999999999993</v>
      </c>
      <c r="X28" s="38">
        <f t="shared" si="21"/>
        <v>29.28</v>
      </c>
      <c r="Y28" s="116">
        <f t="shared" si="22"/>
        <v>211.82801116618711</v>
      </c>
      <c r="Z28" s="27">
        <f t="shared" si="23"/>
        <v>7.32</v>
      </c>
      <c r="AA28" s="109">
        <f t="shared" si="24"/>
        <v>116.54000000000002</v>
      </c>
      <c r="AB28" s="109">
        <f t="shared" si="25"/>
        <v>215.65901500000001</v>
      </c>
      <c r="AC28" s="109">
        <f t="shared" si="26"/>
        <v>332.19901500000003</v>
      </c>
      <c r="AD28" s="27">
        <f t="shared" si="27"/>
        <v>2.2481550000000001</v>
      </c>
      <c r="AF28" s="27">
        <f t="shared" si="28"/>
        <v>29.28</v>
      </c>
    </row>
    <row r="29" spans="1:32" s="27" customFormat="1" ht="98.5" thickBot="1">
      <c r="A29" s="119">
        <v>8</v>
      </c>
      <c r="B29" s="120" t="s">
        <v>97</v>
      </c>
      <c r="C29" s="121"/>
      <c r="D29" s="121"/>
      <c r="E29" s="120"/>
      <c r="F29" s="102" t="s">
        <v>73</v>
      </c>
      <c r="G29" s="122">
        <v>1</v>
      </c>
      <c r="H29" s="135">
        <v>3.34</v>
      </c>
      <c r="I29" s="136">
        <v>0.24</v>
      </c>
      <c r="J29" s="136"/>
      <c r="K29" s="137">
        <f t="shared" si="20"/>
        <v>3.0999999999999996</v>
      </c>
      <c r="L29" s="106" t="s">
        <v>98</v>
      </c>
      <c r="M29" s="106" t="s">
        <v>100</v>
      </c>
      <c r="N29" s="107" t="s">
        <v>99</v>
      </c>
      <c r="O29" s="115">
        <v>8</v>
      </c>
      <c r="P29" s="124">
        <v>0.245</v>
      </c>
      <c r="Q29" s="38">
        <f>6.9*G29+40*2*G29</f>
        <v>86.9</v>
      </c>
      <c r="R29" s="38"/>
      <c r="S29" s="38">
        <f>G29*(16+16+8)*0.02</f>
        <v>0.8</v>
      </c>
      <c r="T29" s="38"/>
      <c r="U29" s="38"/>
      <c r="V29" s="38"/>
      <c r="W29" s="38">
        <f>G29*(16+16+8)*0.3</f>
        <v>12</v>
      </c>
      <c r="X29" s="38">
        <f t="shared" si="21"/>
        <v>24.799999999999997</v>
      </c>
      <c r="Y29" s="116">
        <f t="shared" si="22"/>
        <v>179.41716792764478</v>
      </c>
      <c r="Z29" s="27">
        <f t="shared" si="23"/>
        <v>6.1999999999999993</v>
      </c>
      <c r="AA29" s="109">
        <f t="shared" si="24"/>
        <v>118.3</v>
      </c>
      <c r="AB29" s="109">
        <f t="shared" si="25"/>
        <v>179.74092499999998</v>
      </c>
      <c r="AC29" s="109">
        <f t="shared" si="26"/>
        <v>298.04092499999996</v>
      </c>
      <c r="AD29" s="27">
        <f t="shared" si="27"/>
        <v>1.9041749999999997</v>
      </c>
      <c r="AF29" s="27">
        <f t="shared" si="28"/>
        <v>24.799999999999997</v>
      </c>
    </row>
    <row r="30" spans="1:32" s="28" customFormat="1" ht="16" customHeight="1">
      <c r="A30" s="94" t="s">
        <v>62</v>
      </c>
      <c r="B30" s="72"/>
      <c r="C30" s="72"/>
      <c r="D30" s="72"/>
      <c r="E30" s="72"/>
      <c r="F30" s="72"/>
      <c r="G30" s="73">
        <f>SUM(G26:G29)</f>
        <v>4</v>
      </c>
      <c r="H30" s="138"/>
      <c r="I30" s="138"/>
      <c r="J30" s="138"/>
      <c r="K30" s="138">
        <f>SUM(K26:K29)</f>
        <v>13.889999999999999</v>
      </c>
      <c r="L30" s="74"/>
      <c r="M30" s="74"/>
      <c r="N30" s="74"/>
      <c r="O30" s="75"/>
      <c r="P30" s="125">
        <f t="shared" ref="P30:Y30" si="29">SUM(P26:P29)</f>
        <v>1.1949999999999998</v>
      </c>
      <c r="Q30" s="76">
        <f t="shared" si="29"/>
        <v>227.6</v>
      </c>
      <c r="R30" s="76">
        <f t="shared" si="29"/>
        <v>0</v>
      </c>
      <c r="S30" s="76">
        <f t="shared" si="29"/>
        <v>2.2400000000000002</v>
      </c>
      <c r="T30" s="76">
        <f t="shared" si="29"/>
        <v>0</v>
      </c>
      <c r="U30" s="76">
        <f t="shared" si="29"/>
        <v>0</v>
      </c>
      <c r="V30" s="76">
        <f t="shared" si="29"/>
        <v>100</v>
      </c>
      <c r="W30" s="76">
        <f t="shared" si="29"/>
        <v>33.599999999999994</v>
      </c>
      <c r="X30" s="76">
        <f t="shared" si="29"/>
        <v>111.11999999999999</v>
      </c>
      <c r="Y30" s="117">
        <f t="shared" si="29"/>
        <v>803.90466532741493</v>
      </c>
      <c r="AA30" s="110"/>
      <c r="AB30" s="110"/>
      <c r="AC30" s="110"/>
      <c r="AD30" s="110"/>
    </row>
    <row r="31" spans="1:32" ht="16" customHeight="1">
      <c r="A31" s="56" t="s">
        <v>64</v>
      </c>
      <c r="K31" s="51"/>
      <c r="L31" s="51"/>
      <c r="M31" s="51"/>
      <c r="N31" s="51"/>
      <c r="W31" s="52"/>
      <c r="X31" s="91" t="s">
        <v>101</v>
      </c>
      <c r="Y31" s="101">
        <f>2944.65*1.01</f>
        <v>2974.0965000000001</v>
      </c>
    </row>
    <row r="32" spans="1:32" s="100" customFormat="1" ht="28">
      <c r="A32" s="95" t="s">
        <v>63</v>
      </c>
      <c r="B32" s="96" t="s">
        <v>4</v>
      </c>
      <c r="C32" s="96" t="s">
        <v>23</v>
      </c>
      <c r="D32" s="96" t="s">
        <v>45</v>
      </c>
      <c r="E32" s="96" t="s">
        <v>46</v>
      </c>
      <c r="F32" s="96" t="s">
        <v>5</v>
      </c>
      <c r="G32" s="96" t="s">
        <v>6</v>
      </c>
      <c r="H32" s="97" t="s">
        <v>7</v>
      </c>
      <c r="I32" s="97" t="s">
        <v>47</v>
      </c>
      <c r="J32" s="97" t="s">
        <v>8</v>
      </c>
      <c r="K32" s="98" t="s">
        <v>13</v>
      </c>
      <c r="L32" s="98" t="s">
        <v>19</v>
      </c>
      <c r="M32" s="98" t="s">
        <v>22</v>
      </c>
      <c r="N32" s="98" t="s">
        <v>20</v>
      </c>
      <c r="O32" s="99" t="s">
        <v>9</v>
      </c>
      <c r="P32" s="99" t="s">
        <v>49</v>
      </c>
      <c r="Q32" s="48" t="s">
        <v>50</v>
      </c>
      <c r="R32" s="48" t="s">
        <v>54</v>
      </c>
      <c r="S32" s="48" t="s">
        <v>67</v>
      </c>
      <c r="T32" s="48" t="s">
        <v>12</v>
      </c>
      <c r="U32" s="48" t="s">
        <v>52</v>
      </c>
      <c r="V32" s="48" t="s">
        <v>48</v>
      </c>
      <c r="W32" s="48" t="s">
        <v>14</v>
      </c>
      <c r="X32" s="53" t="s">
        <v>11</v>
      </c>
      <c r="Y32" s="53" t="s">
        <v>21</v>
      </c>
    </row>
    <row r="33" spans="1:32" s="27" customFormat="1" ht="28">
      <c r="A33" s="103" t="s">
        <v>102</v>
      </c>
      <c r="B33" s="120" t="s">
        <v>103</v>
      </c>
      <c r="C33" s="121"/>
      <c r="D33" s="121"/>
      <c r="E33" s="120"/>
      <c r="F33" s="102" t="s">
        <v>73</v>
      </c>
      <c r="G33" s="122">
        <v>1</v>
      </c>
      <c r="H33" s="112">
        <v>7.08</v>
      </c>
      <c r="I33" s="123">
        <v>0.53</v>
      </c>
      <c r="J33" s="123">
        <v>0</v>
      </c>
      <c r="K33" s="113">
        <f t="shared" ref="K33:K35" si="30">H33-I33-J33</f>
        <v>6.55</v>
      </c>
      <c r="L33" s="106" t="s">
        <v>104</v>
      </c>
      <c r="M33" s="106" t="s">
        <v>86</v>
      </c>
      <c r="N33" s="107" t="s">
        <v>105</v>
      </c>
      <c r="O33" s="115">
        <v>9</v>
      </c>
      <c r="P33" s="124">
        <v>2.65</v>
      </c>
      <c r="Q33" s="38"/>
      <c r="R33" s="38"/>
      <c r="S33" s="38">
        <f>G33*(8+14)*0.02</f>
        <v>0.44</v>
      </c>
      <c r="T33" s="38"/>
      <c r="U33" s="38"/>
      <c r="V33" s="38"/>
      <c r="W33" s="38">
        <f>G33*(8+14)*0.75</f>
        <v>16.5</v>
      </c>
      <c r="X33" s="38">
        <f t="shared" ref="X33:X35" si="31">K33*O33</f>
        <v>58.949999999999996</v>
      </c>
      <c r="Y33" s="116">
        <f t="shared" ref="Y33:Y35" si="32">$Y$31/31.1035*K33*IF(LEFT(F33,3)="10K",0.417*1.07,IF(LEFT(F33,3)="14K",0.585*1.05,IF(LEFT(F33,3)="18K",0.75*1.05,0)))</f>
        <v>384.70892269579792</v>
      </c>
      <c r="Z33" s="27">
        <f t="shared" ref="Z33:Z35" si="33">2*K33</f>
        <v>13.1</v>
      </c>
      <c r="AA33" s="109">
        <f t="shared" ref="AA33:AA35" si="34">(SUM(Q33:W33)+AF33)-Z33</f>
        <v>62.79</v>
      </c>
      <c r="AB33" s="109">
        <f t="shared" ref="AB33:AB35" si="35">AD33*$AB$13+P33*$AB$14</f>
        <v>734.3191374999999</v>
      </c>
      <c r="AC33" s="109">
        <f t="shared" ref="AC33:AC35" si="36">SUM(AA33:AB33)</f>
        <v>797.10913749999986</v>
      </c>
      <c r="AD33" s="27">
        <f t="shared" ref="AD33:AD35" si="37">K33*IF(LEFT(F33,3)="10K",0.417*1.07,IF(LEFT(F33,3)="14K",0.585*1.05,IF(LEFT(F33,3)="18K",0.75*1.05,0)))</f>
        <v>4.0233374999999993</v>
      </c>
      <c r="AF33" s="27">
        <f>IF(AE33&gt;0,AE33*K33,X33)</f>
        <v>58.949999999999996</v>
      </c>
    </row>
    <row r="34" spans="1:32" s="27" customFormat="1" ht="28">
      <c r="A34" s="119">
        <v>4</v>
      </c>
      <c r="B34" s="120" t="s">
        <v>106</v>
      </c>
      <c r="C34" s="121"/>
      <c r="D34" s="121"/>
      <c r="E34" s="120"/>
      <c r="F34" s="120" t="s">
        <v>73</v>
      </c>
      <c r="G34" s="122">
        <v>1</v>
      </c>
      <c r="H34" s="112">
        <v>2.25</v>
      </c>
      <c r="I34" s="123">
        <v>0.08</v>
      </c>
      <c r="J34" s="123">
        <v>0</v>
      </c>
      <c r="K34" s="113">
        <f t="shared" ref="K34" si="38">H34-I34-J34</f>
        <v>2.17</v>
      </c>
      <c r="L34" s="106">
        <v>2.9</v>
      </c>
      <c r="M34" s="106" t="s">
        <v>83</v>
      </c>
      <c r="N34" s="107">
        <v>4</v>
      </c>
      <c r="O34" s="115">
        <v>5.5</v>
      </c>
      <c r="P34" s="124">
        <v>0.375</v>
      </c>
      <c r="Q34" s="38"/>
      <c r="R34" s="38"/>
      <c r="S34" s="38">
        <f t="shared" ref="S34:S35" si="39">G34*N34*0.02</f>
        <v>0.08</v>
      </c>
      <c r="T34" s="38"/>
      <c r="U34" s="38"/>
      <c r="V34" s="38"/>
      <c r="W34" s="38">
        <f>G34*N34*0.5</f>
        <v>2</v>
      </c>
      <c r="X34" s="38">
        <f t="shared" ref="X34" si="40">K34*O34</f>
        <v>11.934999999999999</v>
      </c>
      <c r="Y34" s="116">
        <f t="shared" ref="Y34" si="41">$Y$31/31.1035*K34*IF(LEFT(F34,3)="10K",0.417*1.07,IF(LEFT(F34,3)="14K",0.585*1.05,IF(LEFT(F34,3)="18K",0.75*1.05,0)))</f>
        <v>127.45318507631777</v>
      </c>
      <c r="Z34" s="27">
        <f t="shared" si="33"/>
        <v>4.34</v>
      </c>
      <c r="AA34" s="109">
        <f t="shared" si="34"/>
        <v>9.6749999999999989</v>
      </c>
      <c r="AB34" s="109">
        <f t="shared" si="35"/>
        <v>159.65459249999998</v>
      </c>
      <c r="AC34" s="109">
        <f t="shared" si="36"/>
        <v>169.32959249999999</v>
      </c>
      <c r="AD34" s="27">
        <f t="shared" si="37"/>
        <v>1.3329224999999998</v>
      </c>
      <c r="AF34" s="27">
        <f t="shared" ref="AF34:AF35" si="42">IF(AE34&gt;0,AE34*K34,X34)</f>
        <v>11.934999999999999</v>
      </c>
    </row>
    <row r="35" spans="1:32" s="27" customFormat="1" ht="28.5" thickBot="1">
      <c r="A35" s="119">
        <v>7</v>
      </c>
      <c r="B35" s="120" t="s">
        <v>107</v>
      </c>
      <c r="C35" s="121"/>
      <c r="D35" s="121"/>
      <c r="E35" s="120"/>
      <c r="F35" s="120" t="s">
        <v>73</v>
      </c>
      <c r="G35" s="122">
        <v>1</v>
      </c>
      <c r="H35" s="112">
        <v>8.06</v>
      </c>
      <c r="I35" s="123">
        <v>0.42</v>
      </c>
      <c r="J35" s="123">
        <v>0.31</v>
      </c>
      <c r="K35" s="113">
        <f t="shared" si="30"/>
        <v>7.330000000000001</v>
      </c>
      <c r="L35" s="106">
        <v>2.2000000000000002</v>
      </c>
      <c r="M35" s="106" t="s">
        <v>83</v>
      </c>
      <c r="N35" s="107">
        <v>51</v>
      </c>
      <c r="O35" s="115">
        <v>13.75</v>
      </c>
      <c r="P35" s="124">
        <v>2.0950000000000002</v>
      </c>
      <c r="Q35" s="38"/>
      <c r="R35" s="38"/>
      <c r="S35" s="38">
        <f t="shared" si="39"/>
        <v>1.02</v>
      </c>
      <c r="T35" s="38">
        <f>G35*2</f>
        <v>2</v>
      </c>
      <c r="U35" s="38"/>
      <c r="V35" s="38"/>
      <c r="W35" s="38">
        <f>G35*N35*1</f>
        <v>51</v>
      </c>
      <c r="X35" s="38">
        <f t="shared" si="31"/>
        <v>100.78750000000001</v>
      </c>
      <c r="Y35" s="116">
        <f t="shared" si="32"/>
        <v>430.52158829926702</v>
      </c>
      <c r="Z35" s="27">
        <f t="shared" si="33"/>
        <v>14.660000000000002</v>
      </c>
      <c r="AA35" s="109">
        <f t="shared" si="34"/>
        <v>140.14750000000001</v>
      </c>
      <c r="AB35" s="109">
        <f t="shared" si="35"/>
        <v>677.01468250000005</v>
      </c>
      <c r="AC35" s="109">
        <f t="shared" si="36"/>
        <v>817.16218250000009</v>
      </c>
      <c r="AD35" s="27">
        <f t="shared" si="37"/>
        <v>4.5024525000000004</v>
      </c>
      <c r="AF35" s="27">
        <f t="shared" si="42"/>
        <v>100.78750000000001</v>
      </c>
    </row>
    <row r="36" spans="1:32" s="28" customFormat="1" ht="16" customHeight="1">
      <c r="A36" s="94" t="s">
        <v>62</v>
      </c>
      <c r="B36" s="72"/>
      <c r="C36" s="72"/>
      <c r="D36" s="72"/>
      <c r="E36" s="72"/>
      <c r="F36" s="72"/>
      <c r="G36" s="73">
        <f>SUM(G33:G35)</f>
        <v>3</v>
      </c>
      <c r="H36" s="114"/>
      <c r="I36" s="114"/>
      <c r="J36" s="114"/>
      <c r="K36" s="114">
        <f>SUM(K33:K35)</f>
        <v>16.05</v>
      </c>
      <c r="L36" s="74"/>
      <c r="M36" s="74"/>
      <c r="N36" s="74"/>
      <c r="O36" s="75"/>
      <c r="P36" s="125">
        <f t="shared" ref="P36:Y36" si="43">SUM(P33:P35)</f>
        <v>5.12</v>
      </c>
      <c r="Q36" s="76">
        <f t="shared" si="43"/>
        <v>0</v>
      </c>
      <c r="R36" s="76">
        <f t="shared" si="43"/>
        <v>0</v>
      </c>
      <c r="S36" s="76">
        <f t="shared" si="43"/>
        <v>1.54</v>
      </c>
      <c r="T36" s="76">
        <f t="shared" si="43"/>
        <v>2</v>
      </c>
      <c r="U36" s="76">
        <f t="shared" si="43"/>
        <v>0</v>
      </c>
      <c r="V36" s="76">
        <f t="shared" si="43"/>
        <v>0</v>
      </c>
      <c r="W36" s="76">
        <f t="shared" si="43"/>
        <v>69.5</v>
      </c>
      <c r="X36" s="76">
        <f t="shared" si="43"/>
        <v>171.67250000000001</v>
      </c>
      <c r="Y36" s="117">
        <f t="shared" si="43"/>
        <v>942.68369607138266</v>
      </c>
      <c r="AA36" s="110"/>
      <c r="AB36" s="110"/>
      <c r="AC36" s="110"/>
      <c r="AD36" s="110"/>
    </row>
    <row r="37" spans="1:32" ht="16" customHeight="1">
      <c r="A37" s="56" t="s">
        <v>64</v>
      </c>
      <c r="K37" s="51"/>
      <c r="L37" s="51"/>
      <c r="M37" s="51"/>
      <c r="N37" s="51"/>
      <c r="W37" s="52"/>
      <c r="X37" s="91" t="s">
        <v>109</v>
      </c>
      <c r="Y37" s="101">
        <f>1.01*3026.2</f>
        <v>3056.462</v>
      </c>
    </row>
    <row r="38" spans="1:32" s="100" customFormat="1" ht="28">
      <c r="A38" s="95" t="s">
        <v>63</v>
      </c>
      <c r="B38" s="96" t="s">
        <v>4</v>
      </c>
      <c r="C38" s="96" t="s">
        <v>23</v>
      </c>
      <c r="D38" s="96" t="s">
        <v>45</v>
      </c>
      <c r="E38" s="96" t="s">
        <v>46</v>
      </c>
      <c r="F38" s="96" t="s">
        <v>5</v>
      </c>
      <c r="G38" s="96" t="s">
        <v>6</v>
      </c>
      <c r="H38" s="97" t="s">
        <v>7</v>
      </c>
      <c r="I38" s="97" t="s">
        <v>47</v>
      </c>
      <c r="J38" s="97" t="s">
        <v>8</v>
      </c>
      <c r="K38" s="98" t="s">
        <v>13</v>
      </c>
      <c r="L38" s="98" t="s">
        <v>19</v>
      </c>
      <c r="M38" s="98" t="s">
        <v>22</v>
      </c>
      <c r="N38" s="98" t="s">
        <v>20</v>
      </c>
      <c r="O38" s="99" t="s">
        <v>9</v>
      </c>
      <c r="P38" s="99" t="s">
        <v>49</v>
      </c>
      <c r="Q38" s="48" t="s">
        <v>50</v>
      </c>
      <c r="R38" s="48" t="s">
        <v>54</v>
      </c>
      <c r="S38" s="48" t="s">
        <v>67</v>
      </c>
      <c r="T38" s="48" t="s">
        <v>12</v>
      </c>
      <c r="U38" s="48" t="s">
        <v>52</v>
      </c>
      <c r="V38" s="48" t="s">
        <v>48</v>
      </c>
      <c r="W38" s="48" t="s">
        <v>14</v>
      </c>
      <c r="X38" s="53" t="s">
        <v>11</v>
      </c>
      <c r="Y38" s="53" t="s">
        <v>21</v>
      </c>
    </row>
    <row r="39" spans="1:32" s="27" customFormat="1" ht="28.5" thickBot="1">
      <c r="A39" s="103" t="s">
        <v>110</v>
      </c>
      <c r="B39" s="102" t="s">
        <v>111</v>
      </c>
      <c r="C39" s="105"/>
      <c r="D39" s="105" t="s">
        <v>112</v>
      </c>
      <c r="E39" s="102"/>
      <c r="F39" s="102" t="s">
        <v>88</v>
      </c>
      <c r="G39" s="104">
        <v>1</v>
      </c>
      <c r="H39" s="112">
        <v>7.1</v>
      </c>
      <c r="I39" s="112">
        <v>0.36</v>
      </c>
      <c r="J39" s="112">
        <v>0.3</v>
      </c>
      <c r="K39" s="113">
        <f>H39-I39-J39</f>
        <v>6.4399999999999995</v>
      </c>
      <c r="L39" s="106" t="s">
        <v>113</v>
      </c>
      <c r="M39" s="106" t="s">
        <v>114</v>
      </c>
      <c r="N39" s="107" t="s">
        <v>115</v>
      </c>
      <c r="O39" s="115">
        <v>11.25</v>
      </c>
      <c r="P39" s="124">
        <v>1.7849999999999999</v>
      </c>
      <c r="Q39" s="38"/>
      <c r="R39" s="38"/>
      <c r="S39" s="38">
        <f>G39*(22+12)*0.02</f>
        <v>0.68</v>
      </c>
      <c r="T39" s="38">
        <f>G39*2</f>
        <v>2</v>
      </c>
      <c r="U39" s="38">
        <f t="shared" ref="U39" si="44">IF(RIGHT(F39,2)="WG",K39*$AA$4,IF(OR(RIGHT(F39,3)="WRG",RIGHT(F39,3)="WYG",RIGHT(F39,3)="WYR"),K39*$AA$4+3*G39,0))</f>
        <v>1.5455999999999999</v>
      </c>
      <c r="V39" s="38"/>
      <c r="W39" s="38">
        <f>G39*(22+12)*0.3</f>
        <v>10.199999999999999</v>
      </c>
      <c r="X39" s="38">
        <f t="shared" ref="X39" si="45">K39*O39</f>
        <v>72.449999999999989</v>
      </c>
      <c r="Y39" s="116">
        <f>$Y$37/31.1035*K39*IF(LEFT(F39,3)="10K",0.417*1.07,IF(LEFT(F39,3)="14K",0.585*1.05,IF(LEFT(F39,3)="18K",0.75*1.05,0)))</f>
        <v>388.72347760670021</v>
      </c>
      <c r="Z39" s="27">
        <f>2*K39</f>
        <v>12.879999999999999</v>
      </c>
      <c r="AA39" s="109">
        <f>(SUM(Q39:W39)+AF39)-Z39</f>
        <v>73.995599999999996</v>
      </c>
      <c r="AB39" s="109">
        <f>AD39*$AB$13+P39*$AB$14</f>
        <v>585.56315999999993</v>
      </c>
      <c r="AC39" s="109">
        <f t="shared" ref="AC39" si="46">SUM(AA39:AB39)</f>
        <v>659.55875999999989</v>
      </c>
      <c r="AD39" s="27">
        <f t="shared" ref="AD39" si="47">K39*IF(LEFT(F39,3)="10K",0.417*1.07,IF(LEFT(F39,3)="14K",0.585*1.05,IF(LEFT(F39,3)="18K",0.75*1.05,0)))</f>
        <v>3.9557699999999993</v>
      </c>
      <c r="AF39" s="27">
        <f>IF(AE39&gt;0,AE39*K39,X39)</f>
        <v>72.449999999999989</v>
      </c>
    </row>
    <row r="40" spans="1:32" s="28" customFormat="1" ht="16" customHeight="1">
      <c r="A40" s="94" t="s">
        <v>62</v>
      </c>
      <c r="B40" s="72"/>
      <c r="C40" s="72"/>
      <c r="D40" s="72"/>
      <c r="E40" s="72"/>
      <c r="F40" s="72"/>
      <c r="G40" s="73">
        <f>SUM(G39:G39)</f>
        <v>1</v>
      </c>
      <c r="H40" s="114"/>
      <c r="I40" s="114"/>
      <c r="J40" s="114"/>
      <c r="K40" s="114">
        <f>SUM(K39:K39)</f>
        <v>6.4399999999999995</v>
      </c>
      <c r="L40" s="74"/>
      <c r="M40" s="74"/>
      <c r="N40" s="74"/>
      <c r="O40" s="75"/>
      <c r="P40" s="125">
        <f t="shared" ref="P40:Y40" si="48">SUM(P39:P39)</f>
        <v>1.7849999999999999</v>
      </c>
      <c r="Q40" s="76">
        <f t="shared" si="48"/>
        <v>0</v>
      </c>
      <c r="R40" s="76">
        <f t="shared" si="48"/>
        <v>0</v>
      </c>
      <c r="S40" s="76">
        <f t="shared" si="48"/>
        <v>0.68</v>
      </c>
      <c r="T40" s="76">
        <f t="shared" si="48"/>
        <v>2</v>
      </c>
      <c r="U40" s="76">
        <f t="shared" si="48"/>
        <v>1.5455999999999999</v>
      </c>
      <c r="V40" s="76">
        <f t="shared" si="48"/>
        <v>0</v>
      </c>
      <c r="W40" s="76">
        <f t="shared" si="48"/>
        <v>10.199999999999999</v>
      </c>
      <c r="X40" s="76">
        <f t="shared" si="48"/>
        <v>72.449999999999989</v>
      </c>
      <c r="Y40" s="117">
        <f t="shared" si="48"/>
        <v>388.72347760670021</v>
      </c>
      <c r="AA40" s="110">
        <f>SUM(AA16:AA39)</f>
        <v>1641.0055999999997</v>
      </c>
      <c r="AB40" s="110">
        <f>SUM(AB16:AB39)</f>
        <v>6416.1291675000002</v>
      </c>
      <c r="AC40" s="110">
        <f>SUM(AC16:AC39)</f>
        <v>8057.1347674999997</v>
      </c>
      <c r="AD40" s="110">
        <f>SUM(AD16:AD39)</f>
        <v>66.504847500000011</v>
      </c>
      <c r="AF40" s="110">
        <f>SUM(AF16:AF39)</f>
        <v>1128.06</v>
      </c>
    </row>
    <row r="41" spans="1:32" s="28" customFormat="1" ht="16" customHeight="1">
      <c r="A41" s="126" t="s">
        <v>108</v>
      </c>
      <c r="B41" s="127"/>
      <c r="C41" s="127"/>
      <c r="D41" s="127"/>
      <c r="E41" s="127"/>
      <c r="F41" s="127"/>
      <c r="G41" s="128">
        <f>SUM(G40,G36,G30,G23,G19)</f>
        <v>13</v>
      </c>
      <c r="H41" s="129"/>
      <c r="I41" s="129"/>
      <c r="J41" s="129"/>
      <c r="K41" s="129">
        <f>SUM(K40,K36,K30,K23,K19)</f>
        <v>108.27000000000001</v>
      </c>
      <c r="L41" s="130"/>
      <c r="M41" s="130"/>
      <c r="N41" s="130"/>
      <c r="O41" s="131"/>
      <c r="P41" s="132">
        <f t="shared" ref="P41:Y41" si="49">SUM(P40,P36,P30,P23,P19)</f>
        <v>9.3899999999999988</v>
      </c>
      <c r="Q41" s="133">
        <f t="shared" si="49"/>
        <v>227.6</v>
      </c>
      <c r="R41" s="133">
        <f t="shared" si="49"/>
        <v>0</v>
      </c>
      <c r="S41" s="133">
        <f t="shared" si="49"/>
        <v>7.44</v>
      </c>
      <c r="T41" s="133">
        <f t="shared" si="49"/>
        <v>21</v>
      </c>
      <c r="U41" s="133">
        <f t="shared" si="49"/>
        <v>1.5455999999999999</v>
      </c>
      <c r="V41" s="133">
        <f t="shared" si="49"/>
        <v>300</v>
      </c>
      <c r="W41" s="133">
        <f t="shared" si="49"/>
        <v>171.9</v>
      </c>
      <c r="X41" s="133">
        <f t="shared" si="49"/>
        <v>1128.06</v>
      </c>
      <c r="Y41" s="134">
        <f t="shared" si="49"/>
        <v>6301.4341816671758</v>
      </c>
      <c r="AA41" s="110"/>
      <c r="AB41" s="110"/>
      <c r="AC41" s="110"/>
      <c r="AD41" s="110"/>
    </row>
    <row r="42" spans="1:32" s="28" customFormat="1" ht="16" customHeight="1" thickBot="1">
      <c r="A42" s="77"/>
      <c r="B42" s="78"/>
      <c r="C42" s="78"/>
      <c r="D42" s="78"/>
      <c r="E42" s="78"/>
      <c r="F42" s="78"/>
      <c r="G42" s="78"/>
      <c r="H42" s="78"/>
      <c r="I42" s="78"/>
      <c r="J42" s="67"/>
      <c r="K42" s="68"/>
      <c r="L42" s="68"/>
      <c r="M42" s="68"/>
      <c r="N42" s="68"/>
      <c r="O42" s="69"/>
      <c r="P42" s="69"/>
      <c r="Q42" s="70"/>
      <c r="R42" s="70"/>
      <c r="S42" s="70"/>
      <c r="T42" s="70"/>
      <c r="U42" s="70"/>
      <c r="V42" s="71"/>
      <c r="W42" s="79" t="s">
        <v>25</v>
      </c>
      <c r="X42" s="71"/>
      <c r="Y42" s="118"/>
    </row>
    <row r="43" spans="1:32" s="28" customFormat="1" ht="18.5" thickTop="1">
      <c r="A43" s="50"/>
      <c r="B43" s="141"/>
      <c r="C43" s="141"/>
      <c r="D43" s="141"/>
      <c r="E43" s="141"/>
      <c r="F43" s="141"/>
      <c r="G43" s="141"/>
      <c r="H43" s="141"/>
      <c r="I43" s="23"/>
      <c r="J43" s="54"/>
      <c r="K43" s="25"/>
      <c r="L43" s="25"/>
      <c r="M43" s="25"/>
      <c r="N43" s="25"/>
      <c r="O43" s="26"/>
      <c r="P43" s="26"/>
      <c r="Q43" s="55"/>
      <c r="R43" s="55"/>
      <c r="S43" s="55"/>
      <c r="T43" s="55"/>
      <c r="U43" s="55"/>
      <c r="W43" s="80" t="s">
        <v>15</v>
      </c>
      <c r="X43" s="142">
        <f>SUM(Q41:Y41)</f>
        <v>8158.9797816671762</v>
      </c>
      <c r="Y43" s="143"/>
    </row>
    <row r="44" spans="1:32" s="28" customFormat="1" ht="18">
      <c r="A44" s="108" t="s">
        <v>53</v>
      </c>
      <c r="B44" s="89"/>
      <c r="C44" s="89"/>
      <c r="D44" s="89"/>
      <c r="E44" s="89"/>
      <c r="F44" s="90"/>
      <c r="G44" s="90"/>
      <c r="H44" s="90"/>
      <c r="I44" s="23"/>
      <c r="J44" s="54"/>
      <c r="K44" s="25"/>
      <c r="L44" s="25"/>
      <c r="M44" s="25"/>
      <c r="N44" s="25"/>
      <c r="O44" s="26"/>
      <c r="P44" s="26"/>
      <c r="Q44" s="55"/>
      <c r="R44" s="55"/>
      <c r="S44" s="55"/>
      <c r="T44" s="55"/>
      <c r="U44" s="55"/>
      <c r="W44" s="80" t="s">
        <v>16</v>
      </c>
      <c r="X44" s="153"/>
      <c r="Y44" s="154"/>
    </row>
    <row r="45" spans="1:32" ht="15.5">
      <c r="A45" s="50"/>
      <c r="B45" s="40"/>
      <c r="C45" s="40"/>
      <c r="D45" s="40"/>
      <c r="E45" s="40"/>
      <c r="G45" s="22"/>
      <c r="H45" s="23"/>
      <c r="J45" s="54"/>
      <c r="K45" s="25"/>
      <c r="L45" s="25"/>
      <c r="M45" s="25"/>
      <c r="N45" s="25"/>
      <c r="O45" s="26"/>
      <c r="P45" s="26"/>
      <c r="V45" s="22"/>
      <c r="W45" s="80" t="s">
        <v>17</v>
      </c>
      <c r="X45" s="153">
        <f>X43-X44</f>
        <v>8158.9797816671762</v>
      </c>
      <c r="Y45" s="154"/>
      <c r="AC45" s="111"/>
    </row>
    <row r="46" spans="1:32" ht="20">
      <c r="A46" s="56"/>
      <c r="G46" s="22"/>
      <c r="H46" s="23"/>
      <c r="J46" s="54"/>
      <c r="K46" s="25"/>
      <c r="L46" s="25"/>
      <c r="M46" s="25"/>
      <c r="N46" s="25"/>
      <c r="O46" s="26"/>
      <c r="P46" s="26"/>
      <c r="V46" s="41"/>
      <c r="W46" s="41"/>
      <c r="X46" s="139"/>
      <c r="Y46" s="140"/>
    </row>
    <row r="47" spans="1:32" ht="22.5" customHeight="1">
      <c r="A47" s="56"/>
      <c r="B47" s="42"/>
      <c r="C47" s="42"/>
      <c r="D47" s="42"/>
      <c r="E47" s="42"/>
      <c r="G47" s="22"/>
      <c r="H47" s="23"/>
      <c r="J47" s="54"/>
      <c r="K47" s="25"/>
      <c r="L47" s="25"/>
      <c r="M47" s="25"/>
      <c r="N47" s="25"/>
      <c r="O47" s="26"/>
      <c r="P47" s="26"/>
      <c r="V47" s="41"/>
      <c r="W47" s="41"/>
      <c r="X47" s="30"/>
      <c r="Y47" s="57"/>
    </row>
    <row r="48" spans="1:32" ht="16" customHeight="1">
      <c r="A48" s="58"/>
      <c r="B48" s="42"/>
      <c r="C48" s="42"/>
      <c r="D48" s="42"/>
      <c r="E48" s="42"/>
      <c r="F48" s="32"/>
      <c r="G48" s="32"/>
      <c r="H48" s="32"/>
      <c r="I48" s="32"/>
      <c r="J48" s="33"/>
      <c r="K48" s="32"/>
      <c r="L48" s="32"/>
      <c r="M48" s="32"/>
      <c r="N48" s="32"/>
      <c r="O48" s="34"/>
      <c r="P48" s="34"/>
      <c r="Q48" s="34"/>
      <c r="R48" s="34"/>
      <c r="S48" s="34"/>
      <c r="T48" s="34"/>
      <c r="U48" s="34"/>
      <c r="V48" s="22"/>
      <c r="W48" s="35"/>
      <c r="X48" s="36"/>
      <c r="Y48" s="59"/>
    </row>
    <row r="49" spans="1:25" ht="16" customHeight="1">
      <c r="A49" s="58"/>
      <c r="B49" s="42"/>
      <c r="C49" s="42"/>
      <c r="D49" s="42"/>
      <c r="E49" s="42"/>
      <c r="F49" s="32"/>
      <c r="G49" s="32"/>
      <c r="H49" s="32"/>
      <c r="I49" s="32"/>
      <c r="J49" s="32"/>
      <c r="K49" s="32"/>
      <c r="L49" s="32"/>
      <c r="M49" s="32"/>
      <c r="N49" s="32"/>
      <c r="O49" s="34"/>
      <c r="P49" s="34"/>
      <c r="Q49" s="34"/>
      <c r="R49" s="34"/>
      <c r="S49" s="34"/>
      <c r="T49" s="34"/>
      <c r="U49" s="34"/>
      <c r="V49" s="31"/>
      <c r="W49" s="31"/>
      <c r="X49" s="32"/>
      <c r="Y49" s="60"/>
    </row>
    <row r="50" spans="1:25">
      <c r="A50" s="61"/>
      <c r="B50" s="42"/>
      <c r="C50" s="42"/>
      <c r="D50" s="42"/>
      <c r="E50" s="4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81" t="s">
        <v>10</v>
      </c>
      <c r="W50" s="31"/>
      <c r="X50" s="37" t="s">
        <v>24</v>
      </c>
      <c r="Y50" s="60"/>
    </row>
    <row r="51" spans="1:25" s="32" customFormat="1" ht="12.75" customHeight="1">
      <c r="A51" s="62"/>
      <c r="B51" s="63"/>
      <c r="C51" s="63"/>
      <c r="D51" s="63"/>
      <c r="E51" s="63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5"/>
      <c r="W51" s="65"/>
      <c r="X51" s="64"/>
      <c r="Y51" s="66"/>
    </row>
    <row r="52" spans="1:25" s="36" customFormat="1" ht="12.75" customHeight="1">
      <c r="A52" s="21"/>
      <c r="B52" s="21"/>
      <c r="C52" s="21"/>
      <c r="D52" s="21"/>
      <c r="E52" s="21"/>
      <c r="F52" s="21"/>
      <c r="G52" s="21"/>
      <c r="H52" s="22"/>
      <c r="I52" s="23"/>
      <c r="J52" s="23"/>
      <c r="K52" s="24"/>
      <c r="L52" s="24"/>
      <c r="M52" s="24"/>
      <c r="N52" s="24"/>
      <c r="O52" s="25"/>
      <c r="P52" s="25"/>
      <c r="Q52" s="26"/>
      <c r="R52" s="26"/>
      <c r="S52" s="26"/>
      <c r="T52" s="26"/>
      <c r="U52" s="26"/>
      <c r="V52" s="26"/>
      <c r="W52" s="26"/>
      <c r="X52" s="29"/>
      <c r="Y52" s="22"/>
    </row>
    <row r="53" spans="1:25" s="32" customFormat="1" ht="12.75" customHeight="1">
      <c r="A53" s="21"/>
      <c r="B53" s="21"/>
      <c r="C53" s="21"/>
      <c r="D53" s="21"/>
      <c r="E53" s="21"/>
      <c r="F53" s="21"/>
      <c r="G53" s="21"/>
      <c r="H53" s="22"/>
      <c r="I53" s="23"/>
      <c r="J53" s="23"/>
      <c r="K53" s="24"/>
      <c r="L53" s="24"/>
      <c r="M53" s="24"/>
      <c r="N53" s="24"/>
      <c r="O53" s="25"/>
      <c r="P53" s="25"/>
      <c r="Q53" s="26"/>
      <c r="R53" s="26"/>
      <c r="S53" s="26"/>
      <c r="T53" s="26"/>
      <c r="U53" s="26"/>
      <c r="V53" s="26"/>
      <c r="W53" s="26"/>
      <c r="X53" s="29"/>
      <c r="Y53" s="22"/>
    </row>
    <row r="54" spans="1:25" s="32" customFormat="1" ht="12.75" customHeight="1">
      <c r="A54" s="21"/>
      <c r="B54" s="21"/>
      <c r="C54" s="21"/>
      <c r="D54" s="21"/>
      <c r="E54" s="21"/>
      <c r="F54" s="21"/>
      <c r="G54" s="21"/>
      <c r="H54" s="22"/>
      <c r="I54" s="23"/>
      <c r="J54" s="23"/>
      <c r="K54" s="24"/>
      <c r="L54" s="24"/>
      <c r="M54" s="24"/>
      <c r="N54" s="24"/>
      <c r="O54" s="25"/>
      <c r="P54" s="25"/>
      <c r="Q54" s="26"/>
      <c r="R54" s="26"/>
      <c r="S54" s="26"/>
      <c r="T54" s="26"/>
      <c r="U54" s="26"/>
      <c r="V54" s="26"/>
      <c r="W54" s="26"/>
      <c r="X54" s="29"/>
      <c r="Y54" s="22"/>
    </row>
    <row r="55" spans="1:25" s="32" customFormat="1" ht="12.75" customHeight="1">
      <c r="A55" s="21"/>
      <c r="B55" s="21"/>
      <c r="C55" s="21"/>
      <c r="D55" s="21"/>
      <c r="E55" s="21"/>
      <c r="F55" s="21"/>
      <c r="G55" s="21"/>
      <c r="H55" s="22"/>
      <c r="I55" s="23"/>
      <c r="J55" s="23"/>
      <c r="K55" s="24"/>
      <c r="L55" s="24"/>
      <c r="M55" s="24"/>
      <c r="N55" s="24"/>
      <c r="O55" s="25"/>
      <c r="P55" s="25"/>
      <c r="Q55" s="26"/>
      <c r="R55" s="26"/>
      <c r="S55" s="26"/>
      <c r="T55" s="26"/>
      <c r="U55" s="26"/>
      <c r="V55" s="26"/>
      <c r="W55" s="26"/>
      <c r="X55" s="29"/>
      <c r="Y55" s="22"/>
    </row>
  </sheetData>
  <mergeCells count="8">
    <mergeCell ref="X46:Y46"/>
    <mergeCell ref="B43:H43"/>
    <mergeCell ref="X43:Y43"/>
    <mergeCell ref="A1:Y1"/>
    <mergeCell ref="A2:Y2"/>
    <mergeCell ref="A3:Y3"/>
    <mergeCell ref="X44:Y44"/>
    <mergeCell ref="X45:Y45"/>
  </mergeCells>
  <phoneticPr fontId="3" type="noConversion"/>
  <conditionalFormatting sqref="F16:F17 F22 F26:F29 F33:F35">
    <cfRule type="containsText" dxfId="2" priority="45" operator="containsText" text="18K">
      <formula>NOT(ISERROR(SEARCH("18K",F16)))</formula>
    </cfRule>
  </conditionalFormatting>
  <conditionalFormatting sqref="F18">
    <cfRule type="containsText" dxfId="1" priority="42" operator="containsText" text="18K">
      <formula>NOT(ISERROR(SEARCH("18K",F18)))</formula>
    </cfRule>
  </conditionalFormatting>
  <conditionalFormatting sqref="F39">
    <cfRule type="containsText" dxfId="0" priority="1" operator="containsText" text="18K">
      <formula>NOT(ISERROR(SEARCH("18K",F39)))</formula>
    </cfRule>
  </conditionalFormatting>
  <pageMargins left="0" right="0" top="0.19685039370078741" bottom="0" header="0.31496062992125984" footer="0.31496062992125984"/>
  <pageSetup paperSize="9" scale="5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2025-04-16T12:29:25Z</dcterms:modified>
</cp:coreProperties>
</file>