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0.254\Sharing EPO Team\GOLD EXPORT\250418\CLEARANCE\"/>
    </mc:Choice>
  </mc:AlternateContent>
  <xr:revisionPtr revIDLastSave="0" documentId="13_ncr:1_{0E9DFC86-625E-46D1-A5BD-FD59ABFFD75E}" xr6:coauthVersionLast="45" xr6:coauthVersionMax="45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PI!$A$1:$Y$36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S25" i="1" l="1"/>
  <c r="U25" i="1"/>
  <c r="W25" i="1"/>
  <c r="W24" i="1"/>
  <c r="K25" i="1"/>
  <c r="S23" i="1"/>
  <c r="W23" i="1"/>
  <c r="W22" i="1"/>
  <c r="K23" i="1"/>
  <c r="X23" i="1" s="1"/>
  <c r="K21" i="1"/>
  <c r="X21" i="1" s="1"/>
  <c r="S21" i="1"/>
  <c r="W21" i="1"/>
  <c r="W20" i="1"/>
  <c r="S20" i="1"/>
  <c r="S19" i="1"/>
  <c r="W19" i="1"/>
  <c r="W18" i="1"/>
  <c r="S22" i="1"/>
  <c r="S24" i="1"/>
  <c r="S18" i="1"/>
  <c r="K19" i="1"/>
  <c r="K17" i="1"/>
  <c r="Y17" i="1" s="1"/>
  <c r="S17" i="1"/>
  <c r="W17" i="1"/>
  <c r="S16" i="1"/>
  <c r="W16" i="1"/>
  <c r="Y14" i="1"/>
  <c r="Y23" i="1" s="1"/>
  <c r="Y19" i="1" l="1"/>
  <c r="X19" i="1"/>
  <c r="Y25" i="1"/>
  <c r="X25" i="1"/>
  <c r="Y21" i="1"/>
  <c r="X17" i="1"/>
  <c r="S26" i="1"/>
  <c r="K18" i="1"/>
  <c r="U18" i="1" s="1"/>
  <c r="K20" i="1"/>
  <c r="Z21" i="1"/>
  <c r="K22" i="1"/>
  <c r="K24" i="1"/>
  <c r="Z24" i="1" s="1"/>
  <c r="AD25" i="1"/>
  <c r="AB25" i="1" s="1"/>
  <c r="K16" i="1"/>
  <c r="U16" i="1" s="1"/>
  <c r="Z25" i="1" l="1"/>
  <c r="AD17" i="1"/>
  <c r="AB17" i="1" s="1"/>
  <c r="AD24" i="1"/>
  <c r="AB24" i="1" s="1"/>
  <c r="AD21" i="1"/>
  <c r="AB21" i="1" s="1"/>
  <c r="Z23" i="1"/>
  <c r="AD23" i="1"/>
  <c r="AB23" i="1" s="1"/>
  <c r="Z22" i="1"/>
  <c r="AD22" i="1"/>
  <c r="AB22" i="1" s="1"/>
  <c r="AD19" i="1"/>
  <c r="AB19" i="1" s="1"/>
  <c r="Z19" i="1"/>
  <c r="Z20" i="1"/>
  <c r="AD20" i="1"/>
  <c r="AB20" i="1" s="1"/>
  <c r="Z18" i="1"/>
  <c r="AD18" i="1"/>
  <c r="AB18" i="1" s="1"/>
  <c r="Z17" i="1"/>
  <c r="Z16" i="1"/>
  <c r="V26" i="1" l="1"/>
  <c r="R26" i="1"/>
  <c r="Q26" i="1"/>
  <c r="G26" i="1"/>
  <c r="U24" i="1"/>
  <c r="Y24" i="1"/>
  <c r="U22" i="1"/>
  <c r="Y22" i="1"/>
  <c r="U20" i="1"/>
  <c r="Y20" i="1"/>
  <c r="Y18" i="1"/>
  <c r="Y16" i="1"/>
  <c r="AD16" i="1" l="1"/>
  <c r="T26" i="1"/>
  <c r="X24" i="1"/>
  <c r="AF24" i="1" s="1"/>
  <c r="AA24" i="1" s="1"/>
  <c r="AC24" i="1" s="1"/>
  <c r="U26" i="1"/>
  <c r="AF25" i="1"/>
  <c r="AA25" i="1" s="1"/>
  <c r="AC25" i="1" s="1"/>
  <c r="W26" i="1"/>
  <c r="X18" i="1"/>
  <c r="AF18" i="1" s="1"/>
  <c r="AA18" i="1" s="1"/>
  <c r="AC18" i="1" s="1"/>
  <c r="AF17" i="1"/>
  <c r="AA17" i="1" s="1"/>
  <c r="AC17" i="1" s="1"/>
  <c r="X16" i="1"/>
  <c r="AF16" i="1" s="1"/>
  <c r="AF19" i="1"/>
  <c r="AA19" i="1" s="1"/>
  <c r="AC19" i="1" s="1"/>
  <c r="K26" i="1"/>
  <c r="AF21" i="1"/>
  <c r="AA21" i="1" s="1"/>
  <c r="AC21" i="1" s="1"/>
  <c r="AF23" i="1"/>
  <c r="AA23" i="1" s="1"/>
  <c r="AC23" i="1" s="1"/>
  <c r="X22" i="1"/>
  <c r="AF22" i="1" s="1"/>
  <c r="AA22" i="1" s="1"/>
  <c r="AC22" i="1" s="1"/>
  <c r="X20" i="1"/>
  <c r="AF20" i="1" s="1"/>
  <c r="AA20" i="1" s="1"/>
  <c r="AC20" i="1" s="1"/>
  <c r="AA16" i="1" l="1"/>
  <c r="AA26" i="1" s="1"/>
  <c r="AF26" i="1"/>
  <c r="AB16" i="1"/>
  <c r="AB26" i="1" s="1"/>
  <c r="AD26" i="1"/>
  <c r="X26" i="1"/>
  <c r="Y26" i="1"/>
  <c r="AC16" i="1" l="1"/>
  <c r="AC26" i="1" s="1"/>
  <c r="X28" i="1"/>
  <c r="X30" i="1" s="1"/>
</calcChain>
</file>

<file path=xl/sharedStrings.xml><?xml version="1.0" encoding="utf-8"?>
<sst xmlns="http://schemas.openxmlformats.org/spreadsheetml/2006/main" count="137" uniqueCount="97">
  <si>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</si>
  <si>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</si>
  <si>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</si>
  <si>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</si>
  <si>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</si>
  <si>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</si>
  <si>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</si>
  <si>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</si>
  <si>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</si>
  <si>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</si>
  <si>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</si>
  <si>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</si>
  <si>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</si>
  <si>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</si>
  <si>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</si>
  <si>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</si>
  <si>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</si>
  <si>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</si>
  <si>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</si>
  <si>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</si>
  <si>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</si>
  <si>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</si>
  <si>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</si>
  <si>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</si>
  <si>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</si>
  <si>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</si>
  <si>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</si>
  <si>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</si>
  <si>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</si>
  <si>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</si>
  <si>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</si>
  <si>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</si>
  <si>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</si>
  <si>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</si>
  <si>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</si>
  <si>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</si>
  <si>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</si>
  <si>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</si>
  <si>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</si>
  <si>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</si>
  <si>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</si>
  <si>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</si>
  <si>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</si>
  <si>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</si>
  <si>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</si>
  <si>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</si>
  <si>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</si>
  <si>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</si>
  <si>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</si>
  <si>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</si>
  <si>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</si>
  <si>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</si>
  <si>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</si>
  <si>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</si>
  <si>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</si>
  <si>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</si>
  <si>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</si>
  <si>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</si>
  <si>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</si>
  <si>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</si>
  <si>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</si>
  <si>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</si>
  <si>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SUBTOTAL</t>
  </si>
  <si>
    <t>PO#</t>
  </si>
  <si>
    <t>Buyer Dia</t>
  </si>
  <si>
    <t>old labor</t>
  </si>
  <si>
    <t>labor amount</t>
  </si>
  <si>
    <t>Dia Handling Service Fee</t>
  </si>
  <si>
    <t>21 Mar London AM + 1%</t>
  </si>
  <si>
    <t>PI SHI250416</t>
  </si>
  <si>
    <t>SHRI DIAMOND INC</t>
  </si>
  <si>
    <t>SHI250318RB-14K</t>
  </si>
  <si>
    <t>K01453N06 16+1"</t>
  </si>
  <si>
    <t>JT:2271 (WG)</t>
  </si>
  <si>
    <t>JT:2172 (YG)</t>
  </si>
  <si>
    <t>GI</t>
  </si>
  <si>
    <t>#1096</t>
  </si>
  <si>
    <t>14K WG</t>
  </si>
  <si>
    <t>14K YG</t>
  </si>
  <si>
    <t>W</t>
  </si>
  <si>
    <t>K0048N01 16"+1"</t>
  </si>
  <si>
    <t>JT:2269 (WG)</t>
  </si>
  <si>
    <t>JT:2270 (YG)</t>
  </si>
  <si>
    <t>K01694R02 #6.5</t>
  </si>
  <si>
    <t>JT:2273 (WG)</t>
  </si>
  <si>
    <t>JT:2274 (YG)</t>
  </si>
  <si>
    <t>1.50mm
1.80mm
2.00mm
2.30mm</t>
  </si>
  <si>
    <t>W
W
W
W</t>
  </si>
  <si>
    <t>2pcs
8pcs
1pcs
4pcs</t>
  </si>
  <si>
    <t>JI</t>
  </si>
  <si>
    <t>JT:2275 (WG)</t>
  </si>
  <si>
    <t>JT:2276 (YG)</t>
  </si>
  <si>
    <t>K0676TB10 C5 7"</t>
  </si>
  <si>
    <t>GSI</t>
  </si>
  <si>
    <t>JT:2278(YG)</t>
  </si>
  <si>
    <t>JT:2277 (WG)</t>
  </si>
  <si>
    <t>K0214TB04 C5 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</si>
</sst>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43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171" fontId="13" fillId="5" borderId="13" xfId="0" applyNumberFormat="1" applyFont="1" applyFill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40"/>
  <sheetViews>
    <sheetView showGridLines="0" tabSelected="1" view="pageBreakPreview" topLeftCell="P22" zoomScaleSheetLayoutView="100" workbookViewId="0">
      <selection activeCell="P26" sqref="P26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81640625" style="24" customWidth="1"/>
    <col min="13" max="14" width="8.54296875" style="24" customWidth="1"/>
    <col min="15" max="15" width="11.81640625" style="25" customWidth="1"/>
    <col min="16" max="16" width="9.1796875" style="25" customWidth="1"/>
    <col min="17" max="19" width="12.453125" style="26" customWidth="1"/>
    <col min="20" max="21" width="8.453125" style="26" customWidth="1"/>
    <col min="22" max="22" width="9.1796875" style="26" customWidth="1"/>
    <col min="23" max="23" width="10" style="26" customWidth="1"/>
    <col min="24" max="24" width="13.453125" style="29" customWidth="1"/>
    <col min="25" max="25" width="14.54296875" style="22" customWidth="1"/>
    <col min="26" max="27" width="11.26953125" style="22" customWidth="1"/>
    <col min="28" max="29" width="8.7265625" style="22"/>
    <col min="30" max="30" width="8.81640625" style="22" bestFit="1" customWidth="1"/>
    <col min="31" max="16384" width="8.7265625" style="22"/>
  </cols>
  <sheetData>
    <row r="1" spans="1:32" s="1" customFormat="1" ht="31.5" customHeight="1">
      <c r="A1" s="132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4"/>
    </row>
    <row r="2" spans="1:32" s="2" customFormat="1" ht="15.5">
      <c r="A2" s="135" t="s">
        <v>42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7"/>
    </row>
    <row r="3" spans="1:32" s="3" customFormat="1" ht="20">
      <c r="A3" s="138" t="s">
        <v>44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40"/>
    </row>
    <row r="4" spans="1:32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/>
      <c r="O4" s="6" t="s">
        <v>69</v>
      </c>
      <c r="P4" s="6"/>
      <c r="Q4" s="6"/>
      <c r="R4" s="6"/>
      <c r="S4" s="6"/>
      <c r="T4" s="6"/>
      <c r="U4" s="6"/>
      <c r="V4" s="83"/>
      <c r="W4" s="6"/>
      <c r="X4" s="6"/>
      <c r="Y4" s="49">
        <v>45763</v>
      </c>
      <c r="Z4" s="7" t="s">
        <v>60</v>
      </c>
      <c r="AA4" s="7">
        <v>0.24</v>
      </c>
    </row>
    <row r="5" spans="1:32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9"/>
    </row>
    <row r="6" spans="1:32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1"/>
    </row>
    <row r="7" spans="1:32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20"/>
    </row>
    <row r="8" spans="1:32" s="7" customFormat="1" ht="12" customHeight="1">
      <c r="A8" s="4" t="s">
        <v>1</v>
      </c>
      <c r="B8" s="46" t="s">
        <v>70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9"/>
    </row>
    <row r="9" spans="1:32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1"/>
    </row>
    <row r="10" spans="1:32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4"/>
    </row>
    <row r="11" spans="1:32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4"/>
    </row>
    <row r="12" spans="1:32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20"/>
    </row>
    <row r="13" spans="1:32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9"/>
      <c r="AA13" s="7" t="s">
        <v>58</v>
      </c>
      <c r="AB13" s="7">
        <v>73</v>
      </c>
    </row>
    <row r="14" spans="1:32" ht="16" customHeight="1">
      <c r="A14" s="56" t="s">
        <v>64</v>
      </c>
      <c r="K14" s="51"/>
      <c r="L14" s="51"/>
      <c r="M14" s="51"/>
      <c r="N14" s="51"/>
      <c r="W14" s="52"/>
      <c r="X14" s="91" t="s">
        <v>68</v>
      </c>
      <c r="Y14" s="101">
        <f>1.01*3031.3</f>
        <v>3061.6130000000003</v>
      </c>
      <c r="AA14" s="22" t="s">
        <v>59</v>
      </c>
      <c r="AB14" s="22">
        <v>171.33</v>
      </c>
    </row>
    <row r="15" spans="1:32" s="100" customFormat="1" ht="28">
      <c r="A15" s="95" t="s">
        <v>63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67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53" t="s">
        <v>21</v>
      </c>
      <c r="AA15" s="100" t="s">
        <v>55</v>
      </c>
      <c r="AB15" s="100" t="s">
        <v>56</v>
      </c>
      <c r="AC15" s="100" t="s">
        <v>57</v>
      </c>
      <c r="AD15" s="100" t="s">
        <v>61</v>
      </c>
      <c r="AE15" s="100" t="s">
        <v>65</v>
      </c>
      <c r="AF15" s="100" t="s">
        <v>66</v>
      </c>
    </row>
    <row r="16" spans="1:32" s="27" customFormat="1" ht="28">
      <c r="A16" s="103" t="s">
        <v>71</v>
      </c>
      <c r="B16" s="102" t="s">
        <v>72</v>
      </c>
      <c r="C16" s="105" t="s">
        <v>75</v>
      </c>
      <c r="D16" s="105" t="s">
        <v>73</v>
      </c>
      <c r="E16" s="102" t="s">
        <v>76</v>
      </c>
      <c r="F16" s="102" t="s">
        <v>77</v>
      </c>
      <c r="G16" s="104">
        <v>3</v>
      </c>
      <c r="H16" s="112">
        <v>7.52</v>
      </c>
      <c r="I16" s="112">
        <v>0.16999999999999998</v>
      </c>
      <c r="J16" s="112"/>
      <c r="K16" s="113">
        <f>H16-I16-J16</f>
        <v>7.35</v>
      </c>
      <c r="L16" s="106">
        <v>1.5</v>
      </c>
      <c r="M16" s="106" t="s">
        <v>79</v>
      </c>
      <c r="N16" s="107">
        <v>20</v>
      </c>
      <c r="O16" s="115">
        <v>7</v>
      </c>
      <c r="P16" s="124">
        <v>0.82000000000000006</v>
      </c>
      <c r="Q16" s="38"/>
      <c r="R16" s="38"/>
      <c r="S16" s="38">
        <f>G16*N16*0.03</f>
        <v>1.7999999999999998</v>
      </c>
      <c r="T16" s="38"/>
      <c r="U16" s="126">
        <f>0.3*K16</f>
        <v>2.2049999999999996</v>
      </c>
      <c r="V16" s="38"/>
      <c r="W16" s="38">
        <f>G16*N16*0.6</f>
        <v>36</v>
      </c>
      <c r="X16" s="38">
        <f t="shared" ref="X16:X24" si="0">K16*O16</f>
        <v>51.449999999999996</v>
      </c>
      <c r="Y16" s="116">
        <f>$Y$14/31.1035*K16*IF(LEFT(F16,3)="10K",0.417*1.07,IF(LEFT(F16,3)="14K",0.585*1.05,IF(LEFT(F16,3)="18K",0.75*1.05,0)))</f>
        <v>444.39947342220324</v>
      </c>
      <c r="Z16" s="27">
        <f>2*K16</f>
        <v>14.7</v>
      </c>
      <c r="AA16" s="109">
        <f>(SUM(Q16:W16)+AF16)-Z16</f>
        <v>76.754999999999981</v>
      </c>
      <c r="AB16" s="109">
        <f>AD16*$AB$13+P16*$AB$14</f>
        <v>470.06643750000001</v>
      </c>
      <c r="AC16" s="109">
        <f t="shared" ref="AC16" si="1">SUM(AA16:AB16)</f>
        <v>546.8214375</v>
      </c>
      <c r="AD16" s="27">
        <f t="shared" ref="AD16" si="2">K16*IF(LEFT(F16,3)="10K",0.417*1.07,IF(LEFT(F16,3)="14K",0.585*1.05,IF(LEFT(F16,3)="18K",0.75*1.05,0)))</f>
        <v>4.5147374999999998</v>
      </c>
      <c r="AF16" s="27">
        <f>IF(AE16&gt;0,AE16*K16,X16)</f>
        <v>51.449999999999996</v>
      </c>
    </row>
    <row r="17" spans="1:32" s="27" customFormat="1" ht="28">
      <c r="A17" s="119">
        <v>1</v>
      </c>
      <c r="B17" s="102" t="s">
        <v>72</v>
      </c>
      <c r="C17" s="105" t="s">
        <v>75</v>
      </c>
      <c r="D17" s="121" t="s">
        <v>74</v>
      </c>
      <c r="E17" s="102" t="s">
        <v>76</v>
      </c>
      <c r="F17" s="120" t="s">
        <v>78</v>
      </c>
      <c r="G17" s="122">
        <v>3</v>
      </c>
      <c r="H17" s="112">
        <v>7.6399999999999988</v>
      </c>
      <c r="I17" s="123">
        <v>0.16999999999999998</v>
      </c>
      <c r="J17" s="112"/>
      <c r="K17" s="113">
        <f>H17-I17-J17</f>
        <v>7.4699999999999989</v>
      </c>
      <c r="L17" s="106">
        <v>1.5</v>
      </c>
      <c r="M17" s="106" t="s">
        <v>79</v>
      </c>
      <c r="N17" s="107">
        <v>20</v>
      </c>
      <c r="O17" s="115">
        <v>7</v>
      </c>
      <c r="P17" s="124">
        <v>0.82000000000000006</v>
      </c>
      <c r="Q17" s="38"/>
      <c r="R17" s="38"/>
      <c r="S17" s="38">
        <f>G17*N17*0.03</f>
        <v>1.7999999999999998</v>
      </c>
      <c r="T17" s="38"/>
      <c r="U17" s="38"/>
      <c r="V17" s="38"/>
      <c r="W17" s="38">
        <f>G17*N17*0.6</f>
        <v>36</v>
      </c>
      <c r="X17" s="38">
        <f t="shared" ref="X17" si="3">K17*O17</f>
        <v>52.289999999999992</v>
      </c>
      <c r="Y17" s="116">
        <f>$Y$14/31.1035*K17*IF(LEFT(F17,3)="10K",0.417*1.07,IF(LEFT(F17,3)="14K",0.585*1.05,IF(LEFT(F17,3)="18K",0.75*1.05,0)))</f>
        <v>451.65497502909636</v>
      </c>
      <c r="Z17" s="27">
        <f t="shared" ref="Z17:Z25" si="4">2*K17</f>
        <v>14.939999999999998</v>
      </c>
      <c r="AA17" s="109">
        <f t="shared" ref="AA17:AA25" si="5">(SUM(Q17:W17)+AF17)-Z17</f>
        <v>75.149999999999991</v>
      </c>
      <c r="AB17" s="109">
        <f t="shared" ref="AB17:AB25" si="6">AD17*$AB$13+P17*$AB$14</f>
        <v>475.44726749999995</v>
      </c>
      <c r="AC17" s="109">
        <f t="shared" ref="AC17:AC25" si="7">SUM(AA17:AB17)</f>
        <v>550.59726749999993</v>
      </c>
      <c r="AD17" s="27">
        <f t="shared" ref="AD17:AD25" si="8">K17*IF(LEFT(F17,3)="10K",0.417*1.07,IF(LEFT(F17,3)="14K",0.585*1.05,IF(LEFT(F17,3)="18K",0.75*1.05,0)))</f>
        <v>4.5884474999999991</v>
      </c>
      <c r="AF17" s="27">
        <f>IF(AE17&gt;0,AE17*K17,X17)</f>
        <v>52.289999999999992</v>
      </c>
    </row>
    <row r="18" spans="1:32" s="27" customFormat="1" ht="28">
      <c r="A18" s="119">
        <v>2</v>
      </c>
      <c r="B18" s="120" t="s">
        <v>80</v>
      </c>
      <c r="C18" s="121" t="s">
        <v>75</v>
      </c>
      <c r="D18" s="121" t="s">
        <v>81</v>
      </c>
      <c r="E18" s="120" t="s">
        <v>76</v>
      </c>
      <c r="F18" s="120" t="s">
        <v>77</v>
      </c>
      <c r="G18" s="122">
        <v>3</v>
      </c>
      <c r="H18" s="112">
        <v>6.3099999999999987</v>
      </c>
      <c r="I18" s="123">
        <v>0.16999999999999998</v>
      </c>
      <c r="J18" s="123"/>
      <c r="K18" s="113">
        <f t="shared" ref="K18:K24" si="9">H18-I18-J18</f>
        <v>6.1399999999999988</v>
      </c>
      <c r="L18" s="106">
        <v>1.1000000000000001</v>
      </c>
      <c r="M18" s="106" t="s">
        <v>79</v>
      </c>
      <c r="N18" s="107">
        <v>48</v>
      </c>
      <c r="O18" s="115">
        <v>7</v>
      </c>
      <c r="P18" s="124">
        <v>0.82000000000000006</v>
      </c>
      <c r="Q18" s="38"/>
      <c r="R18" s="38"/>
      <c r="S18" s="38">
        <f>G18*N18*0.03</f>
        <v>4.32</v>
      </c>
      <c r="T18" s="38"/>
      <c r="U18" s="126">
        <f>0.3*K18</f>
        <v>1.8419999999999996</v>
      </c>
      <c r="V18" s="38"/>
      <c r="W18" s="38">
        <f>G18*N18*0.3</f>
        <v>43.199999999999996</v>
      </c>
      <c r="X18" s="38">
        <f t="shared" si="0"/>
        <v>42.97999999999999</v>
      </c>
      <c r="Y18" s="116">
        <f t="shared" ref="Y18:Y24" si="10">$Y$14/31.1035*K18*IF(LEFT(F18,3)="10K",0.417*1.07,IF(LEFT(F18,3)="14K",0.585*1.05,IF(LEFT(F18,3)="18K",0.75*1.05,0)))</f>
        <v>371.2398322193643</v>
      </c>
      <c r="Z18" s="27">
        <f t="shared" si="4"/>
        <v>12.279999999999998</v>
      </c>
      <c r="AA18" s="109">
        <f t="shared" si="5"/>
        <v>80.061999999999983</v>
      </c>
      <c r="AB18" s="109">
        <f t="shared" si="6"/>
        <v>415.80973499999993</v>
      </c>
      <c r="AC18" s="109">
        <f t="shared" si="7"/>
        <v>495.87173499999994</v>
      </c>
      <c r="AD18" s="27">
        <f t="shared" si="8"/>
        <v>3.7714949999999989</v>
      </c>
      <c r="AF18" s="27">
        <f t="shared" ref="AF18:AF25" si="11">IF(AE18&gt;0,AE18*K18,X18)</f>
        <v>42.97999999999999</v>
      </c>
    </row>
    <row r="19" spans="1:32" s="27" customFormat="1" ht="28">
      <c r="A19" s="119">
        <v>2</v>
      </c>
      <c r="B19" s="120" t="s">
        <v>80</v>
      </c>
      <c r="C19" s="121" t="s">
        <v>75</v>
      </c>
      <c r="D19" s="121" t="s">
        <v>82</v>
      </c>
      <c r="E19" s="120" t="s">
        <v>76</v>
      </c>
      <c r="F19" s="120" t="s">
        <v>78</v>
      </c>
      <c r="G19" s="122">
        <v>3</v>
      </c>
      <c r="H19" s="112">
        <v>6.36</v>
      </c>
      <c r="I19" s="123">
        <v>0.16999999999999998</v>
      </c>
      <c r="J19" s="123"/>
      <c r="K19" s="113">
        <f t="shared" ref="K19" si="12">H19-I19-J19</f>
        <v>6.19</v>
      </c>
      <c r="L19" s="106">
        <v>1.1000000000000001</v>
      </c>
      <c r="M19" s="106" t="s">
        <v>79</v>
      </c>
      <c r="N19" s="107">
        <v>48</v>
      </c>
      <c r="O19" s="115">
        <v>7</v>
      </c>
      <c r="P19" s="124">
        <v>0.82500000000000007</v>
      </c>
      <c r="Q19" s="38"/>
      <c r="R19" s="38"/>
      <c r="S19" s="38">
        <f>G19*N19*0.03</f>
        <v>4.32</v>
      </c>
      <c r="T19" s="38"/>
      <c r="U19" s="38"/>
      <c r="V19" s="38"/>
      <c r="W19" s="38">
        <f>G19*N19*0.3</f>
        <v>43.199999999999996</v>
      </c>
      <c r="X19" s="38">
        <f t="shared" ref="X19" si="13">K19*O19</f>
        <v>43.330000000000005</v>
      </c>
      <c r="Y19" s="116">
        <f t="shared" ref="Y19" si="14">$Y$14/31.1035*K19*IF(LEFT(F19,3)="10K",0.417*1.07,IF(LEFT(F19,3)="14K",0.585*1.05,IF(LEFT(F19,3)="18K",0.75*1.05,0)))</f>
        <v>374.2629578889032</v>
      </c>
      <c r="Z19" s="27">
        <f t="shared" si="4"/>
        <v>12.38</v>
      </c>
      <c r="AA19" s="109">
        <f t="shared" si="5"/>
        <v>78.47</v>
      </c>
      <c r="AB19" s="109">
        <f t="shared" si="6"/>
        <v>418.90839750000004</v>
      </c>
      <c r="AC19" s="109">
        <f t="shared" si="7"/>
        <v>497.37839750000001</v>
      </c>
      <c r="AD19" s="27">
        <f t="shared" si="8"/>
        <v>3.8022075000000002</v>
      </c>
      <c r="AF19" s="27">
        <f t="shared" si="11"/>
        <v>43.330000000000005</v>
      </c>
    </row>
    <row r="20" spans="1:32" s="27" customFormat="1" ht="56">
      <c r="A20" s="119">
        <v>3</v>
      </c>
      <c r="B20" s="120" t="s">
        <v>83</v>
      </c>
      <c r="C20" s="121" t="s">
        <v>75</v>
      </c>
      <c r="D20" s="121" t="s">
        <v>84</v>
      </c>
      <c r="E20" s="120" t="s">
        <v>76</v>
      </c>
      <c r="F20" s="120" t="s">
        <v>77</v>
      </c>
      <c r="G20" s="122">
        <v>3</v>
      </c>
      <c r="H20" s="112">
        <v>6.1</v>
      </c>
      <c r="I20" s="123">
        <v>0.27</v>
      </c>
      <c r="J20" s="123"/>
      <c r="K20" s="113">
        <f t="shared" si="9"/>
        <v>5.83</v>
      </c>
      <c r="L20" s="106" t="s">
        <v>86</v>
      </c>
      <c r="M20" s="106" t="s">
        <v>87</v>
      </c>
      <c r="N20" s="107" t="s">
        <v>88</v>
      </c>
      <c r="O20" s="115">
        <v>9.25</v>
      </c>
      <c r="P20" s="124">
        <v>1.345</v>
      </c>
      <c r="Q20" s="38"/>
      <c r="R20" s="38"/>
      <c r="S20" s="38">
        <f>G20*(2+8+1+4)*0.03</f>
        <v>1.3499999999999999</v>
      </c>
      <c r="T20" s="38"/>
      <c r="U20" s="38">
        <f t="shared" ref="U20:U24" si="15">IF(RIGHT(F20,2)="WG",K20*$AA$4,IF(OR(RIGHT(F20,3)="WRG",RIGHT(F20,3)="WYG",RIGHT(F20,3)="WYR"),K20*$AA$4+3*G20,0))</f>
        <v>1.3992</v>
      </c>
      <c r="V20" s="38"/>
      <c r="W20" s="38">
        <f>G20*(2+8+1+4)*0.6</f>
        <v>27</v>
      </c>
      <c r="X20" s="38">
        <f t="shared" si="0"/>
        <v>53.927500000000002</v>
      </c>
      <c r="Y20" s="116">
        <f t="shared" si="10"/>
        <v>352.4964530682239</v>
      </c>
      <c r="Z20" s="27">
        <f t="shared" si="4"/>
        <v>11.66</v>
      </c>
      <c r="AA20" s="109">
        <f t="shared" si="5"/>
        <v>72.016700000000014</v>
      </c>
      <c r="AB20" s="109">
        <f t="shared" si="6"/>
        <v>491.8575075</v>
      </c>
      <c r="AC20" s="109">
        <f t="shared" si="7"/>
        <v>563.87420750000001</v>
      </c>
      <c r="AD20" s="27">
        <f t="shared" si="8"/>
        <v>3.5810774999999997</v>
      </c>
      <c r="AF20" s="27">
        <f t="shared" si="11"/>
        <v>53.927500000000002</v>
      </c>
    </row>
    <row r="21" spans="1:32" s="27" customFormat="1" ht="56">
      <c r="A21" s="119">
        <v>3</v>
      </c>
      <c r="B21" s="120" t="s">
        <v>83</v>
      </c>
      <c r="C21" s="121" t="s">
        <v>75</v>
      </c>
      <c r="D21" s="105" t="s">
        <v>85</v>
      </c>
      <c r="E21" s="120" t="s">
        <v>76</v>
      </c>
      <c r="F21" s="102" t="s">
        <v>78</v>
      </c>
      <c r="G21" s="104">
        <v>3</v>
      </c>
      <c r="H21" s="112">
        <v>6.09</v>
      </c>
      <c r="I21" s="112">
        <v>0.27</v>
      </c>
      <c r="J21" s="112"/>
      <c r="K21" s="113">
        <f t="shared" ref="K21" si="16">H21-I21-J21</f>
        <v>5.82</v>
      </c>
      <c r="L21" s="106" t="s">
        <v>86</v>
      </c>
      <c r="M21" s="106" t="s">
        <v>87</v>
      </c>
      <c r="N21" s="107" t="s">
        <v>88</v>
      </c>
      <c r="O21" s="115">
        <v>9.25</v>
      </c>
      <c r="P21" s="124">
        <v>1.345</v>
      </c>
      <c r="Q21" s="38"/>
      <c r="R21" s="38"/>
      <c r="S21" s="38">
        <f>G21*(2+8+1+4)*0.03</f>
        <v>1.3499999999999999</v>
      </c>
      <c r="T21" s="38"/>
      <c r="U21" s="38"/>
      <c r="V21" s="38"/>
      <c r="W21" s="38">
        <f>G21*(2+8+1+4)*0.6</f>
        <v>27</v>
      </c>
      <c r="X21" s="38">
        <f t="shared" ref="X21" si="17">K21*O21</f>
        <v>53.835000000000001</v>
      </c>
      <c r="Y21" s="116">
        <f t="shared" ref="Y21" si="18">$Y$14/31.1035*K21*IF(LEFT(F21,3)="10K",0.417*1.07,IF(LEFT(F21,3)="14K",0.585*1.05,IF(LEFT(F21,3)="18K",0.75*1.05,0)))</f>
        <v>351.8918279343161</v>
      </c>
      <c r="Z21" s="27">
        <f t="shared" si="4"/>
        <v>11.64</v>
      </c>
      <c r="AA21" s="109">
        <f t="shared" si="5"/>
        <v>70.545000000000002</v>
      </c>
      <c r="AB21" s="109">
        <f t="shared" si="6"/>
        <v>491.40910500000001</v>
      </c>
      <c r="AC21" s="109">
        <f t="shared" si="7"/>
        <v>561.95410500000003</v>
      </c>
      <c r="AD21" s="27">
        <f t="shared" si="8"/>
        <v>3.574935</v>
      </c>
      <c r="AF21" s="27">
        <f t="shared" si="11"/>
        <v>53.835000000000001</v>
      </c>
    </row>
    <row r="22" spans="1:32" s="27" customFormat="1" ht="28">
      <c r="A22" s="119">
        <v>4</v>
      </c>
      <c r="B22" s="120" t="s">
        <v>92</v>
      </c>
      <c r="C22" s="121" t="s">
        <v>89</v>
      </c>
      <c r="D22" s="121" t="s">
        <v>90</v>
      </c>
      <c r="E22" s="120" t="s">
        <v>76</v>
      </c>
      <c r="F22" s="120" t="s">
        <v>77</v>
      </c>
      <c r="G22" s="122">
        <v>5</v>
      </c>
      <c r="H22" s="112">
        <v>24.15</v>
      </c>
      <c r="I22" s="123">
        <v>0.95</v>
      </c>
      <c r="J22" s="123"/>
      <c r="K22" s="113">
        <f t="shared" si="9"/>
        <v>23.2</v>
      </c>
      <c r="L22" s="106">
        <v>1.4</v>
      </c>
      <c r="M22" s="106" t="s">
        <v>79</v>
      </c>
      <c r="N22" s="107">
        <v>82</v>
      </c>
      <c r="O22" s="115">
        <v>9.25</v>
      </c>
      <c r="P22" s="124">
        <v>4.8250000000000002</v>
      </c>
      <c r="Q22" s="38"/>
      <c r="R22" s="38"/>
      <c r="S22" s="38">
        <f t="shared" ref="S22:S24" si="19">G22*N22*0.03</f>
        <v>12.299999999999999</v>
      </c>
      <c r="T22" s="38"/>
      <c r="U22" s="38">
        <f t="shared" si="15"/>
        <v>5.5679999999999996</v>
      </c>
      <c r="V22" s="38"/>
      <c r="W22" s="38">
        <f>G22*N22*1</f>
        <v>410</v>
      </c>
      <c r="X22" s="38">
        <f t="shared" si="0"/>
        <v>214.6</v>
      </c>
      <c r="Y22" s="116">
        <f t="shared" si="10"/>
        <v>1402.7303106660022</v>
      </c>
      <c r="Z22" s="27">
        <f t="shared" si="4"/>
        <v>46.4</v>
      </c>
      <c r="AA22" s="109">
        <f t="shared" si="5"/>
        <v>596.06799999999998</v>
      </c>
      <c r="AB22" s="109">
        <f t="shared" si="6"/>
        <v>1866.9610499999999</v>
      </c>
      <c r="AC22" s="109">
        <f t="shared" si="7"/>
        <v>2463.0290500000001</v>
      </c>
      <c r="AD22" s="27">
        <f t="shared" si="8"/>
        <v>14.250599999999999</v>
      </c>
      <c r="AF22" s="27">
        <f t="shared" si="11"/>
        <v>214.6</v>
      </c>
    </row>
    <row r="23" spans="1:32" s="27" customFormat="1" ht="28">
      <c r="A23" s="119">
        <v>4</v>
      </c>
      <c r="B23" s="120" t="s">
        <v>92</v>
      </c>
      <c r="C23" s="121" t="s">
        <v>89</v>
      </c>
      <c r="D23" s="121" t="s">
        <v>91</v>
      </c>
      <c r="E23" s="120" t="s">
        <v>76</v>
      </c>
      <c r="F23" s="120" t="s">
        <v>78</v>
      </c>
      <c r="G23" s="122">
        <v>3</v>
      </c>
      <c r="H23" s="112">
        <v>14.719999999999999</v>
      </c>
      <c r="I23" s="123">
        <v>0.57000000000000006</v>
      </c>
      <c r="J23" s="123"/>
      <c r="K23" s="113">
        <f t="shared" ref="K23" si="20">H23-I23-J23</f>
        <v>14.149999999999999</v>
      </c>
      <c r="L23" s="106">
        <v>1.4</v>
      </c>
      <c r="M23" s="106" t="s">
        <v>79</v>
      </c>
      <c r="N23" s="107">
        <v>82</v>
      </c>
      <c r="O23" s="115">
        <v>9.25</v>
      </c>
      <c r="P23" s="124">
        <v>2.8849999999999998</v>
      </c>
      <c r="Q23" s="38"/>
      <c r="R23" s="38"/>
      <c r="S23" s="38">
        <f t="shared" ref="S23" si="21">G23*N23*0.03</f>
        <v>7.38</v>
      </c>
      <c r="T23" s="38"/>
      <c r="U23" s="38"/>
      <c r="V23" s="38"/>
      <c r="W23" s="38">
        <f>G23*N23*1</f>
        <v>246</v>
      </c>
      <c r="X23" s="38">
        <f t="shared" ref="X23" si="22">K23*O23</f>
        <v>130.88749999999999</v>
      </c>
      <c r="Y23" s="116">
        <f t="shared" ref="Y23" si="23">$Y$14/31.1035*K23*IF(LEFT(F23,3)="10K",0.417*1.07,IF(LEFT(F23,3)="14K",0.585*1.05,IF(LEFT(F23,3)="18K",0.75*1.05,0)))</f>
        <v>855.54456447947985</v>
      </c>
      <c r="Z23" s="27">
        <f t="shared" si="4"/>
        <v>28.299999999999997</v>
      </c>
      <c r="AA23" s="109">
        <f t="shared" si="5"/>
        <v>355.96749999999997</v>
      </c>
      <c r="AB23" s="109">
        <f t="shared" si="6"/>
        <v>1128.7765875</v>
      </c>
      <c r="AC23" s="109">
        <f t="shared" si="7"/>
        <v>1484.7440875</v>
      </c>
      <c r="AD23" s="27">
        <f t="shared" si="8"/>
        <v>8.6916374999999988</v>
      </c>
      <c r="AF23" s="27">
        <f t="shared" si="11"/>
        <v>130.88749999999999</v>
      </c>
    </row>
    <row r="24" spans="1:32" s="27" customFormat="1" ht="28">
      <c r="A24" s="119">
        <v>5</v>
      </c>
      <c r="B24" s="120" t="s">
        <v>96</v>
      </c>
      <c r="C24" s="121" t="s">
        <v>93</v>
      </c>
      <c r="D24" s="121" t="s">
        <v>95</v>
      </c>
      <c r="E24" s="120" t="s">
        <v>76</v>
      </c>
      <c r="F24" s="120" t="s">
        <v>77</v>
      </c>
      <c r="G24" s="122">
        <v>2</v>
      </c>
      <c r="H24" s="112">
        <v>13.129999999999999</v>
      </c>
      <c r="I24" s="123">
        <v>1.89</v>
      </c>
      <c r="J24" s="123"/>
      <c r="K24" s="113">
        <f t="shared" si="9"/>
        <v>11.239999999999998</v>
      </c>
      <c r="L24" s="106">
        <v>2.7</v>
      </c>
      <c r="M24" s="106" t="s">
        <v>79</v>
      </c>
      <c r="N24" s="107">
        <v>61</v>
      </c>
      <c r="O24" s="115">
        <v>6.75</v>
      </c>
      <c r="P24" s="124">
        <v>9.48</v>
      </c>
      <c r="Q24" s="38"/>
      <c r="R24" s="38"/>
      <c r="S24" s="38">
        <f t="shared" si="19"/>
        <v>3.6599999999999997</v>
      </c>
      <c r="T24" s="38"/>
      <c r="U24" s="38">
        <f t="shared" si="15"/>
        <v>2.6975999999999996</v>
      </c>
      <c r="V24" s="38"/>
      <c r="W24" s="38">
        <f>G24*N24*1</f>
        <v>122</v>
      </c>
      <c r="X24" s="38">
        <f t="shared" si="0"/>
        <v>75.86999999999999</v>
      </c>
      <c r="Y24" s="116">
        <f t="shared" si="10"/>
        <v>679.59865051232168</v>
      </c>
      <c r="Z24" s="27">
        <f t="shared" si="4"/>
        <v>22.479999999999997</v>
      </c>
      <c r="AA24" s="109">
        <f t="shared" si="5"/>
        <v>181.74760000000001</v>
      </c>
      <c r="AB24" s="109">
        <f t="shared" si="6"/>
        <v>2128.21281</v>
      </c>
      <c r="AC24" s="109">
        <f t="shared" si="7"/>
        <v>2309.9604100000001</v>
      </c>
      <c r="AD24" s="27">
        <f t="shared" si="8"/>
        <v>6.9041699999999988</v>
      </c>
      <c r="AF24" s="27">
        <f t="shared" si="11"/>
        <v>75.86999999999999</v>
      </c>
    </row>
    <row r="25" spans="1:32" s="27" customFormat="1" ht="28.5" thickBot="1">
      <c r="A25" s="119">
        <v>5</v>
      </c>
      <c r="B25" s="120" t="s">
        <v>96</v>
      </c>
      <c r="C25" s="121" t="s">
        <v>89</v>
      </c>
      <c r="D25" s="121" t="s">
        <v>94</v>
      </c>
      <c r="E25" s="120" t="s">
        <v>76</v>
      </c>
      <c r="F25" s="120" t="s">
        <v>78</v>
      </c>
      <c r="G25" s="122">
        <v>1</v>
      </c>
      <c r="H25" s="112">
        <v>6.34</v>
      </c>
      <c r="I25" s="123">
        <v>0.97</v>
      </c>
      <c r="J25" s="123"/>
      <c r="K25" s="113">
        <f t="shared" ref="K25" si="24">H25-I25-J25</f>
        <v>5.37</v>
      </c>
      <c r="L25" s="106">
        <v>2.7</v>
      </c>
      <c r="M25" s="106" t="s">
        <v>79</v>
      </c>
      <c r="N25" s="107">
        <v>61</v>
      </c>
      <c r="O25" s="115">
        <v>6.75</v>
      </c>
      <c r="P25" s="124">
        <v>4.8600000000000003</v>
      </c>
      <c r="Q25" s="38"/>
      <c r="R25" s="38"/>
      <c r="S25" s="38">
        <f t="shared" ref="S25" si="25">G25*N25*0.03</f>
        <v>1.8299999999999998</v>
      </c>
      <c r="T25" s="38"/>
      <c r="U25" s="38">
        <f t="shared" ref="U25" si="26">IF(RIGHT(F25,2)="WG",K25*$AA$4,IF(OR(RIGHT(F25,3)="WRG",RIGHT(F25,3)="WYG",RIGHT(F25,3)="WYR"),K25*$AA$4+3*G25,0))</f>
        <v>0</v>
      </c>
      <c r="V25" s="38"/>
      <c r="W25" s="38">
        <f>G25*N25*1</f>
        <v>61</v>
      </c>
      <c r="X25" s="38">
        <f t="shared" ref="X25" si="27">K25*O25</f>
        <v>36.247500000000002</v>
      </c>
      <c r="Y25" s="116">
        <f t="shared" ref="Y25" si="28">$Y$14/31.1035*K25*IF(LEFT(F25,3)="10K",0.417*1.07,IF(LEFT(F25,3)="14K",0.585*1.05,IF(LEFT(F25,3)="18K",0.75*1.05,0)))</f>
        <v>324.68369690846691</v>
      </c>
      <c r="Z25" s="27">
        <f t="shared" si="4"/>
        <v>10.74</v>
      </c>
      <c r="AA25" s="109">
        <f t="shared" si="5"/>
        <v>88.337500000000006</v>
      </c>
      <c r="AB25" s="109">
        <f t="shared" si="6"/>
        <v>1073.4559425000002</v>
      </c>
      <c r="AC25" s="109">
        <f t="shared" si="7"/>
        <v>1161.7934425000003</v>
      </c>
      <c r="AD25" s="27">
        <f t="shared" si="8"/>
        <v>3.2985224999999998</v>
      </c>
      <c r="AF25" s="27">
        <f t="shared" si="11"/>
        <v>36.247500000000002</v>
      </c>
    </row>
    <row r="26" spans="1:32" s="28" customFormat="1" ht="16" customHeight="1">
      <c r="A26" s="94" t="s">
        <v>62</v>
      </c>
      <c r="B26" s="72"/>
      <c r="C26" s="72"/>
      <c r="D26" s="72"/>
      <c r="E26" s="72"/>
      <c r="F26" s="72"/>
      <c r="G26" s="73">
        <f>SUM(G16:G25)</f>
        <v>29</v>
      </c>
      <c r="H26" s="114"/>
      <c r="I26" s="114"/>
      <c r="J26" s="114"/>
      <c r="K26" s="114">
        <f>SUM(K16:K25)</f>
        <v>92.76</v>
      </c>
      <c r="L26" s="74"/>
      <c r="M26" s="74"/>
      <c r="N26" s="74"/>
      <c r="O26" s="75"/>
      <c r="P26" s="125">
        <f t="shared" ref="P26:Y26" si="29">SUM(P16:P25)</f>
        <v>28.024999999999999</v>
      </c>
      <c r="Q26" s="76">
        <f t="shared" si="29"/>
        <v>0</v>
      </c>
      <c r="R26" s="76">
        <f t="shared" si="29"/>
        <v>0</v>
      </c>
      <c r="S26" s="76">
        <f t="shared" si="29"/>
        <v>40.109999999999992</v>
      </c>
      <c r="T26" s="76">
        <f t="shared" si="29"/>
        <v>0</v>
      </c>
      <c r="U26" s="76">
        <f t="shared" si="29"/>
        <v>13.711799999999998</v>
      </c>
      <c r="V26" s="76">
        <f t="shared" si="29"/>
        <v>0</v>
      </c>
      <c r="W26" s="76">
        <f t="shared" si="29"/>
        <v>1051.4000000000001</v>
      </c>
      <c r="X26" s="76">
        <f t="shared" si="29"/>
        <v>755.41750000000002</v>
      </c>
      <c r="Y26" s="117">
        <f t="shared" si="29"/>
        <v>5608.5027421283776</v>
      </c>
      <c r="AA26" s="110">
        <f>SUM(AA16:AA25)</f>
        <v>1675.1192999999998</v>
      </c>
      <c r="AB26" s="110">
        <f>SUM(AB16:AB25)</f>
        <v>8960.9048399999992</v>
      </c>
      <c r="AC26" s="110">
        <f>SUM(AC16:AC25)</f>
        <v>10636.024140000001</v>
      </c>
      <c r="AD26" s="110">
        <f>SUM(AD16:AD25)</f>
        <v>56.977829999999997</v>
      </c>
      <c r="AF26" s="110">
        <f>SUM(AF16:AF25)</f>
        <v>755.41750000000002</v>
      </c>
    </row>
    <row r="27" spans="1:32" s="28" customFormat="1" ht="16" customHeight="1" thickBot="1">
      <c r="A27" s="77"/>
      <c r="B27" s="78"/>
      <c r="C27" s="78"/>
      <c r="D27" s="78"/>
      <c r="E27" s="78"/>
      <c r="F27" s="78"/>
      <c r="G27" s="78"/>
      <c r="H27" s="78"/>
      <c r="I27" s="78"/>
      <c r="J27" s="67"/>
      <c r="K27" s="68"/>
      <c r="L27" s="68"/>
      <c r="M27" s="68"/>
      <c r="N27" s="68"/>
      <c r="O27" s="69"/>
      <c r="P27" s="69"/>
      <c r="Q27" s="70"/>
      <c r="R27" s="70"/>
      <c r="S27" s="70"/>
      <c r="T27" s="70"/>
      <c r="U27" s="70"/>
      <c r="V27" s="71"/>
      <c r="W27" s="79" t="s">
        <v>25</v>
      </c>
      <c r="X27" s="71"/>
      <c r="Y27" s="118"/>
    </row>
    <row r="28" spans="1:32" s="28" customFormat="1" ht="18.5" thickTop="1">
      <c r="A28" s="50"/>
      <c r="B28" s="129"/>
      <c r="C28" s="129"/>
      <c r="D28" s="129"/>
      <c r="E28" s="129"/>
      <c r="F28" s="129"/>
      <c r="G28" s="129"/>
      <c r="H28" s="129"/>
      <c r="I28" s="23"/>
      <c r="J28" s="54"/>
      <c r="K28" s="25"/>
      <c r="L28" s="25"/>
      <c r="M28" s="25"/>
      <c r="N28" s="25"/>
      <c r="O28" s="26"/>
      <c r="P28" s="26"/>
      <c r="Q28" s="55"/>
      <c r="R28" s="55"/>
      <c r="S28" s="55"/>
      <c r="T28" s="55"/>
      <c r="U28" s="55"/>
      <c r="W28" s="80" t="s">
        <v>15</v>
      </c>
      <c r="X28" s="130">
        <f>SUM(Q26:Y26)</f>
        <v>7469.1420421283774</v>
      </c>
      <c r="Y28" s="131"/>
    </row>
    <row r="29" spans="1:32" s="28" customFormat="1" ht="18">
      <c r="A29" s="108" t="s">
        <v>53</v>
      </c>
      <c r="B29" s="89"/>
      <c r="C29" s="89"/>
      <c r="D29" s="89"/>
      <c r="E29" s="89"/>
      <c r="F29" s="90"/>
      <c r="G29" s="90"/>
      <c r="H29" s="90"/>
      <c r="I29" s="23"/>
      <c r="J29" s="54"/>
      <c r="K29" s="25"/>
      <c r="L29" s="25"/>
      <c r="M29" s="25"/>
      <c r="N29" s="25"/>
      <c r="O29" s="26"/>
      <c r="P29" s="26"/>
      <c r="Q29" s="55"/>
      <c r="R29" s="55"/>
      <c r="S29" s="55"/>
      <c r="T29" s="55"/>
      <c r="U29" s="55"/>
      <c r="W29" s="80" t="s">
        <v>16</v>
      </c>
      <c r="X29" s="141"/>
      <c r="Y29" s="142"/>
    </row>
    <row r="30" spans="1:32" ht="15.5">
      <c r="A30" s="50"/>
      <c r="B30" s="40"/>
      <c r="C30" s="40"/>
      <c r="D30" s="40"/>
      <c r="E30" s="40"/>
      <c r="G30" s="22"/>
      <c r="H30" s="23"/>
      <c r="J30" s="54"/>
      <c r="K30" s="25"/>
      <c r="L30" s="25"/>
      <c r="M30" s="25"/>
      <c r="N30" s="25"/>
      <c r="O30" s="26"/>
      <c r="P30" s="26"/>
      <c r="V30" s="22"/>
      <c r="W30" s="80" t="s">
        <v>17</v>
      </c>
      <c r="X30" s="141">
        <f>X28-X29</f>
        <v>7469.1420421283774</v>
      </c>
      <c r="Y30" s="142"/>
      <c r="AC30" s="111"/>
    </row>
    <row r="31" spans="1:32" ht="20">
      <c r="A31" s="56"/>
      <c r="G31" s="22"/>
      <c r="H31" s="23"/>
      <c r="J31" s="54"/>
      <c r="K31" s="25"/>
      <c r="L31" s="25"/>
      <c r="M31" s="25"/>
      <c r="N31" s="25"/>
      <c r="O31" s="26"/>
      <c r="P31" s="26"/>
      <c r="V31" s="41"/>
      <c r="W31" s="41"/>
      <c r="X31" s="127"/>
      <c r="Y31" s="128"/>
    </row>
    <row r="32" spans="1:32" ht="22.5" customHeight="1">
      <c r="A32" s="56"/>
      <c r="B32" s="42"/>
      <c r="C32" s="42"/>
      <c r="D32" s="42"/>
      <c r="E32" s="42"/>
      <c r="G32" s="22"/>
      <c r="H32" s="23"/>
      <c r="J32" s="54"/>
      <c r="K32" s="25"/>
      <c r="L32" s="25"/>
      <c r="M32" s="25"/>
      <c r="N32" s="25"/>
      <c r="O32" s="26"/>
      <c r="P32" s="26"/>
      <c r="V32" s="41"/>
      <c r="W32" s="41"/>
      <c r="X32" s="30"/>
      <c r="Y32" s="57"/>
    </row>
    <row r="33" spans="1:25" ht="16" customHeight="1">
      <c r="A33" s="58"/>
      <c r="B33" s="42"/>
      <c r="C33" s="42"/>
      <c r="D33" s="42"/>
      <c r="E33" s="42"/>
      <c r="F33" s="32"/>
      <c r="G33" s="32"/>
      <c r="H33" s="32"/>
      <c r="I33" s="32"/>
      <c r="J33" s="33"/>
      <c r="K33" s="32"/>
      <c r="L33" s="32"/>
      <c r="M33" s="32"/>
      <c r="N33" s="32"/>
      <c r="O33" s="34"/>
      <c r="P33" s="34"/>
      <c r="Q33" s="34"/>
      <c r="R33" s="34"/>
      <c r="S33" s="34"/>
      <c r="T33" s="34"/>
      <c r="U33" s="34"/>
      <c r="V33" s="22"/>
      <c r="W33" s="35"/>
      <c r="X33" s="36"/>
      <c r="Y33" s="59"/>
    </row>
    <row r="34" spans="1:25" ht="16" customHeight="1">
      <c r="A34" s="58"/>
      <c r="B34" s="42"/>
      <c r="C34" s="42"/>
      <c r="D34" s="42"/>
      <c r="E34" s="42"/>
      <c r="F34" s="32"/>
      <c r="G34" s="32"/>
      <c r="H34" s="32"/>
      <c r="I34" s="32"/>
      <c r="J34" s="32"/>
      <c r="K34" s="32"/>
      <c r="L34" s="32"/>
      <c r="M34" s="32"/>
      <c r="N34" s="32"/>
      <c r="O34" s="34"/>
      <c r="P34" s="34"/>
      <c r="Q34" s="34"/>
      <c r="R34" s="34"/>
      <c r="S34" s="34"/>
      <c r="T34" s="34"/>
      <c r="U34" s="34"/>
      <c r="V34" s="31"/>
      <c r="W34" s="31"/>
      <c r="X34" s="32"/>
      <c r="Y34" s="60"/>
    </row>
    <row r="35" spans="1:25">
      <c r="A35" s="61"/>
      <c r="B35" s="42"/>
      <c r="C35" s="42"/>
      <c r="D35" s="42"/>
      <c r="E35" s="4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81" t="s">
        <v>10</v>
      </c>
      <c r="W35" s="31"/>
      <c r="X35" s="37" t="s">
        <v>24</v>
      </c>
      <c r="Y35" s="60"/>
    </row>
    <row r="36" spans="1:25" s="32" customFormat="1" ht="12.75" customHeight="1">
      <c r="A36" s="62"/>
      <c r="B36" s="63"/>
      <c r="C36" s="63"/>
      <c r="D36" s="63"/>
      <c r="E36" s="63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5"/>
      <c r="W36" s="65"/>
      <c r="X36" s="64"/>
      <c r="Y36" s="66"/>
    </row>
    <row r="37" spans="1:25" s="36" customFormat="1" ht="12.75" customHeight="1">
      <c r="A37" s="21"/>
      <c r="B37" s="21"/>
      <c r="C37" s="21"/>
      <c r="D37" s="21"/>
      <c r="E37" s="21"/>
      <c r="F37" s="21"/>
      <c r="G37" s="21"/>
      <c r="H37" s="22"/>
      <c r="I37" s="23"/>
      <c r="J37" s="23"/>
      <c r="K37" s="24"/>
      <c r="L37" s="24"/>
      <c r="M37" s="24"/>
      <c r="N37" s="24"/>
      <c r="O37" s="25"/>
      <c r="P37" s="25"/>
      <c r="Q37" s="26"/>
      <c r="R37" s="26"/>
      <c r="S37" s="26"/>
      <c r="T37" s="26"/>
      <c r="U37" s="26"/>
      <c r="V37" s="26"/>
      <c r="W37" s="26"/>
      <c r="X37" s="29"/>
      <c r="Y37" s="22"/>
    </row>
    <row r="38" spans="1:25" s="32" customFormat="1" ht="12.75" customHeight="1">
      <c r="A38" s="21"/>
      <c r="B38" s="21"/>
      <c r="C38" s="21"/>
      <c r="D38" s="21"/>
      <c r="E38" s="21"/>
      <c r="F38" s="21"/>
      <c r="G38" s="21"/>
      <c r="H38" s="22"/>
      <c r="I38" s="23"/>
      <c r="J38" s="23"/>
      <c r="K38" s="24"/>
      <c r="L38" s="24"/>
      <c r="M38" s="24"/>
      <c r="N38" s="24"/>
      <c r="O38" s="25"/>
      <c r="P38" s="25"/>
      <c r="Q38" s="26"/>
      <c r="R38" s="26"/>
      <c r="S38" s="26"/>
      <c r="T38" s="26"/>
      <c r="U38" s="26"/>
      <c r="V38" s="26"/>
      <c r="W38" s="26"/>
      <c r="X38" s="29"/>
      <c r="Y38" s="22"/>
    </row>
    <row r="39" spans="1:25" s="32" customFormat="1" ht="12.75" customHeight="1">
      <c r="A39" s="21"/>
      <c r="B39" s="21"/>
      <c r="C39" s="21"/>
      <c r="D39" s="21"/>
      <c r="E39" s="21"/>
      <c r="F39" s="21"/>
      <c r="G39" s="21"/>
      <c r="H39" s="22"/>
      <c r="I39" s="23"/>
      <c r="J39" s="23"/>
      <c r="K39" s="24"/>
      <c r="L39" s="24"/>
      <c r="M39" s="24"/>
      <c r="N39" s="24"/>
      <c r="O39" s="25"/>
      <c r="P39" s="25"/>
      <c r="Q39" s="26"/>
      <c r="R39" s="26"/>
      <c r="S39" s="26"/>
      <c r="T39" s="26"/>
      <c r="U39" s="26"/>
      <c r="V39" s="26"/>
      <c r="W39" s="26"/>
      <c r="X39" s="29"/>
      <c r="Y39" s="22"/>
    </row>
    <row r="40" spans="1:25" s="32" customFormat="1" ht="12.75" customHeight="1">
      <c r="A40" s="21"/>
      <c r="B40" s="21"/>
      <c r="C40" s="21"/>
      <c r="D40" s="21"/>
      <c r="E40" s="21"/>
      <c r="F40" s="21"/>
      <c r="G40" s="21"/>
      <c r="H40" s="22"/>
      <c r="I40" s="23"/>
      <c r="J40" s="23"/>
      <c r="K40" s="24"/>
      <c r="L40" s="24"/>
      <c r="M40" s="24"/>
      <c r="N40" s="24"/>
      <c r="O40" s="25"/>
      <c r="P40" s="25"/>
      <c r="Q40" s="26"/>
      <c r="R40" s="26"/>
      <c r="S40" s="26"/>
      <c r="T40" s="26"/>
      <c r="U40" s="26"/>
      <c r="V40" s="26"/>
      <c r="W40" s="26"/>
      <c r="X40" s="29"/>
      <c r="Y40" s="22"/>
    </row>
  </sheetData>
  <mergeCells count="8">
    <mergeCell ref="X31:Y31"/>
    <mergeCell ref="B28:H28"/>
    <mergeCell ref="X28:Y28"/>
    <mergeCell ref="A1:Y1"/>
    <mergeCell ref="A2:Y2"/>
    <mergeCell ref="A3:Y3"/>
    <mergeCell ref="X29:Y29"/>
    <mergeCell ref="X30:Y30"/>
  </mergeCells>
  <phoneticPr fontId="3" type="noConversion"/>
  <conditionalFormatting sqref="F16">
    <cfRule type="containsText" dxfId="2" priority="8" operator="containsText" text="18K">
      <formula>NOT(ISERROR(SEARCH("18K",F16)))</formula>
    </cfRule>
  </conditionalFormatting>
  <conditionalFormatting sqref="F21:F25">
    <cfRule type="containsText" dxfId="1" priority="5" operator="containsText" text="18K">
      <formula>NOT(ISERROR(SEARCH("18K",F21)))</formula>
    </cfRule>
  </conditionalFormatting>
  <conditionalFormatting sqref="F17:F20">
    <cfRule type="containsText" dxfId="0" priority="4" operator="containsText" text="18K">
      <formula>NOT(ISERROR(SEARCH("18K",F17)))</formula>
    </cfRule>
  </conditionalFormatting>
  <pageMargins left="0" right="0" top="0.19685039370078741" bottom="0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2025-04-16T12:31:16Z</dcterms:modified>
</cp:coreProperties>
</file>