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0.254\Sharing EPO Team\GOLD EXPORT\250418\CLEARANCE\"/>
    </mc:Choice>
  </mc:AlternateContent>
  <xr:revisionPtr revIDLastSave="0" documentId="13_ncr:1_{22E1F396-74FD-4229-BBFA-A9CFC19F43D3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PI!$A$1:$Y$75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" i="1" l="1"/>
  <c r="W65" i="1"/>
  <c r="U65" i="1"/>
  <c r="T65" i="1"/>
  <c r="S65" i="1"/>
  <c r="R65" i="1"/>
  <c r="G65" i="1"/>
  <c r="X64" i="1"/>
  <c r="W64" i="1"/>
  <c r="V64" i="1"/>
  <c r="T64" i="1"/>
  <c r="S64" i="1"/>
  <c r="R64" i="1"/>
  <c r="P64" i="1"/>
  <c r="G64" i="1"/>
  <c r="U63" i="1"/>
  <c r="K63" i="1"/>
  <c r="Y63" i="1" s="1"/>
  <c r="AE63" i="1" s="1"/>
  <c r="U62" i="1"/>
  <c r="U64" i="1" s="1"/>
  <c r="K62" i="1"/>
  <c r="Q63" i="1" l="1"/>
  <c r="AB63" i="1" s="1"/>
  <c r="Q62" i="1"/>
  <c r="K64" i="1"/>
  <c r="Z62" i="1"/>
  <c r="Y62" i="1"/>
  <c r="Z63" i="1"/>
  <c r="AA63" i="1" s="1"/>
  <c r="AC63" i="1" l="1"/>
  <c r="AE62" i="1"/>
  <c r="Y64" i="1"/>
  <c r="Q64" i="1"/>
  <c r="AB62" i="1"/>
  <c r="AA62" i="1" l="1"/>
  <c r="AC62" i="1" l="1"/>
  <c r="X59" i="1" l="1"/>
  <c r="W59" i="1"/>
  <c r="V59" i="1"/>
  <c r="T59" i="1"/>
  <c r="S59" i="1"/>
  <c r="R59" i="1"/>
  <c r="P59" i="1"/>
  <c r="G59" i="1"/>
  <c r="U58" i="1"/>
  <c r="K58" i="1"/>
  <c r="U57" i="1"/>
  <c r="U59" i="1" s="1"/>
  <c r="K57" i="1"/>
  <c r="Q57" i="1" l="1"/>
  <c r="K59" i="1"/>
  <c r="Z57" i="1"/>
  <c r="Y57" i="1"/>
  <c r="Z58" i="1"/>
  <c r="Y58" i="1"/>
  <c r="AE58" i="1" s="1"/>
  <c r="AA58" i="1" s="1"/>
  <c r="Q58" i="1"/>
  <c r="AB58" i="1" s="1"/>
  <c r="AC58" i="1" l="1"/>
  <c r="AE57" i="1"/>
  <c r="Y59" i="1"/>
  <c r="Q59" i="1"/>
  <c r="AB57" i="1"/>
  <c r="AA57" i="1" l="1"/>
  <c r="AC57" i="1" l="1"/>
  <c r="U53" i="1" l="1"/>
  <c r="U52" i="1"/>
  <c r="U51" i="1"/>
  <c r="T41" i="1" l="1"/>
  <c r="T42" i="1"/>
  <c r="T40" i="1"/>
  <c r="X41" i="1"/>
  <c r="X42" i="1"/>
  <c r="X40" i="1"/>
  <c r="U41" i="1"/>
  <c r="U42" i="1"/>
  <c r="U40" i="1"/>
  <c r="T36" i="1" l="1"/>
  <c r="U36" i="1"/>
  <c r="X36" i="1"/>
  <c r="X35" i="1"/>
  <c r="U35" i="1"/>
  <c r="T35" i="1"/>
  <c r="K36" i="1"/>
  <c r="Q36" i="1" s="1"/>
  <c r="T33" i="1"/>
  <c r="U33" i="1"/>
  <c r="X33" i="1"/>
  <c r="T34" i="1"/>
  <c r="U34" i="1"/>
  <c r="X34" i="1"/>
  <c r="X32" i="1"/>
  <c r="U32" i="1"/>
  <c r="T32" i="1"/>
  <c r="K33" i="1"/>
  <c r="K34" i="1"/>
  <c r="Y34" i="1" s="1"/>
  <c r="X31" i="1"/>
  <c r="U31" i="1"/>
  <c r="T31" i="1"/>
  <c r="X30" i="1"/>
  <c r="U30" i="1"/>
  <c r="T30" i="1"/>
  <c r="X29" i="1"/>
  <c r="U29" i="1"/>
  <c r="T29" i="1"/>
  <c r="U28" i="1"/>
  <c r="X28" i="1"/>
  <c r="T28" i="1"/>
  <c r="X27" i="1"/>
  <c r="U27" i="1"/>
  <c r="T27" i="1"/>
  <c r="T26" i="1"/>
  <c r="U26" i="1"/>
  <c r="X26" i="1"/>
  <c r="X25" i="1"/>
  <c r="U25" i="1"/>
  <c r="T25" i="1"/>
  <c r="K26" i="1"/>
  <c r="Q26" i="1" s="1"/>
  <c r="U24" i="1"/>
  <c r="U23" i="1"/>
  <c r="T24" i="1"/>
  <c r="X24" i="1"/>
  <c r="X23" i="1"/>
  <c r="T23" i="1"/>
  <c r="K24" i="1"/>
  <c r="T22" i="1"/>
  <c r="T21" i="1"/>
  <c r="U22" i="1"/>
  <c r="X22" i="1"/>
  <c r="X21" i="1"/>
  <c r="U21" i="1"/>
  <c r="K22" i="1"/>
  <c r="Q22" i="1" s="1"/>
  <c r="T17" i="1"/>
  <c r="V17" i="1"/>
  <c r="X17" i="1"/>
  <c r="X16" i="1"/>
  <c r="T16" i="1"/>
  <c r="K17" i="1"/>
  <c r="Y33" i="1" l="1"/>
  <c r="Q33" i="1"/>
  <c r="Q24" i="1"/>
  <c r="Y24" i="1"/>
  <c r="Y36" i="1"/>
  <c r="Y22" i="1"/>
  <c r="Q34" i="1"/>
  <c r="Y26" i="1"/>
  <c r="Y17" i="1"/>
  <c r="Q17" i="1"/>
  <c r="T47" i="1" l="1"/>
  <c r="U47" i="1"/>
  <c r="X47" i="1"/>
  <c r="X46" i="1"/>
  <c r="T46" i="1"/>
  <c r="U46" i="1"/>
  <c r="K47" i="1"/>
  <c r="Y47" i="1" l="1"/>
  <c r="Q47" i="1"/>
  <c r="W54" i="1" l="1"/>
  <c r="T54" i="1"/>
  <c r="S54" i="1"/>
  <c r="R54" i="1"/>
  <c r="P54" i="1"/>
  <c r="G54" i="1"/>
  <c r="K53" i="1"/>
  <c r="K52" i="1"/>
  <c r="K51" i="1"/>
  <c r="W43" i="1"/>
  <c r="T43" i="1"/>
  <c r="S43" i="1"/>
  <c r="R43" i="1"/>
  <c r="P43" i="1"/>
  <c r="G43" i="1"/>
  <c r="K42" i="1"/>
  <c r="K41" i="1"/>
  <c r="K40" i="1"/>
  <c r="W37" i="1"/>
  <c r="T37" i="1"/>
  <c r="S37" i="1"/>
  <c r="R37" i="1"/>
  <c r="P37" i="1"/>
  <c r="G37" i="1"/>
  <c r="K35" i="1"/>
  <c r="V35" i="1" s="1"/>
  <c r="K32" i="1"/>
  <c r="K31" i="1"/>
  <c r="K30" i="1"/>
  <c r="K29" i="1"/>
  <c r="K28" i="1"/>
  <c r="K27" i="1"/>
  <c r="V27" i="1" s="1"/>
  <c r="K25" i="1"/>
  <c r="V25" i="1" s="1"/>
  <c r="K23" i="1"/>
  <c r="V23" i="1" s="1"/>
  <c r="K21" i="1"/>
  <c r="W18" i="1"/>
  <c r="T18" i="1"/>
  <c r="S18" i="1"/>
  <c r="R18" i="1"/>
  <c r="P18" i="1"/>
  <c r="G18" i="1"/>
  <c r="K16" i="1"/>
  <c r="V16" i="1" s="1"/>
  <c r="V32" i="1" l="1"/>
  <c r="Q53" i="1"/>
  <c r="AB53" i="1" s="1"/>
  <c r="V40" i="1"/>
  <c r="V43" i="1" s="1"/>
  <c r="Q41" i="1"/>
  <c r="AB41" i="1" s="1"/>
  <c r="Y41" i="1"/>
  <c r="AE41" i="1" s="1"/>
  <c r="Q42" i="1"/>
  <c r="AB42" i="1" s="1"/>
  <c r="Y42" i="1"/>
  <c r="AE42" i="1" s="1"/>
  <c r="V21" i="1"/>
  <c r="V37" i="1" s="1"/>
  <c r="Y35" i="1"/>
  <c r="AE35" i="1" s="1"/>
  <c r="Z33" i="1"/>
  <c r="Q29" i="1"/>
  <c r="AB29" i="1" s="1"/>
  <c r="Y27" i="1"/>
  <c r="AE27" i="1" s="1"/>
  <c r="Z25" i="1"/>
  <c r="Q23" i="1"/>
  <c r="AB23" i="1" s="1"/>
  <c r="AB17" i="1"/>
  <c r="V18" i="1"/>
  <c r="Z16" i="1"/>
  <c r="Q31" i="1"/>
  <c r="AB31" i="1" s="1"/>
  <c r="Z52" i="1"/>
  <c r="Y52" i="1"/>
  <c r="AE52" i="1" s="1"/>
  <c r="Q52" i="1"/>
  <c r="AB52" i="1" s="1"/>
  <c r="X18" i="1"/>
  <c r="U37" i="1"/>
  <c r="U43" i="1"/>
  <c r="X37" i="1"/>
  <c r="U54" i="1"/>
  <c r="X43" i="1"/>
  <c r="V54" i="1"/>
  <c r="X54" i="1"/>
  <c r="U18" i="1"/>
  <c r="K43" i="1"/>
  <c r="Z42" i="1"/>
  <c r="K54" i="1"/>
  <c r="Z41" i="1"/>
  <c r="Y51" i="1"/>
  <c r="Y40" i="1"/>
  <c r="Z51" i="1"/>
  <c r="Y53" i="1"/>
  <c r="AE53" i="1" s="1"/>
  <c r="Z40" i="1"/>
  <c r="Q51" i="1"/>
  <c r="Z53" i="1"/>
  <c r="Q40" i="1"/>
  <c r="Y32" i="1"/>
  <c r="AE32" i="1" s="1"/>
  <c r="Z32" i="1"/>
  <c r="Q32" i="1"/>
  <c r="AB32" i="1" s="1"/>
  <c r="AB36" i="1"/>
  <c r="Z36" i="1"/>
  <c r="AE36" i="1"/>
  <c r="Q28" i="1"/>
  <c r="AB28" i="1" s="1"/>
  <c r="Y28" i="1"/>
  <c r="AE28" i="1" s="1"/>
  <c r="Z28" i="1"/>
  <c r="AE24" i="1"/>
  <c r="AB24" i="1"/>
  <c r="Z24" i="1"/>
  <c r="K37" i="1"/>
  <c r="AB26" i="1"/>
  <c r="Z26" i="1"/>
  <c r="AE26" i="1"/>
  <c r="Z30" i="1"/>
  <c r="Y30" i="1"/>
  <c r="AE30" i="1" s="1"/>
  <c r="Q30" i="1"/>
  <c r="AB30" i="1" s="1"/>
  <c r="AE22" i="1"/>
  <c r="AB22" i="1"/>
  <c r="Z22" i="1"/>
  <c r="Z34" i="1"/>
  <c r="AE34" i="1"/>
  <c r="AB34" i="1"/>
  <c r="Y21" i="1"/>
  <c r="Q25" i="1"/>
  <c r="AB25" i="1" s="1"/>
  <c r="Z27" i="1"/>
  <c r="AA27" i="1" s="1"/>
  <c r="Y29" i="1"/>
  <c r="AE29" i="1" s="1"/>
  <c r="AB33" i="1"/>
  <c r="Z35" i="1"/>
  <c r="Z21" i="1"/>
  <c r="Y23" i="1"/>
  <c r="AE23" i="1" s="1"/>
  <c r="Q27" i="1"/>
  <c r="AB27" i="1" s="1"/>
  <c r="Z29" i="1"/>
  <c r="Y31" i="1"/>
  <c r="AE31" i="1" s="1"/>
  <c r="Q35" i="1"/>
  <c r="AB35" i="1" s="1"/>
  <c r="Q21" i="1"/>
  <c r="Z23" i="1"/>
  <c r="Y25" i="1"/>
  <c r="AE25" i="1" s="1"/>
  <c r="AA25" i="1" s="1"/>
  <c r="Z31" i="1"/>
  <c r="AE33" i="1"/>
  <c r="K18" i="1"/>
  <c r="AE17" i="1"/>
  <c r="Z17" i="1"/>
  <c r="Q16" i="1"/>
  <c r="Y16" i="1"/>
  <c r="W48" i="1"/>
  <c r="T48" i="1"/>
  <c r="S48" i="1"/>
  <c r="R48" i="1"/>
  <c r="P48" i="1"/>
  <c r="P65" i="1" s="1"/>
  <c r="G48" i="1"/>
  <c r="K46" i="1"/>
  <c r="AA33" i="1" l="1"/>
  <c r="AC27" i="1"/>
  <c r="AA34" i="1"/>
  <c r="AC34" i="1" s="1"/>
  <c r="AA53" i="1"/>
  <c r="AC53" i="1" s="1"/>
  <c r="AA52" i="1"/>
  <c r="AC52" i="1" s="1"/>
  <c r="AA41" i="1"/>
  <c r="AC41" i="1" s="1"/>
  <c r="V46" i="1"/>
  <c r="V48" i="1" s="1"/>
  <c r="V65" i="1" s="1"/>
  <c r="AA29" i="1"/>
  <c r="AC29" i="1" s="1"/>
  <c r="AA35" i="1"/>
  <c r="AC35" i="1" s="1"/>
  <c r="AA17" i="1"/>
  <c r="AC17" i="1" s="1"/>
  <c r="AA28" i="1"/>
  <c r="AC28" i="1" s="1"/>
  <c r="AA24" i="1"/>
  <c r="AC24" i="1" s="1"/>
  <c r="AA36" i="1"/>
  <c r="AC36" i="1" s="1"/>
  <c r="Q54" i="1"/>
  <c r="AB51" i="1"/>
  <c r="Y54" i="1"/>
  <c r="AE51" i="1"/>
  <c r="AA51" i="1" s="1"/>
  <c r="Y43" i="1"/>
  <c r="AE40" i="1"/>
  <c r="AA40" i="1" s="1"/>
  <c r="AB40" i="1"/>
  <c r="Q43" i="1"/>
  <c r="AA42" i="1"/>
  <c r="AC42" i="1" s="1"/>
  <c r="AC25" i="1"/>
  <c r="Y37" i="1"/>
  <c r="AE21" i="1"/>
  <c r="AA21" i="1" s="1"/>
  <c r="AA31" i="1"/>
  <c r="AC31" i="1" s="1"/>
  <c r="AA22" i="1"/>
  <c r="AC22" i="1" s="1"/>
  <c r="AA26" i="1"/>
  <c r="AC26" i="1" s="1"/>
  <c r="Q37" i="1"/>
  <c r="AB21" i="1"/>
  <c r="AA23" i="1"/>
  <c r="AC23" i="1" s="1"/>
  <c r="AC33" i="1"/>
  <c r="AA30" i="1"/>
  <c r="AC30" i="1" s="1"/>
  <c r="AA32" i="1"/>
  <c r="AC32" i="1" s="1"/>
  <c r="AE16" i="1"/>
  <c r="Y18" i="1"/>
  <c r="Q18" i="1"/>
  <c r="AB16" i="1"/>
  <c r="Z46" i="1"/>
  <c r="U48" i="1"/>
  <c r="X48" i="1"/>
  <c r="AE47" i="1"/>
  <c r="AB47" i="1"/>
  <c r="Z47" i="1"/>
  <c r="Q46" i="1"/>
  <c r="AB46" i="1" s="1"/>
  <c r="Y46" i="1"/>
  <c r="K48" i="1"/>
  <c r="K65" i="1" s="1"/>
  <c r="AB64" i="1" l="1"/>
  <c r="AC51" i="1"/>
  <c r="AC40" i="1"/>
  <c r="AC21" i="1"/>
  <c r="AA16" i="1"/>
  <c r="AA47" i="1"/>
  <c r="AC47" i="1" s="1"/>
  <c r="Y48" i="1"/>
  <c r="Y65" i="1" s="1"/>
  <c r="Y67" i="1" s="1"/>
  <c r="AE46" i="1"/>
  <c r="AE64" i="1" s="1"/>
  <c r="Q48" i="1"/>
  <c r="Q65" i="1" s="1"/>
  <c r="AC16" i="1" l="1"/>
  <c r="AA46" i="1"/>
  <c r="AA64" i="1" s="1"/>
  <c r="AC46" i="1" l="1"/>
  <c r="AC64" i="1" s="1"/>
  <c r="Y69" i="1" l="1"/>
</calcChain>
</file>

<file path=xl/sharedStrings.xml><?xml version="1.0" encoding="utf-8"?>
<sst xmlns="http://schemas.openxmlformats.org/spreadsheetml/2006/main" count="361" uniqueCount="114">
  <si>
    <t>Seller:</t>
  </si>
  <si>
    <t>Consignee:</t>
  </si>
  <si>
    <t xml:space="preserve">A/C No. : </t>
  </si>
  <si>
    <t xml:space="preserve">C/T No. : </t>
  </si>
  <si>
    <t>PO#</t>
    <phoneticPr fontId="11" type="noConversion"/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</si>
  <si>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</si>
  <si>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</si>
  <si>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</si>
  <si>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</si>
  <si>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</si>
  <si>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</si>
  <si>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19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</si>
  <si>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</si>
  <si>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</si>
  <si>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</si>
  <si>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</si>
  <si>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</si>
  <si>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</si>
  <si>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</si>
  <si>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</si>
  <si>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</si>
  <si>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</si>
  <si>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</si>
  <si>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</si>
  <si>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</si>
  <si>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</si>
  <si>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</si>
  <si>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</si>
  <si>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</si>
  <si>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</si>
  <si>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</si>
  <si>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</si>
  <si>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</si>
  <si>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</si>
  <si>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</si>
  <si>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</si>
  <si>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</si>
  <si>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</si>
  <si>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</si>
  <si>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</si>
  <si>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</si>
  <si>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</si>
  <si>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</si>
  <si>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</si>
  <si>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</si>
  <si>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</si>
  <si>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</si>
  <si>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</si>
  <si>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</si>
  <si>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</si>
  <si>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</si>
  <si>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</si>
  <si>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</si>
  <si>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</si>
  <si>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</si>
  <si>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</si>
  <si>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</si>
  <si>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</si>
  <si>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</si>
  <si>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</si>
  <si>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</si>
  <si>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Gold W't &amp; Loss</t>
  </si>
  <si>
    <t>*) 24K current gold balance PO#</t>
  </si>
  <si>
    <t>*) 24K gold previous balance PO#</t>
  </si>
  <si>
    <t>*) Total 24K previous balance =</t>
  </si>
  <si>
    <t>*) Total 24K current gold balance =</t>
  </si>
  <si>
    <t>old labor</t>
  </si>
  <si>
    <t>labor amount</t>
  </si>
  <si>
    <t>Dia Handling Service Fee</t>
  </si>
  <si>
    <t>SUBTOTAL</t>
  </si>
  <si>
    <t>PI SLI250416</t>
  </si>
  <si>
    <t>SCINTILLATING IMPORTS INC</t>
  </si>
  <si>
    <t>Buyer Dia</t>
  </si>
  <si>
    <t>SLI250318RB-14K</t>
  </si>
  <si>
    <t>K0673B01 OV H 6.75"</t>
  </si>
  <si>
    <t>Memo#6549</t>
  </si>
  <si>
    <t>14K WG</t>
  </si>
  <si>
    <t>14K YG</t>
  </si>
  <si>
    <t>1.65mm
1.70mm
2.80mm</t>
  </si>
  <si>
    <t>W
W
W</t>
  </si>
  <si>
    <t>24pcs
38pcs
3pcs</t>
  </si>
  <si>
    <t>SLI250310RB -14K</t>
  </si>
  <si>
    <t>K01695TN02 C5 18"</t>
  </si>
  <si>
    <t>Memo#6493</t>
  </si>
  <si>
    <t>W</t>
  </si>
  <si>
    <t>SLI250311RB-14K</t>
  </si>
  <si>
    <t>K0038B519 OV H 6.75"</t>
  </si>
  <si>
    <t>Memo#6492</t>
  </si>
  <si>
    <t>K0038B169 OV 6.75"</t>
  </si>
  <si>
    <t>K0038B462 OV H 6.75"</t>
  </si>
  <si>
    <t>K0038B513 OV H 6.75"</t>
  </si>
  <si>
    <t>K0038B42 OV F 6.75"</t>
  </si>
  <si>
    <t>K0038B43 OV F 7.5"</t>
  </si>
  <si>
    <t>K0038B531 OV F 6.75"</t>
  </si>
  <si>
    <t>K0038B531 OV F 7.5"</t>
  </si>
  <si>
    <t>K0038B520 OV F 6.75"</t>
  </si>
  <si>
    <t>14K RG</t>
  </si>
  <si>
    <t>K0304B03 OV F 6.75"</t>
  </si>
  <si>
    <t>SLI250317RB-14K</t>
  </si>
  <si>
    <t>K01419B01 OV F 6.75"</t>
  </si>
  <si>
    <t>Memo#6541</t>
  </si>
  <si>
    <t>SLI250326RM-14K</t>
  </si>
  <si>
    <t>Mounting</t>
  </si>
  <si>
    <t>K0038B91 OV F 7.5"</t>
  </si>
  <si>
    <t>PO# Anish</t>
  </si>
  <si>
    <t>K0038B16  OV F 8"</t>
  </si>
  <si>
    <t>K0038B19  OV F 7.25"</t>
  </si>
  <si>
    <t>TOTAL</t>
  </si>
  <si>
    <t>K0038B15 OV H 6.75"</t>
  </si>
  <si>
    <t>PO# Luxury</t>
  </si>
  <si>
    <t>SLI250327RM-14K</t>
  </si>
  <si>
    <t>SLI250328RM -14K</t>
  </si>
  <si>
    <t>K0038B13  OV H 6.25"</t>
  </si>
  <si>
    <t>PO# Deepusak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</si>
</sst>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0.00"/>
    <numFmt numFmtId="170" formatCode="\$#,##0.00"/>
    <numFmt numFmtId="171" formatCode="#,#00.00\ &quot;gr&quot;"/>
    <numFmt numFmtId="172" formatCode="0.00&quot;mm&quot;"/>
    <numFmt numFmtId="173" formatCode="0.00\ &quot;mm&quot;"/>
    <numFmt numFmtId="174" formatCode="#,##0.00\ &quot;g&quot;"/>
    <numFmt numFmtId="175" formatCode="\$0.00&quot;/g&quot;"/>
    <numFmt numFmtId="176" formatCode="#,##0.000\ &quot;ct&quot;"/>
  </numFmts>
  <fonts count="35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1" fillId="0" borderId="0" applyFont="0" applyFill="0" applyBorder="0" applyAlignment="0" applyProtection="0"/>
  </cellStyleXfs>
  <cellXfs count="139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right" vertical="center"/>
    </xf>
    <xf numFmtId="169" fontId="13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0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4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5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4" fillId="3" borderId="12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vertical="center"/>
    </xf>
    <xf numFmtId="0" fontId="14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3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8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0" fontId="13" fillId="0" borderId="18" xfId="0" applyNumberFormat="1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171" fontId="13" fillId="0" borderId="20" xfId="0" applyNumberFormat="1" applyFont="1" applyBorder="1" applyAlignment="1">
      <alignment horizontal="center" vertical="center"/>
    </xf>
    <xf numFmtId="167" fontId="16" fillId="0" borderId="20" xfId="0" applyNumberFormat="1" applyFont="1" applyBorder="1" applyAlignment="1">
      <alignment horizontal="center" vertical="center"/>
    </xf>
    <xf numFmtId="170" fontId="16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right" vertical="center"/>
    </xf>
    <xf numFmtId="167" fontId="26" fillId="0" borderId="0" xfId="0" applyNumberFormat="1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27" fillId="0" borderId="0" xfId="0" applyFont="1"/>
    <xf numFmtId="0" fontId="28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7" fontId="15" fillId="0" borderId="0" xfId="0" applyNumberFormat="1" applyFont="1" applyAlignment="1">
      <alignment horizontal="right" vertical="center"/>
    </xf>
    <xf numFmtId="0" fontId="29" fillId="0" borderId="6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16" fillId="0" borderId="19" xfId="0" applyFont="1" applyBorder="1" applyAlignment="1">
      <alignment horizontal="left" vertical="center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2" fontId="14" fillId="4" borderId="12" xfId="0" applyNumberFormat="1" applyFont="1" applyFill="1" applyBorder="1" applyAlignment="1">
      <alignment horizontal="center" vertical="center" wrapText="1"/>
    </xf>
    <xf numFmtId="166" fontId="14" fillId="4" borderId="12" xfId="0" applyNumberFormat="1" applyFont="1" applyFill="1" applyBorder="1" applyAlignment="1">
      <alignment horizontal="center" vertical="center" wrapText="1"/>
    </xf>
    <xf numFmtId="167" fontId="14" fillId="4" borderId="12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2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2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73" fontId="13" fillId="0" borderId="13" xfId="0" applyNumberFormat="1" applyFont="1" applyBorder="1" applyAlignment="1">
      <alignment horizontal="center" vertical="center" wrapText="1"/>
    </xf>
    <xf numFmtId="167" fontId="30" fillId="0" borderId="0" xfId="0" applyNumberFormat="1" applyFont="1" applyAlignment="1">
      <alignment vertical="center"/>
    </xf>
    <xf numFmtId="4" fontId="15" fillId="2" borderId="0" xfId="0" applyNumberFormat="1" applyFont="1" applyFill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67" fontId="14" fillId="6" borderId="12" xfId="0" applyNumberFormat="1" applyFont="1" applyFill="1" applyBorder="1" applyAlignment="1">
      <alignment horizontal="center" vertical="center" wrapText="1"/>
    </xf>
    <xf numFmtId="174" fontId="12" fillId="0" borderId="13" xfId="0" applyNumberFormat="1" applyFont="1" applyBorder="1" applyAlignment="1">
      <alignment horizontal="center" vertical="center"/>
    </xf>
    <xf numFmtId="174" fontId="16" fillId="0" borderId="20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6" fillId="0" borderId="20" xfId="0" applyNumberFormat="1" applyFont="1" applyBorder="1" applyAlignment="1">
      <alignment horizontal="center" vertical="center"/>
    </xf>
    <xf numFmtId="167" fontId="32" fillId="0" borderId="0" xfId="0" applyNumberFormat="1" applyFont="1" applyAlignment="1">
      <alignment horizontal="right" vertical="center"/>
    </xf>
    <xf numFmtId="0" fontId="33" fillId="0" borderId="0" xfId="2" applyFont="1" applyAlignment="1">
      <alignment vertical="center"/>
    </xf>
    <xf numFmtId="170" fontId="32" fillId="0" borderId="0" xfId="0" applyNumberFormat="1" applyFont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70" fontId="32" fillId="0" borderId="0" xfId="0" applyNumberFormat="1" applyFont="1" applyAlignment="1">
      <alignment horizontal="center" vertical="center"/>
    </xf>
    <xf numFmtId="170" fontId="26" fillId="0" borderId="21" xfId="0" applyNumberFormat="1" applyFont="1" applyBorder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74" fontId="13" fillId="5" borderId="0" xfId="0" applyNumberFormat="1" applyFont="1" applyFill="1" applyBorder="1" applyAlignment="1">
      <alignment horizontal="center" vertical="center"/>
    </xf>
    <xf numFmtId="171" fontId="13" fillId="0" borderId="0" xfId="0" applyNumberFormat="1" applyFont="1" applyBorder="1" applyAlignment="1">
      <alignment horizontal="center" vertical="center"/>
    </xf>
    <xf numFmtId="167" fontId="16" fillId="0" borderId="0" xfId="0" applyNumberFormat="1" applyFont="1" applyBorder="1" applyAlignment="1">
      <alignment horizontal="center" vertical="center"/>
    </xf>
    <xf numFmtId="176" fontId="16" fillId="0" borderId="0" xfId="0" applyNumberFormat="1" applyFont="1" applyBorder="1" applyAlignment="1">
      <alignment horizontal="center" vertical="center"/>
    </xf>
    <xf numFmtId="174" fontId="16" fillId="0" borderId="0" xfId="0" applyNumberFormat="1" applyFont="1" applyBorder="1" applyAlignment="1">
      <alignment horizontal="center" vertical="center"/>
    </xf>
    <xf numFmtId="170" fontId="16" fillId="0" borderId="0" xfId="0" applyNumberFormat="1" applyFont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79"/>
  <sheetViews>
    <sheetView showGridLines="0" tabSelected="1" view="pageBreakPreview" topLeftCell="O58" zoomScaleSheetLayoutView="100" workbookViewId="0">
      <selection activeCell="P65" sqref="P65"/>
    </sheetView>
  </sheetViews>
  <sheetFormatPr defaultColWidth="8.7265625" defaultRowHeight="14"/>
  <cols>
    <col min="1" max="1" width="19.1796875" style="21" customWidth="1"/>
    <col min="2" max="2" width="12.453125" style="21" customWidth="1"/>
    <col min="3" max="3" width="10.2695312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10.26953125" style="24" customWidth="1"/>
    <col min="12" max="12" width="11.81640625" style="24" customWidth="1"/>
    <col min="13" max="14" width="8.54296875" style="24" customWidth="1"/>
    <col min="15" max="15" width="9.1796875" style="25" customWidth="1"/>
    <col min="16" max="16" width="10.26953125" style="25" customWidth="1"/>
    <col min="17" max="17" width="9.1796875" style="25" customWidth="1"/>
    <col min="18" max="20" width="12.453125" style="26" customWidth="1"/>
    <col min="21" max="22" width="8.453125" style="26" customWidth="1"/>
    <col min="23" max="23" width="9.1796875" style="26" customWidth="1"/>
    <col min="24" max="24" width="10" style="26" customWidth="1"/>
    <col min="25" max="25" width="13.453125" style="29" customWidth="1"/>
    <col min="26" max="27" width="11.26953125" style="22" customWidth="1"/>
    <col min="28" max="28" width="10.90625" style="22" customWidth="1"/>
    <col min="29" max="29" width="10.26953125" style="22" customWidth="1"/>
    <col min="30" max="30" width="8.81640625" style="22" bestFit="1" customWidth="1"/>
    <col min="31" max="16384" width="8.7265625" style="22"/>
  </cols>
  <sheetData>
    <row r="1" spans="1:31" s="1" customFormat="1" ht="31.5" customHeight="1">
      <c r="A1" s="133" t="s">
        <v>38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</row>
    <row r="2" spans="1:31" s="2" customFormat="1" ht="15.5">
      <c r="A2" s="135" t="s">
        <v>42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</row>
    <row r="3" spans="1:31" s="3" customFormat="1" ht="20">
      <c r="A3" s="137" t="s">
        <v>44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</row>
    <row r="4" spans="1:31" s="7" customFormat="1" ht="12" customHeight="1">
      <c r="A4" s="4" t="s">
        <v>0</v>
      </c>
      <c r="B4" s="41" t="s">
        <v>38</v>
      </c>
      <c r="C4" s="41"/>
      <c r="D4" s="41"/>
      <c r="E4" s="41"/>
      <c r="F4" s="42"/>
      <c r="G4" s="42"/>
      <c r="H4" s="42"/>
      <c r="I4" s="42"/>
      <c r="J4" s="42"/>
      <c r="K4" s="11"/>
      <c r="L4" s="5" t="s">
        <v>26</v>
      </c>
      <c r="M4" s="6"/>
      <c r="N4" s="6"/>
      <c r="O4" s="6"/>
      <c r="P4" s="6"/>
      <c r="Q4" s="6" t="s">
        <v>70</v>
      </c>
      <c r="R4" s="6"/>
      <c r="S4" s="6"/>
      <c r="T4" s="6"/>
      <c r="U4" s="6"/>
      <c r="V4" s="6"/>
      <c r="W4" s="72"/>
      <c r="X4" s="6"/>
      <c r="Y4" s="6"/>
      <c r="Z4" s="7" t="s">
        <v>60</v>
      </c>
      <c r="AA4" s="7">
        <v>0.24</v>
      </c>
    </row>
    <row r="5" spans="1:31" s="7" customFormat="1" ht="12" customHeight="1">
      <c r="A5" s="8"/>
      <c r="B5" s="38" t="s">
        <v>43</v>
      </c>
      <c r="C5" s="38"/>
      <c r="D5" s="38"/>
      <c r="E5" s="38"/>
      <c r="F5" s="71"/>
      <c r="G5" s="71"/>
      <c r="H5" s="71"/>
      <c r="I5" s="71"/>
      <c r="J5" s="71"/>
      <c r="K5" s="14"/>
      <c r="L5" s="5" t="s">
        <v>27</v>
      </c>
      <c r="M5" s="6"/>
      <c r="N5" s="6"/>
      <c r="O5" s="81"/>
      <c r="P5" s="81"/>
      <c r="Q5" s="81"/>
      <c r="R5" s="6"/>
      <c r="S5" s="6"/>
      <c r="T5" s="6"/>
      <c r="U5" s="6"/>
      <c r="V5" s="6"/>
      <c r="W5" s="6"/>
      <c r="X5" s="6"/>
      <c r="Y5" s="6"/>
    </row>
    <row r="6" spans="1:31" s="7" customFormat="1" ht="12" customHeight="1">
      <c r="A6" s="8"/>
      <c r="B6" s="38" t="s">
        <v>39</v>
      </c>
      <c r="C6" s="38"/>
      <c r="D6" s="38"/>
      <c r="E6" s="38"/>
      <c r="F6" s="71"/>
      <c r="G6" s="71"/>
      <c r="H6" s="71"/>
      <c r="I6" s="71"/>
      <c r="J6" s="71"/>
      <c r="K6" s="14"/>
      <c r="L6" s="4" t="s">
        <v>40</v>
      </c>
      <c r="M6" s="35"/>
      <c r="N6" s="10"/>
      <c r="O6" s="35"/>
      <c r="P6" s="35"/>
      <c r="Q6" s="35"/>
      <c r="R6" s="35"/>
      <c r="S6" s="35"/>
      <c r="T6" s="35"/>
      <c r="U6" s="35"/>
      <c r="V6" s="35"/>
      <c r="W6" s="10"/>
      <c r="X6" s="10"/>
      <c r="Y6" s="10"/>
    </row>
    <row r="7" spans="1:31" s="7" customFormat="1" ht="12" customHeight="1">
      <c r="A7" s="12"/>
      <c r="B7" s="39" t="s">
        <v>19</v>
      </c>
      <c r="C7" s="39"/>
      <c r="D7" s="39"/>
      <c r="E7" s="39"/>
      <c r="F7" s="40"/>
      <c r="G7" s="40"/>
      <c r="H7" s="40"/>
      <c r="I7" s="40"/>
      <c r="J7" s="40"/>
      <c r="K7" s="20"/>
      <c r="L7" s="12"/>
      <c r="M7" s="39"/>
      <c r="N7" s="13"/>
      <c r="O7" s="39"/>
      <c r="P7" s="39"/>
      <c r="Q7" s="39"/>
      <c r="R7" s="39"/>
      <c r="S7" s="39"/>
      <c r="T7" s="39"/>
      <c r="U7" s="39"/>
      <c r="V7" s="39"/>
      <c r="W7" s="13"/>
      <c r="X7" s="13"/>
      <c r="Y7" s="13"/>
    </row>
    <row r="8" spans="1:31" s="7" customFormat="1" ht="12" customHeight="1">
      <c r="A8" s="4" t="s">
        <v>1</v>
      </c>
      <c r="B8" s="41" t="s">
        <v>71</v>
      </c>
      <c r="C8" s="41"/>
      <c r="D8" s="41"/>
      <c r="E8" s="41"/>
      <c r="F8" s="41"/>
      <c r="G8" s="41"/>
      <c r="H8" s="41"/>
      <c r="I8" s="41"/>
      <c r="J8" s="41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15"/>
      <c r="W8" s="6"/>
      <c r="X8" s="6"/>
      <c r="Y8" s="6"/>
    </row>
    <row r="9" spans="1:31" s="7" customFormat="1" ht="12" customHeight="1">
      <c r="A9" s="8"/>
      <c r="B9" s="38" t="s">
        <v>51</v>
      </c>
      <c r="C9" s="38"/>
      <c r="D9" s="38"/>
      <c r="E9" s="38"/>
      <c r="F9" s="38"/>
      <c r="G9" s="38"/>
      <c r="H9" s="38"/>
      <c r="I9" s="38"/>
      <c r="J9" s="38"/>
      <c r="K9" s="14"/>
      <c r="L9" s="35" t="s">
        <v>30</v>
      </c>
      <c r="M9" s="35"/>
      <c r="N9" s="10"/>
      <c r="O9" s="10" t="s">
        <v>31</v>
      </c>
      <c r="P9" s="10"/>
      <c r="Q9" s="10"/>
      <c r="R9" s="35"/>
      <c r="S9" s="35"/>
      <c r="T9" s="35"/>
      <c r="U9" s="35"/>
      <c r="V9" s="35"/>
      <c r="W9" s="10"/>
      <c r="X9" s="10"/>
      <c r="Y9" s="10"/>
    </row>
    <row r="10" spans="1:31" s="7" customFormat="1" ht="12" customHeight="1">
      <c r="A10" s="8"/>
      <c r="B10" s="38"/>
      <c r="C10" s="38"/>
      <c r="D10" s="38"/>
      <c r="E10" s="38"/>
      <c r="F10" s="38"/>
      <c r="G10" s="38"/>
      <c r="H10" s="38"/>
      <c r="I10" s="38"/>
      <c r="J10" s="38"/>
      <c r="K10" s="14"/>
      <c r="L10" s="7" t="s">
        <v>32</v>
      </c>
      <c r="R10" s="73"/>
      <c r="S10" s="73"/>
      <c r="T10" s="73"/>
      <c r="U10" s="73"/>
      <c r="V10" s="73"/>
      <c r="W10" s="74"/>
      <c r="X10" s="16"/>
    </row>
    <row r="11" spans="1:31" s="7" customFormat="1" ht="12" customHeight="1">
      <c r="A11" s="12"/>
      <c r="B11" s="39"/>
      <c r="C11" s="39"/>
      <c r="D11" s="39"/>
      <c r="E11" s="39"/>
      <c r="F11" s="39"/>
      <c r="G11" s="39"/>
      <c r="H11" s="39"/>
      <c r="I11" s="39"/>
      <c r="J11" s="39"/>
      <c r="K11" s="20"/>
      <c r="L11" s="7" t="s">
        <v>2</v>
      </c>
      <c r="O11" s="82"/>
      <c r="P11" s="82"/>
      <c r="Q11" s="82"/>
      <c r="W11" s="16"/>
      <c r="X11" s="16"/>
    </row>
    <row r="12" spans="1:31" s="7" customFormat="1" ht="12" customHeight="1">
      <c r="A12" s="17"/>
      <c r="B12" s="75" t="s">
        <v>33</v>
      </c>
      <c r="C12" s="18"/>
      <c r="D12" s="18"/>
      <c r="E12" s="18"/>
      <c r="F12" s="18"/>
      <c r="G12" s="5"/>
      <c r="H12" s="77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3"/>
    </row>
    <row r="13" spans="1:31" s="7" customFormat="1" ht="12" customHeight="1">
      <c r="A13" s="5"/>
      <c r="B13" s="76" t="s">
        <v>41</v>
      </c>
      <c r="C13" s="6"/>
      <c r="D13" s="6"/>
      <c r="E13" s="6"/>
      <c r="F13" s="6"/>
      <c r="G13" s="5"/>
      <c r="H13" s="76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15"/>
      <c r="W13" s="6"/>
      <c r="X13" s="6"/>
      <c r="Y13" s="6"/>
      <c r="AA13" s="7" t="s">
        <v>58</v>
      </c>
      <c r="AB13" s="7">
        <v>73</v>
      </c>
    </row>
    <row r="14" spans="1:31" ht="16" customHeight="1">
      <c r="A14" s="50" t="s">
        <v>72</v>
      </c>
      <c r="K14" s="45"/>
      <c r="L14" s="45"/>
      <c r="M14" s="45"/>
      <c r="N14" s="45"/>
      <c r="X14" s="46"/>
      <c r="Y14" s="80"/>
      <c r="AA14" s="22" t="s">
        <v>59</v>
      </c>
      <c r="AB14" s="22">
        <v>171.33</v>
      </c>
    </row>
    <row r="15" spans="1:31" s="89" customFormat="1" ht="42">
      <c r="A15" s="84" t="s">
        <v>4</v>
      </c>
      <c r="B15" s="85" t="s">
        <v>5</v>
      </c>
      <c r="C15" s="85" t="s">
        <v>23</v>
      </c>
      <c r="D15" s="85" t="s">
        <v>45</v>
      </c>
      <c r="E15" s="85" t="s">
        <v>46</v>
      </c>
      <c r="F15" s="85" t="s">
        <v>6</v>
      </c>
      <c r="G15" s="85" t="s">
        <v>7</v>
      </c>
      <c r="H15" s="86" t="s">
        <v>8</v>
      </c>
      <c r="I15" s="86" t="s">
        <v>47</v>
      </c>
      <c r="J15" s="86" t="s">
        <v>9</v>
      </c>
      <c r="K15" s="87" t="s">
        <v>14</v>
      </c>
      <c r="L15" s="87" t="s">
        <v>20</v>
      </c>
      <c r="M15" s="87" t="s">
        <v>22</v>
      </c>
      <c r="N15" s="87" t="s">
        <v>21</v>
      </c>
      <c r="O15" s="88" t="s">
        <v>10</v>
      </c>
      <c r="P15" s="88" t="s">
        <v>49</v>
      </c>
      <c r="Q15" s="105" t="s">
        <v>61</v>
      </c>
      <c r="R15" s="43" t="s">
        <v>50</v>
      </c>
      <c r="S15" s="43" t="s">
        <v>54</v>
      </c>
      <c r="T15" s="43" t="s">
        <v>68</v>
      </c>
      <c r="U15" s="43" t="s">
        <v>13</v>
      </c>
      <c r="V15" s="43" t="s">
        <v>52</v>
      </c>
      <c r="W15" s="43" t="s">
        <v>48</v>
      </c>
      <c r="X15" s="43" t="s">
        <v>15</v>
      </c>
      <c r="Y15" s="47" t="s">
        <v>12</v>
      </c>
      <c r="AA15" s="89" t="s">
        <v>55</v>
      </c>
      <c r="AB15" s="89" t="s">
        <v>56</v>
      </c>
      <c r="AC15" s="89" t="s">
        <v>57</v>
      </c>
      <c r="AD15" s="89" t="s">
        <v>66</v>
      </c>
      <c r="AE15" s="89" t="s">
        <v>67</v>
      </c>
    </row>
    <row r="16" spans="1:31" s="27" customFormat="1" ht="28">
      <c r="A16" s="91" t="s">
        <v>81</v>
      </c>
      <c r="B16" s="90" t="s">
        <v>82</v>
      </c>
      <c r="C16" s="90"/>
      <c r="D16" s="90" t="s">
        <v>83</v>
      </c>
      <c r="E16" s="90"/>
      <c r="F16" s="90" t="s">
        <v>76</v>
      </c>
      <c r="G16" s="92">
        <v>5</v>
      </c>
      <c r="H16" s="101">
        <v>49.680000000000007</v>
      </c>
      <c r="I16" s="101">
        <v>2.9499999999999997</v>
      </c>
      <c r="J16" s="101"/>
      <c r="K16" s="102">
        <f>H16-I16-J16</f>
        <v>46.730000000000004</v>
      </c>
      <c r="L16" s="94">
        <v>1.5</v>
      </c>
      <c r="M16" s="94" t="s">
        <v>84</v>
      </c>
      <c r="N16" s="95">
        <v>226</v>
      </c>
      <c r="O16" s="104">
        <v>8</v>
      </c>
      <c r="P16" s="108">
        <v>14.735000000000001</v>
      </c>
      <c r="Q16" s="106">
        <f>K16*IF(LEFT(F16,3)="10K",0.417*1.07,IF(LEFT(F16,3)="14K",0.585*1.05,IF(LEFT(F16,3)="18K",0.75*1.05,0)))</f>
        <v>28.703902500000002</v>
      </c>
      <c r="R16" s="34"/>
      <c r="S16" s="34"/>
      <c r="T16" s="34">
        <f>G16*N16*0.02</f>
        <v>22.6</v>
      </c>
      <c r="U16" s="34"/>
      <c r="V16" s="34">
        <f>IF(RIGHT(F16,2)="WG",K16*$AA$4,IF(OR(RIGHT(F16,3)="WRG",RIGHT(F16,3)="WYG",RIGHT(F16,3)="WYR"),K16*$AA$4+3*G16,0))</f>
        <v>11.215200000000001</v>
      </c>
      <c r="W16" s="34"/>
      <c r="X16" s="34">
        <f>G16*N16*0.3</f>
        <v>339</v>
      </c>
      <c r="Y16" s="34">
        <f t="shared" ref="Y16" si="0">K16*O16</f>
        <v>373.84000000000003</v>
      </c>
      <c r="Z16" s="27">
        <f>2*K16</f>
        <v>93.460000000000008</v>
      </c>
      <c r="AA16" s="98">
        <f>(SUM(R16:X16)+AE16)-Z16</f>
        <v>653.1952</v>
      </c>
      <c r="AB16" s="98">
        <f>Q16*$AB$13+P16*$AB$14</f>
        <v>4619.9324324999998</v>
      </c>
      <c r="AC16" s="98">
        <f t="shared" ref="AC16" si="1">SUM(AA16:AB16)</f>
        <v>5273.1276324999999</v>
      </c>
      <c r="AE16" s="27">
        <f>IF(AD16&gt;0,AD16*K16,Y16)</f>
        <v>373.84000000000003</v>
      </c>
    </row>
    <row r="17" spans="1:31" s="27" customFormat="1" ht="28.5" thickBot="1">
      <c r="A17" s="91">
        <v>1</v>
      </c>
      <c r="B17" s="90" t="s">
        <v>82</v>
      </c>
      <c r="C17" s="90"/>
      <c r="D17" s="90" t="s">
        <v>83</v>
      </c>
      <c r="E17" s="90"/>
      <c r="F17" s="90" t="s">
        <v>77</v>
      </c>
      <c r="G17" s="92">
        <v>3</v>
      </c>
      <c r="H17" s="101">
        <v>29.35</v>
      </c>
      <c r="I17" s="101">
        <v>1.7799999999999998</v>
      </c>
      <c r="J17" s="101"/>
      <c r="K17" s="102">
        <f>H17-I17-J17</f>
        <v>27.57</v>
      </c>
      <c r="L17" s="94">
        <v>1.5</v>
      </c>
      <c r="M17" s="94" t="s">
        <v>84</v>
      </c>
      <c r="N17" s="95">
        <v>226</v>
      </c>
      <c r="O17" s="104">
        <v>8</v>
      </c>
      <c r="P17" s="108">
        <v>8.8849999999999998</v>
      </c>
      <c r="Q17" s="106">
        <f>K17*IF(LEFT(F17,3)="10K",0.417*1.07,IF(LEFT(F17,3)="14K",0.585*1.05,IF(LEFT(F17,3)="18K",0.75*1.05,0)))</f>
        <v>16.934872500000001</v>
      </c>
      <c r="R17" s="34"/>
      <c r="S17" s="34"/>
      <c r="T17" s="34">
        <f>G17*N17*0.02</f>
        <v>13.56</v>
      </c>
      <c r="U17" s="34"/>
      <c r="V17" s="34">
        <f>IF(RIGHT(F17,2)="WG",K17*$AA$4,IF(OR(RIGHT(F17,3)="WRG",RIGHT(F17,3)="WYG",RIGHT(F17,3)="WYR"),K17*$AA$4+3*G17,0))</f>
        <v>0</v>
      </c>
      <c r="W17" s="34"/>
      <c r="X17" s="34">
        <f>G17*N17*0.3</f>
        <v>203.4</v>
      </c>
      <c r="Y17" s="34">
        <f t="shared" ref="Y17" si="2">K17*O17</f>
        <v>220.56</v>
      </c>
      <c r="Z17" s="27">
        <f>2*K17</f>
        <v>55.14</v>
      </c>
      <c r="AA17" s="98">
        <f>(SUM(R17:X17)+AE17)-Z17</f>
        <v>382.38</v>
      </c>
      <c r="AB17" s="98">
        <f>Q17*$AB$13+P17*$AB$14</f>
        <v>2758.5127425000001</v>
      </c>
      <c r="AC17" s="98">
        <f t="shared" ref="AC17" si="3">SUM(AA17:AB17)</f>
        <v>3140.8927425000002</v>
      </c>
      <c r="AE17" s="27">
        <f>IF(AD17&gt;0,AD17*K17,Y17)</f>
        <v>220.56</v>
      </c>
    </row>
    <row r="18" spans="1:31" s="28" customFormat="1" ht="16" customHeight="1">
      <c r="A18" s="83" t="s">
        <v>69</v>
      </c>
      <c r="B18" s="61"/>
      <c r="C18" s="61"/>
      <c r="D18" s="61"/>
      <c r="E18" s="61"/>
      <c r="F18" s="61"/>
      <c r="G18" s="62">
        <f>SUM(G16:G17)</f>
        <v>8</v>
      </c>
      <c r="H18" s="103"/>
      <c r="I18" s="103"/>
      <c r="J18" s="103"/>
      <c r="K18" s="103">
        <f>SUM(K16:K17)</f>
        <v>74.300000000000011</v>
      </c>
      <c r="L18" s="63"/>
      <c r="M18" s="63"/>
      <c r="N18" s="63"/>
      <c r="O18" s="64"/>
      <c r="P18" s="109">
        <f t="shared" ref="P18:Y18" si="4">SUM(P16:P17)</f>
        <v>23.62</v>
      </c>
      <c r="Q18" s="107">
        <f t="shared" si="4"/>
        <v>45.638775000000003</v>
      </c>
      <c r="R18" s="65">
        <f t="shared" si="4"/>
        <v>0</v>
      </c>
      <c r="S18" s="65">
        <f t="shared" si="4"/>
        <v>0</v>
      </c>
      <c r="T18" s="65">
        <f t="shared" si="4"/>
        <v>36.160000000000004</v>
      </c>
      <c r="U18" s="65">
        <f t="shared" si="4"/>
        <v>0</v>
      </c>
      <c r="V18" s="65">
        <f t="shared" si="4"/>
        <v>11.215200000000001</v>
      </c>
      <c r="W18" s="65">
        <f t="shared" si="4"/>
        <v>0</v>
      </c>
      <c r="X18" s="65">
        <f t="shared" si="4"/>
        <v>542.4</v>
      </c>
      <c r="Y18" s="65">
        <f t="shared" si="4"/>
        <v>594.40000000000009</v>
      </c>
      <c r="AA18" s="99"/>
      <c r="AB18" s="99"/>
      <c r="AC18" s="99"/>
      <c r="AD18" s="99"/>
      <c r="AE18" s="99"/>
    </row>
    <row r="19" spans="1:31" ht="16" customHeight="1">
      <c r="A19" s="50" t="s">
        <v>72</v>
      </c>
      <c r="K19" s="45"/>
      <c r="L19" s="45"/>
      <c r="M19" s="45"/>
      <c r="N19" s="45"/>
      <c r="X19" s="46"/>
      <c r="Y19" s="80"/>
    </row>
    <row r="20" spans="1:31" s="89" customFormat="1" ht="42">
      <c r="A20" s="84" t="s">
        <v>4</v>
      </c>
      <c r="B20" s="85" t="s">
        <v>5</v>
      </c>
      <c r="C20" s="85" t="s">
        <v>23</v>
      </c>
      <c r="D20" s="85" t="s">
        <v>45</v>
      </c>
      <c r="E20" s="85" t="s">
        <v>46</v>
      </c>
      <c r="F20" s="85" t="s">
        <v>6</v>
      </c>
      <c r="G20" s="85" t="s">
        <v>7</v>
      </c>
      <c r="H20" s="86" t="s">
        <v>8</v>
      </c>
      <c r="I20" s="86" t="s">
        <v>47</v>
      </c>
      <c r="J20" s="86" t="s">
        <v>9</v>
      </c>
      <c r="K20" s="87" t="s">
        <v>14</v>
      </c>
      <c r="L20" s="87" t="s">
        <v>20</v>
      </c>
      <c r="M20" s="87" t="s">
        <v>22</v>
      </c>
      <c r="N20" s="87" t="s">
        <v>21</v>
      </c>
      <c r="O20" s="88" t="s">
        <v>10</v>
      </c>
      <c r="P20" s="88" t="s">
        <v>49</v>
      </c>
      <c r="Q20" s="105" t="s">
        <v>61</v>
      </c>
      <c r="R20" s="43" t="s">
        <v>50</v>
      </c>
      <c r="S20" s="43" t="s">
        <v>54</v>
      </c>
      <c r="T20" s="43" t="s">
        <v>68</v>
      </c>
      <c r="U20" s="43" t="s">
        <v>13</v>
      </c>
      <c r="V20" s="43" t="s">
        <v>52</v>
      </c>
      <c r="W20" s="43" t="s">
        <v>48</v>
      </c>
      <c r="X20" s="43" t="s">
        <v>15</v>
      </c>
      <c r="Y20" s="47" t="s">
        <v>12</v>
      </c>
    </row>
    <row r="21" spans="1:31" s="27" customFormat="1" ht="28">
      <c r="A21" s="91" t="s">
        <v>85</v>
      </c>
      <c r="B21" s="90" t="s">
        <v>86</v>
      </c>
      <c r="C21" s="90"/>
      <c r="D21" s="90" t="s">
        <v>87</v>
      </c>
      <c r="E21" s="90"/>
      <c r="F21" s="90" t="s">
        <v>76</v>
      </c>
      <c r="G21" s="92">
        <v>13</v>
      </c>
      <c r="H21" s="101">
        <v>88.139999999999986</v>
      </c>
      <c r="I21" s="101">
        <v>5.0599999999999996</v>
      </c>
      <c r="J21" s="101">
        <v>4.1599999999999993</v>
      </c>
      <c r="K21" s="102">
        <f>H21-I21-J21</f>
        <v>78.919999999999987</v>
      </c>
      <c r="L21" s="94">
        <v>2.35</v>
      </c>
      <c r="M21" s="94" t="s">
        <v>84</v>
      </c>
      <c r="N21" s="95">
        <v>34</v>
      </c>
      <c r="O21" s="104">
        <v>9</v>
      </c>
      <c r="P21" s="108">
        <v>25.224999999999998</v>
      </c>
      <c r="Q21" s="106">
        <f>K21*IF(LEFT(F21,3)="10K",0.417*1.07,IF(LEFT(F21,3)="14K",0.585*1.05,IF(LEFT(F21,3)="18K",0.75*1.05,0)))</f>
        <v>48.476609999999987</v>
      </c>
      <c r="R21" s="34"/>
      <c r="S21" s="34"/>
      <c r="T21" s="34">
        <f t="shared" ref="T21:T32" si="5">G21*N21*0.035</f>
        <v>15.47</v>
      </c>
      <c r="U21" s="34">
        <f t="shared" ref="U21:U32" si="6">G21*(2+2)</f>
        <v>52</v>
      </c>
      <c r="V21" s="34">
        <f>IF(RIGHT(F21,2)="WG",K21*$AA$4,IF(OR(RIGHT(F21,3)="WRG",RIGHT(F21,3)="WYG",RIGHT(F21,3)="WYR"),K21*$AA$4+3*G21,0))</f>
        <v>18.940799999999996</v>
      </c>
      <c r="W21" s="34"/>
      <c r="X21" s="34">
        <f>G21*N21*0.3</f>
        <v>132.6</v>
      </c>
      <c r="Y21" s="34">
        <f t="shared" ref="Y21:Y35" si="7">K21*O21</f>
        <v>710.27999999999986</v>
      </c>
      <c r="Z21" s="27">
        <f t="shared" ref="Z21:Z36" si="8">2*K21</f>
        <v>157.83999999999997</v>
      </c>
      <c r="AA21" s="98">
        <f t="shared" ref="AA21:AA36" si="9">(SUM(R21:X21)+AE21)-Z21</f>
        <v>771.45079999999984</v>
      </c>
      <c r="AB21" s="98">
        <f t="shared" ref="AB21:AB36" si="10">Q21*$AB$13+P21*$AB$14</f>
        <v>7860.5917799999988</v>
      </c>
      <c r="AC21" s="98">
        <f t="shared" ref="AC21" si="11">SUM(AA21:AB21)</f>
        <v>8632.0425799999994</v>
      </c>
      <c r="AE21" s="27">
        <f t="shared" ref="AE21:AE36" si="12">IF(AD21&gt;0,AD21*K21,Y21)</f>
        <v>710.27999999999986</v>
      </c>
    </row>
    <row r="22" spans="1:31" s="27" customFormat="1" ht="28">
      <c r="A22" s="91">
        <v>1</v>
      </c>
      <c r="B22" s="90" t="s">
        <v>86</v>
      </c>
      <c r="C22" s="93"/>
      <c r="D22" s="93" t="s">
        <v>87</v>
      </c>
      <c r="E22" s="90"/>
      <c r="F22" s="90" t="s">
        <v>77</v>
      </c>
      <c r="G22" s="92">
        <v>4</v>
      </c>
      <c r="H22" s="101">
        <v>25.939999999999998</v>
      </c>
      <c r="I22" s="101">
        <v>1.48</v>
      </c>
      <c r="J22" s="101">
        <v>1.28</v>
      </c>
      <c r="K22" s="102">
        <f>H22-I22-J22</f>
        <v>23.179999999999996</v>
      </c>
      <c r="L22" s="94">
        <v>2.35</v>
      </c>
      <c r="M22" s="94" t="s">
        <v>84</v>
      </c>
      <c r="N22" s="95">
        <v>34</v>
      </c>
      <c r="O22" s="104">
        <v>9</v>
      </c>
      <c r="P22" s="108">
        <v>7.4650000000000007</v>
      </c>
      <c r="Q22" s="106">
        <f>K22*IF(LEFT(F22,3)="10K",0.417*1.07,IF(LEFT(F22,3)="14K",0.585*1.05,IF(LEFT(F22,3)="18K",0.75*1.05,0)))</f>
        <v>14.238314999999997</v>
      </c>
      <c r="R22" s="34"/>
      <c r="S22" s="34"/>
      <c r="T22" s="34">
        <f t="shared" si="5"/>
        <v>4.7600000000000007</v>
      </c>
      <c r="U22" s="34">
        <f t="shared" si="6"/>
        <v>16</v>
      </c>
      <c r="V22" s="34"/>
      <c r="W22" s="34"/>
      <c r="X22" s="34">
        <f>G22*N22*0.3</f>
        <v>40.799999999999997</v>
      </c>
      <c r="Y22" s="34">
        <f t="shared" ref="Y22" si="13">K22*O22</f>
        <v>208.61999999999998</v>
      </c>
      <c r="Z22" s="27">
        <f t="shared" si="8"/>
        <v>46.359999999999992</v>
      </c>
      <c r="AA22" s="98">
        <f t="shared" si="9"/>
        <v>223.81999999999996</v>
      </c>
      <c r="AB22" s="98">
        <f t="shared" si="10"/>
        <v>2318.3754450000001</v>
      </c>
      <c r="AC22" s="98">
        <f t="shared" ref="AC22:AC36" si="14">SUM(AA22:AB22)</f>
        <v>2542.1954450000003</v>
      </c>
      <c r="AE22" s="27">
        <f t="shared" si="12"/>
        <v>208.61999999999998</v>
      </c>
    </row>
    <row r="23" spans="1:31" s="27" customFormat="1" ht="28">
      <c r="A23" s="91">
        <v>2</v>
      </c>
      <c r="B23" s="93" t="s">
        <v>88</v>
      </c>
      <c r="C23" s="93"/>
      <c r="D23" s="90" t="s">
        <v>87</v>
      </c>
      <c r="E23" s="90"/>
      <c r="F23" s="90" t="s">
        <v>76</v>
      </c>
      <c r="G23" s="92">
        <v>7</v>
      </c>
      <c r="H23" s="101">
        <v>92.18</v>
      </c>
      <c r="I23" s="101">
        <v>5.5600000000000005</v>
      </c>
      <c r="J23" s="101">
        <v>3.08</v>
      </c>
      <c r="K23" s="102">
        <f t="shared" ref="K23:K35" si="15">H23-I23-J23</f>
        <v>83.54</v>
      </c>
      <c r="L23" s="94">
        <v>3.2</v>
      </c>
      <c r="M23" s="94" t="s">
        <v>84</v>
      </c>
      <c r="N23" s="95">
        <v>30</v>
      </c>
      <c r="O23" s="104">
        <v>9</v>
      </c>
      <c r="P23" s="108">
        <v>27.835000000000001</v>
      </c>
      <c r="Q23" s="106">
        <f t="shared" ref="Q23:Q35" si="16">K23*IF(LEFT(F23,3)="10K",0.417*1.07,IF(LEFT(F23,3)="14K",0.585*1.05,IF(LEFT(F23,3)="18K",0.75*1.05,0)))</f>
        <v>51.314444999999999</v>
      </c>
      <c r="R23" s="34"/>
      <c r="S23" s="34"/>
      <c r="T23" s="34">
        <f t="shared" si="5"/>
        <v>7.3500000000000005</v>
      </c>
      <c r="U23" s="34">
        <f t="shared" si="6"/>
        <v>28</v>
      </c>
      <c r="V23" s="34">
        <f>IF(RIGHT(F23,2)="WG",K23*$AA$4,IF(OR(RIGHT(F23,3)="WRG",RIGHT(F23,3)="WYG",RIGHT(F23,3)="WYR"),K23*$AA$4+3*G23,0))</f>
        <v>20.049600000000002</v>
      </c>
      <c r="W23" s="34"/>
      <c r="X23" s="34">
        <f>G23*N23*0.5</f>
        <v>105</v>
      </c>
      <c r="Y23" s="34">
        <f t="shared" si="7"/>
        <v>751.86</v>
      </c>
      <c r="Z23" s="27">
        <f t="shared" si="8"/>
        <v>167.08</v>
      </c>
      <c r="AA23" s="98">
        <f t="shared" si="9"/>
        <v>745.17960000000005</v>
      </c>
      <c r="AB23" s="98">
        <f t="shared" si="10"/>
        <v>8514.9250350000002</v>
      </c>
      <c r="AC23" s="98">
        <f t="shared" si="14"/>
        <v>9260.1046349999997</v>
      </c>
      <c r="AE23" s="27">
        <f t="shared" si="12"/>
        <v>751.86</v>
      </c>
    </row>
    <row r="24" spans="1:31" s="27" customFormat="1" ht="28">
      <c r="A24" s="91">
        <v>2</v>
      </c>
      <c r="B24" s="93" t="s">
        <v>88</v>
      </c>
      <c r="C24" s="93"/>
      <c r="D24" s="90" t="s">
        <v>87</v>
      </c>
      <c r="E24" s="90"/>
      <c r="F24" s="90" t="s">
        <v>77</v>
      </c>
      <c r="G24" s="92">
        <v>4</v>
      </c>
      <c r="H24" s="101">
        <v>51.930000000000007</v>
      </c>
      <c r="I24" s="101">
        <v>3.17</v>
      </c>
      <c r="J24" s="101">
        <v>1.76</v>
      </c>
      <c r="K24" s="102">
        <f t="shared" ref="K24" si="17">H24-I24-J24</f>
        <v>47.000000000000007</v>
      </c>
      <c r="L24" s="94">
        <v>3.2</v>
      </c>
      <c r="M24" s="94" t="s">
        <v>84</v>
      </c>
      <c r="N24" s="95">
        <v>30</v>
      </c>
      <c r="O24" s="104">
        <v>9</v>
      </c>
      <c r="P24" s="108">
        <v>15.905000000000001</v>
      </c>
      <c r="Q24" s="106">
        <f t="shared" ref="Q24" si="18">K24*IF(LEFT(F24,3)="10K",0.417*1.07,IF(LEFT(F24,3)="14K",0.585*1.05,IF(LEFT(F24,3)="18K",0.75*1.05,0)))</f>
        <v>28.869750000000003</v>
      </c>
      <c r="R24" s="34"/>
      <c r="S24" s="34"/>
      <c r="T24" s="34">
        <f t="shared" si="5"/>
        <v>4.2</v>
      </c>
      <c r="U24" s="34">
        <f t="shared" si="6"/>
        <v>16</v>
      </c>
      <c r="V24" s="34"/>
      <c r="W24" s="34"/>
      <c r="X24" s="34">
        <f>G24*N24*0.5</f>
        <v>60</v>
      </c>
      <c r="Y24" s="34">
        <f t="shared" ref="Y24" si="19">K24*O24</f>
        <v>423.00000000000006</v>
      </c>
      <c r="Z24" s="27">
        <f t="shared" si="8"/>
        <v>94.000000000000014</v>
      </c>
      <c r="AA24" s="98">
        <f t="shared" si="9"/>
        <v>409.20000000000005</v>
      </c>
      <c r="AB24" s="98">
        <f t="shared" si="10"/>
        <v>4832.4954000000007</v>
      </c>
      <c r="AC24" s="98">
        <f t="shared" si="14"/>
        <v>5241.6954000000005</v>
      </c>
      <c r="AE24" s="27">
        <f t="shared" si="12"/>
        <v>423.00000000000006</v>
      </c>
    </row>
    <row r="25" spans="1:31" s="27" customFormat="1" ht="28">
      <c r="A25" s="91">
        <v>3</v>
      </c>
      <c r="B25" s="93" t="s">
        <v>89</v>
      </c>
      <c r="C25" s="93"/>
      <c r="D25" s="90" t="s">
        <v>87</v>
      </c>
      <c r="E25" s="90"/>
      <c r="F25" s="90" t="s">
        <v>76</v>
      </c>
      <c r="G25" s="92">
        <v>2</v>
      </c>
      <c r="H25" s="101">
        <v>28.02</v>
      </c>
      <c r="I25" s="101">
        <v>2.06</v>
      </c>
      <c r="J25" s="101">
        <v>0.88</v>
      </c>
      <c r="K25" s="102">
        <f t="shared" si="15"/>
        <v>25.080000000000002</v>
      </c>
      <c r="L25" s="94">
        <v>4.0999999999999996</v>
      </c>
      <c r="M25" s="94" t="s">
        <v>84</v>
      </c>
      <c r="N25" s="95">
        <v>20</v>
      </c>
      <c r="O25" s="104">
        <v>9</v>
      </c>
      <c r="P25" s="108">
        <v>10.29</v>
      </c>
      <c r="Q25" s="106">
        <f t="shared" si="16"/>
        <v>15.405390000000001</v>
      </c>
      <c r="R25" s="34"/>
      <c r="S25" s="34"/>
      <c r="T25" s="34">
        <f t="shared" si="5"/>
        <v>1.4000000000000001</v>
      </c>
      <c r="U25" s="34">
        <f t="shared" si="6"/>
        <v>8</v>
      </c>
      <c r="V25" s="34">
        <f>IF(RIGHT(F25,2)="WG",K25*$AA$4,IF(OR(RIGHT(F25,3)="WRG",RIGHT(F25,3)="WYG",RIGHT(F25,3)="WYR"),K25*$AA$4+3*G25,0))</f>
        <v>6.0192000000000005</v>
      </c>
      <c r="W25" s="34"/>
      <c r="X25" s="34">
        <f>G25*N25*0.75</f>
        <v>30</v>
      </c>
      <c r="Y25" s="34">
        <f t="shared" si="7"/>
        <v>225.72000000000003</v>
      </c>
      <c r="Z25" s="27">
        <f t="shared" si="8"/>
        <v>50.160000000000004</v>
      </c>
      <c r="AA25" s="98">
        <f t="shared" si="9"/>
        <v>220.97920000000002</v>
      </c>
      <c r="AB25" s="98">
        <f t="shared" si="10"/>
        <v>2887.57917</v>
      </c>
      <c r="AC25" s="98">
        <f t="shared" si="14"/>
        <v>3108.5583700000002</v>
      </c>
      <c r="AE25" s="27">
        <f t="shared" si="12"/>
        <v>225.72000000000003</v>
      </c>
    </row>
    <row r="26" spans="1:31" s="27" customFormat="1" ht="28">
      <c r="A26" s="91">
        <v>3</v>
      </c>
      <c r="B26" s="93" t="s">
        <v>89</v>
      </c>
      <c r="C26" s="93"/>
      <c r="D26" s="90" t="s">
        <v>87</v>
      </c>
      <c r="E26" s="90"/>
      <c r="F26" s="90" t="s">
        <v>77</v>
      </c>
      <c r="G26" s="92">
        <v>1</v>
      </c>
      <c r="H26" s="101">
        <v>13.69</v>
      </c>
      <c r="I26" s="101">
        <v>1.02</v>
      </c>
      <c r="J26" s="101">
        <v>0.44</v>
      </c>
      <c r="K26" s="102">
        <f t="shared" ref="K26" si="20">H26-I26-J26</f>
        <v>12.23</v>
      </c>
      <c r="L26" s="94">
        <v>4.0999999999999996</v>
      </c>
      <c r="M26" s="94" t="s">
        <v>84</v>
      </c>
      <c r="N26" s="95">
        <v>20</v>
      </c>
      <c r="O26" s="104">
        <v>9</v>
      </c>
      <c r="P26" s="108">
        <v>5.0999999999999996</v>
      </c>
      <c r="Q26" s="106">
        <f t="shared" ref="Q26" si="21">K26*IF(LEFT(F26,3)="10K",0.417*1.07,IF(LEFT(F26,3)="14K",0.585*1.05,IF(LEFT(F26,3)="18K",0.75*1.05,0)))</f>
        <v>7.5122774999999997</v>
      </c>
      <c r="R26" s="34"/>
      <c r="S26" s="34"/>
      <c r="T26" s="34">
        <f t="shared" si="5"/>
        <v>0.70000000000000007</v>
      </c>
      <c r="U26" s="34">
        <f t="shared" si="6"/>
        <v>4</v>
      </c>
      <c r="V26" s="34"/>
      <c r="W26" s="34"/>
      <c r="X26" s="34">
        <f>G26*N26*0.75</f>
        <v>15</v>
      </c>
      <c r="Y26" s="34">
        <f t="shared" ref="Y26" si="22">K26*O26</f>
        <v>110.07000000000001</v>
      </c>
      <c r="Z26" s="27">
        <f t="shared" si="8"/>
        <v>24.46</v>
      </c>
      <c r="AA26" s="98">
        <f t="shared" si="9"/>
        <v>105.31</v>
      </c>
      <c r="AB26" s="98">
        <f t="shared" si="10"/>
        <v>1422.1792574999999</v>
      </c>
      <c r="AC26" s="98">
        <f t="shared" si="14"/>
        <v>1527.4892574999999</v>
      </c>
      <c r="AE26" s="27">
        <f t="shared" si="12"/>
        <v>110.07000000000001</v>
      </c>
    </row>
    <row r="27" spans="1:31" s="27" customFormat="1" ht="28">
      <c r="A27" s="91">
        <v>4</v>
      </c>
      <c r="B27" s="93" t="s">
        <v>90</v>
      </c>
      <c r="C27" s="90"/>
      <c r="D27" s="90" t="s">
        <v>87</v>
      </c>
      <c r="E27" s="90"/>
      <c r="F27" s="90" t="s">
        <v>76</v>
      </c>
      <c r="G27" s="92">
        <v>2</v>
      </c>
      <c r="H27" s="101">
        <v>25.52</v>
      </c>
      <c r="I27" s="101">
        <v>1.92</v>
      </c>
      <c r="J27" s="101">
        <v>0.88</v>
      </c>
      <c r="K27" s="102">
        <f t="shared" si="15"/>
        <v>22.720000000000002</v>
      </c>
      <c r="L27" s="96">
        <v>4</v>
      </c>
      <c r="M27" s="94" t="s">
        <v>84</v>
      </c>
      <c r="N27" s="95">
        <v>20</v>
      </c>
      <c r="O27" s="104">
        <v>11</v>
      </c>
      <c r="P27" s="108">
        <v>9.5850000000000009</v>
      </c>
      <c r="Q27" s="106">
        <f t="shared" si="16"/>
        <v>13.955760000000001</v>
      </c>
      <c r="R27" s="34"/>
      <c r="S27" s="34"/>
      <c r="T27" s="34">
        <f t="shared" si="5"/>
        <v>1.4000000000000001</v>
      </c>
      <c r="U27" s="34">
        <f t="shared" si="6"/>
        <v>8</v>
      </c>
      <c r="V27" s="34">
        <f>IF(RIGHT(F27,2)="WG",K27*$AA$4,IF(OR(RIGHT(F27,3)="WRG",RIGHT(F27,3)="WYG",RIGHT(F27,3)="WYR"),K27*$AA$4+3*G27,0))</f>
        <v>5.4528000000000008</v>
      </c>
      <c r="W27" s="34"/>
      <c r="X27" s="34">
        <f>G27*N27*0.75</f>
        <v>30</v>
      </c>
      <c r="Y27" s="34">
        <f t="shared" si="7"/>
        <v>249.92000000000002</v>
      </c>
      <c r="Z27" s="27">
        <f t="shared" si="8"/>
        <v>45.440000000000005</v>
      </c>
      <c r="AA27" s="98">
        <f t="shared" si="9"/>
        <v>249.33280000000002</v>
      </c>
      <c r="AB27" s="98">
        <f t="shared" si="10"/>
        <v>2660.9685300000001</v>
      </c>
      <c r="AC27" s="98">
        <f t="shared" si="14"/>
        <v>2910.3013300000002</v>
      </c>
      <c r="AE27" s="27">
        <f t="shared" si="12"/>
        <v>249.92000000000002</v>
      </c>
    </row>
    <row r="28" spans="1:31" s="27" customFormat="1" ht="28">
      <c r="A28" s="91">
        <v>5</v>
      </c>
      <c r="B28" s="93" t="s">
        <v>91</v>
      </c>
      <c r="C28" s="90"/>
      <c r="D28" s="90" t="s">
        <v>87</v>
      </c>
      <c r="E28" s="90"/>
      <c r="F28" s="90" t="s">
        <v>77</v>
      </c>
      <c r="G28" s="92">
        <v>12</v>
      </c>
      <c r="H28" s="101">
        <v>64.789999999999992</v>
      </c>
      <c r="I28" s="101">
        <v>2.5</v>
      </c>
      <c r="J28" s="101">
        <v>3.5199999999999996</v>
      </c>
      <c r="K28" s="102">
        <f t="shared" si="15"/>
        <v>58.769999999999996</v>
      </c>
      <c r="L28" s="96">
        <v>1.5</v>
      </c>
      <c r="M28" s="94" t="s">
        <v>84</v>
      </c>
      <c r="N28" s="95">
        <v>93</v>
      </c>
      <c r="O28" s="104">
        <v>9</v>
      </c>
      <c r="P28" s="108">
        <v>15.059999999999995</v>
      </c>
      <c r="Q28" s="106">
        <f t="shared" si="16"/>
        <v>36.099472499999997</v>
      </c>
      <c r="R28" s="34"/>
      <c r="S28" s="34"/>
      <c r="T28" s="34">
        <f t="shared" si="5"/>
        <v>39.06</v>
      </c>
      <c r="U28" s="34">
        <f t="shared" si="6"/>
        <v>48</v>
      </c>
      <c r="V28" s="34"/>
      <c r="W28" s="34"/>
      <c r="X28" s="34">
        <f>G28*N28*0.3</f>
        <v>334.8</v>
      </c>
      <c r="Y28" s="34">
        <f t="shared" si="7"/>
        <v>528.92999999999995</v>
      </c>
      <c r="Z28" s="27">
        <f t="shared" si="8"/>
        <v>117.53999999999999</v>
      </c>
      <c r="AA28" s="98">
        <f t="shared" si="9"/>
        <v>833.25</v>
      </c>
      <c r="AB28" s="98">
        <f t="shared" si="10"/>
        <v>5215.491292499999</v>
      </c>
      <c r="AC28" s="98">
        <f t="shared" si="14"/>
        <v>6048.741292499999</v>
      </c>
      <c r="AE28" s="27">
        <f t="shared" si="12"/>
        <v>528.92999999999995</v>
      </c>
    </row>
    <row r="29" spans="1:31" s="27" customFormat="1" ht="28">
      <c r="A29" s="91">
        <v>6</v>
      </c>
      <c r="B29" s="93" t="s">
        <v>92</v>
      </c>
      <c r="C29" s="90"/>
      <c r="D29" s="90" t="s">
        <v>87</v>
      </c>
      <c r="E29" s="90"/>
      <c r="F29" s="90" t="s">
        <v>77</v>
      </c>
      <c r="G29" s="92">
        <v>5</v>
      </c>
      <c r="H29" s="101">
        <v>27.64</v>
      </c>
      <c r="I29" s="101">
        <v>1.4300000000000002</v>
      </c>
      <c r="J29" s="101">
        <v>1.7999999999999998</v>
      </c>
      <c r="K29" s="102">
        <f t="shared" si="15"/>
        <v>24.41</v>
      </c>
      <c r="L29" s="96">
        <v>1.5</v>
      </c>
      <c r="M29" s="94" t="s">
        <v>84</v>
      </c>
      <c r="N29" s="95">
        <v>108</v>
      </c>
      <c r="O29" s="104">
        <v>9</v>
      </c>
      <c r="P29" s="108">
        <v>7.1149999999999993</v>
      </c>
      <c r="Q29" s="106">
        <f t="shared" si="16"/>
        <v>14.9938425</v>
      </c>
      <c r="R29" s="34"/>
      <c r="S29" s="34"/>
      <c r="T29" s="34">
        <f t="shared" si="5"/>
        <v>18.900000000000002</v>
      </c>
      <c r="U29" s="34">
        <f t="shared" si="6"/>
        <v>20</v>
      </c>
      <c r="V29" s="34"/>
      <c r="W29" s="34"/>
      <c r="X29" s="34">
        <f>G29*N29*0.3</f>
        <v>162</v>
      </c>
      <c r="Y29" s="34">
        <f t="shared" si="7"/>
        <v>219.69</v>
      </c>
      <c r="Z29" s="27">
        <f t="shared" si="8"/>
        <v>48.82</v>
      </c>
      <c r="AA29" s="98">
        <f t="shared" si="9"/>
        <v>371.77000000000004</v>
      </c>
      <c r="AB29" s="98">
        <f t="shared" si="10"/>
        <v>2313.5634525</v>
      </c>
      <c r="AC29" s="98">
        <f t="shared" si="14"/>
        <v>2685.3334525</v>
      </c>
      <c r="AE29" s="27">
        <f t="shared" si="12"/>
        <v>219.69</v>
      </c>
    </row>
    <row r="30" spans="1:31" s="27" customFormat="1" ht="28">
      <c r="A30" s="91">
        <v>7</v>
      </c>
      <c r="B30" s="93" t="s">
        <v>93</v>
      </c>
      <c r="C30" s="90"/>
      <c r="D30" s="90" t="s">
        <v>87</v>
      </c>
      <c r="E30" s="90"/>
      <c r="F30" s="90" t="s">
        <v>77</v>
      </c>
      <c r="G30" s="92">
        <v>10</v>
      </c>
      <c r="H30" s="101">
        <v>68.22</v>
      </c>
      <c r="I30" s="101">
        <v>4.21</v>
      </c>
      <c r="J30" s="101">
        <v>3.1999999999999997</v>
      </c>
      <c r="K30" s="102">
        <f t="shared" si="15"/>
        <v>60.81</v>
      </c>
      <c r="L30" s="96">
        <v>2</v>
      </c>
      <c r="M30" s="94" t="s">
        <v>84</v>
      </c>
      <c r="N30" s="95">
        <v>64</v>
      </c>
      <c r="O30" s="104">
        <v>9</v>
      </c>
      <c r="P30" s="108">
        <v>21.15</v>
      </c>
      <c r="Q30" s="106">
        <f t="shared" si="16"/>
        <v>37.352542499999998</v>
      </c>
      <c r="R30" s="34"/>
      <c r="S30" s="34"/>
      <c r="T30" s="34">
        <f t="shared" si="5"/>
        <v>22.400000000000002</v>
      </c>
      <c r="U30" s="34">
        <f t="shared" si="6"/>
        <v>40</v>
      </c>
      <c r="V30" s="34"/>
      <c r="W30" s="34"/>
      <c r="X30" s="34">
        <f>G30*N30*0.3</f>
        <v>192</v>
      </c>
      <c r="Y30" s="34">
        <f t="shared" si="7"/>
        <v>547.29</v>
      </c>
      <c r="Z30" s="27">
        <f t="shared" si="8"/>
        <v>121.62</v>
      </c>
      <c r="AA30" s="98">
        <f t="shared" si="9"/>
        <v>680.06999999999994</v>
      </c>
      <c r="AB30" s="98">
        <f t="shared" si="10"/>
        <v>6350.3651024999999</v>
      </c>
      <c r="AC30" s="98">
        <f t="shared" si="14"/>
        <v>7030.4351024999996</v>
      </c>
      <c r="AE30" s="27">
        <f t="shared" si="12"/>
        <v>547.29</v>
      </c>
    </row>
    <row r="31" spans="1:31" s="27" customFormat="1" ht="28">
      <c r="A31" s="91">
        <v>8</v>
      </c>
      <c r="B31" s="93" t="s">
        <v>94</v>
      </c>
      <c r="C31" s="90"/>
      <c r="D31" s="90" t="s">
        <v>87</v>
      </c>
      <c r="E31" s="90"/>
      <c r="F31" s="90" t="s">
        <v>77</v>
      </c>
      <c r="G31" s="92">
        <v>9</v>
      </c>
      <c r="H31" s="101">
        <v>67.350000000000009</v>
      </c>
      <c r="I31" s="101">
        <v>3.84</v>
      </c>
      <c r="J31" s="101">
        <v>3.2399999999999993</v>
      </c>
      <c r="K31" s="102">
        <f t="shared" si="15"/>
        <v>60.27</v>
      </c>
      <c r="L31" s="96">
        <v>2</v>
      </c>
      <c r="M31" s="94" t="s">
        <v>84</v>
      </c>
      <c r="N31" s="95">
        <v>72</v>
      </c>
      <c r="O31" s="104">
        <v>9</v>
      </c>
      <c r="P31" s="108">
        <v>19.124999999999996</v>
      </c>
      <c r="Q31" s="106">
        <f t="shared" si="16"/>
        <v>37.020847500000002</v>
      </c>
      <c r="R31" s="34"/>
      <c r="S31" s="34"/>
      <c r="T31" s="34">
        <f t="shared" si="5"/>
        <v>22.680000000000003</v>
      </c>
      <c r="U31" s="34">
        <f t="shared" si="6"/>
        <v>36</v>
      </c>
      <c r="V31" s="34"/>
      <c r="W31" s="34"/>
      <c r="X31" s="34">
        <f>G31*N31*0.3</f>
        <v>194.4</v>
      </c>
      <c r="Y31" s="34">
        <f t="shared" si="7"/>
        <v>542.43000000000006</v>
      </c>
      <c r="Z31" s="27">
        <f t="shared" si="8"/>
        <v>120.54</v>
      </c>
      <c r="AA31" s="98">
        <f t="shared" si="9"/>
        <v>674.97000000000014</v>
      </c>
      <c r="AB31" s="98">
        <f t="shared" si="10"/>
        <v>5979.2081175000003</v>
      </c>
      <c r="AC31" s="98">
        <f t="shared" si="14"/>
        <v>6654.1781175000006</v>
      </c>
      <c r="AE31" s="27">
        <f t="shared" si="12"/>
        <v>542.43000000000006</v>
      </c>
    </row>
    <row r="32" spans="1:31" s="27" customFormat="1" ht="28">
      <c r="A32" s="91">
        <v>9</v>
      </c>
      <c r="B32" s="93" t="s">
        <v>95</v>
      </c>
      <c r="C32" s="90"/>
      <c r="D32" s="93" t="s">
        <v>87</v>
      </c>
      <c r="E32" s="90"/>
      <c r="F32" s="90" t="s">
        <v>76</v>
      </c>
      <c r="G32" s="92">
        <v>10</v>
      </c>
      <c r="H32" s="101">
        <v>71.3</v>
      </c>
      <c r="I32" s="101">
        <v>4.8500000000000005</v>
      </c>
      <c r="J32" s="101">
        <v>3.1899999999999995</v>
      </c>
      <c r="K32" s="102">
        <f t="shared" si="15"/>
        <v>63.260000000000005</v>
      </c>
      <c r="L32" s="96">
        <v>2.2000000000000002</v>
      </c>
      <c r="M32" s="94" t="s">
        <v>84</v>
      </c>
      <c r="N32" s="95">
        <v>61</v>
      </c>
      <c r="O32" s="104">
        <v>9</v>
      </c>
      <c r="P32" s="108">
        <v>26.930000000000003</v>
      </c>
      <c r="Q32" s="106">
        <f t="shared" si="16"/>
        <v>38.857455000000002</v>
      </c>
      <c r="R32" s="34"/>
      <c r="S32" s="34"/>
      <c r="T32" s="34">
        <f t="shared" si="5"/>
        <v>21.35</v>
      </c>
      <c r="U32" s="34">
        <f t="shared" si="6"/>
        <v>40</v>
      </c>
      <c r="V32" s="34">
        <f>IF(RIGHT(F32,2)="WG",K32*$AA$4,IF(OR(RIGHT(F32,3)="WRG",RIGHT(F32,3)="WYG",RIGHT(F32,3)="WYR"),K32*$AA$4+3*G32,0))</f>
        <v>15.182400000000001</v>
      </c>
      <c r="W32" s="34"/>
      <c r="X32" s="34">
        <f>G32*N32*0.3</f>
        <v>183</v>
      </c>
      <c r="Y32" s="34">
        <f t="shared" si="7"/>
        <v>569.34</v>
      </c>
      <c r="Z32" s="27">
        <f t="shared" si="8"/>
        <v>126.52000000000001</v>
      </c>
      <c r="AA32" s="98">
        <f t="shared" si="9"/>
        <v>702.35239999999999</v>
      </c>
      <c r="AB32" s="98">
        <f t="shared" si="10"/>
        <v>7450.5111150000012</v>
      </c>
      <c r="AC32" s="98">
        <f t="shared" si="14"/>
        <v>8152.8635150000009</v>
      </c>
      <c r="AE32" s="27">
        <f t="shared" si="12"/>
        <v>569.34</v>
      </c>
    </row>
    <row r="33" spans="1:31" s="27" customFormat="1" ht="28">
      <c r="A33" s="91">
        <v>9</v>
      </c>
      <c r="B33" s="93" t="s">
        <v>95</v>
      </c>
      <c r="C33" s="90"/>
      <c r="D33" s="93" t="s">
        <v>87</v>
      </c>
      <c r="E33" s="90"/>
      <c r="F33" s="90" t="s">
        <v>77</v>
      </c>
      <c r="G33" s="92">
        <v>9</v>
      </c>
      <c r="H33" s="101">
        <v>63.930000000000007</v>
      </c>
      <c r="I33" s="101">
        <v>4.8600000000000003</v>
      </c>
      <c r="J33" s="101">
        <v>2.88</v>
      </c>
      <c r="K33" s="102">
        <f t="shared" ref="K33:K34" si="23">H33-I33-J33</f>
        <v>56.190000000000005</v>
      </c>
      <c r="L33" s="96">
        <v>2.2000000000000002</v>
      </c>
      <c r="M33" s="94" t="s">
        <v>84</v>
      </c>
      <c r="N33" s="95">
        <v>61</v>
      </c>
      <c r="O33" s="104">
        <v>9</v>
      </c>
      <c r="P33" s="108">
        <v>24.294999999999998</v>
      </c>
      <c r="Q33" s="106">
        <f t="shared" ref="Q33:Q34" si="24">K33*IF(LEFT(F33,3)="10K",0.417*1.07,IF(LEFT(F33,3)="14K",0.585*1.05,IF(LEFT(F33,3)="18K",0.75*1.05,0)))</f>
        <v>34.5147075</v>
      </c>
      <c r="R33" s="34"/>
      <c r="S33" s="34"/>
      <c r="T33" s="34">
        <f t="shared" ref="T33:T35" si="25">G33*N33*0.035</f>
        <v>19.215000000000003</v>
      </c>
      <c r="U33" s="34">
        <f t="shared" ref="U33:U34" si="26">G33*(2+2)</f>
        <v>36</v>
      </c>
      <c r="V33" s="34"/>
      <c r="W33" s="34"/>
      <c r="X33" s="34">
        <f t="shared" ref="X33:X34" si="27">G33*N33*0.3</f>
        <v>164.7</v>
      </c>
      <c r="Y33" s="34">
        <f t="shared" ref="Y33:Y34" si="28">K33*O33</f>
        <v>505.71000000000004</v>
      </c>
      <c r="Z33" s="27">
        <f t="shared" si="8"/>
        <v>112.38000000000001</v>
      </c>
      <c r="AA33" s="98">
        <f t="shared" si="9"/>
        <v>613.245</v>
      </c>
      <c r="AB33" s="98">
        <f t="shared" si="10"/>
        <v>6682.0359974999992</v>
      </c>
      <c r="AC33" s="98">
        <f t="shared" si="14"/>
        <v>7295.2809974999991</v>
      </c>
      <c r="AE33" s="27">
        <f t="shared" si="12"/>
        <v>505.71000000000004</v>
      </c>
    </row>
    <row r="34" spans="1:31" s="27" customFormat="1" ht="28">
      <c r="A34" s="91">
        <v>9</v>
      </c>
      <c r="B34" s="93" t="s">
        <v>95</v>
      </c>
      <c r="C34" s="90"/>
      <c r="D34" s="93" t="s">
        <v>87</v>
      </c>
      <c r="E34" s="90"/>
      <c r="F34" s="90" t="s">
        <v>96</v>
      </c>
      <c r="G34" s="92">
        <v>6</v>
      </c>
      <c r="H34" s="101">
        <v>42.06</v>
      </c>
      <c r="I34" s="101">
        <v>3.24</v>
      </c>
      <c r="J34" s="101">
        <v>1.9200000000000002</v>
      </c>
      <c r="K34" s="102">
        <f t="shared" si="23"/>
        <v>36.9</v>
      </c>
      <c r="L34" s="96">
        <v>2.2000000000000002</v>
      </c>
      <c r="M34" s="94" t="s">
        <v>84</v>
      </c>
      <c r="N34" s="95">
        <v>61</v>
      </c>
      <c r="O34" s="104">
        <v>9</v>
      </c>
      <c r="P34" s="108">
        <v>16.175000000000001</v>
      </c>
      <c r="Q34" s="106">
        <f t="shared" si="24"/>
        <v>22.665824999999998</v>
      </c>
      <c r="R34" s="34"/>
      <c r="S34" s="34"/>
      <c r="T34" s="34">
        <f t="shared" si="25"/>
        <v>12.81</v>
      </c>
      <c r="U34" s="34">
        <f t="shared" si="26"/>
        <v>24</v>
      </c>
      <c r="V34" s="34"/>
      <c r="W34" s="34"/>
      <c r="X34" s="34">
        <f t="shared" si="27"/>
        <v>109.8</v>
      </c>
      <c r="Y34" s="34">
        <f t="shared" si="28"/>
        <v>332.09999999999997</v>
      </c>
      <c r="Z34" s="27">
        <f t="shared" si="8"/>
        <v>73.8</v>
      </c>
      <c r="AA34" s="98">
        <f t="shared" si="9"/>
        <v>404.90999999999997</v>
      </c>
      <c r="AB34" s="98">
        <f t="shared" si="10"/>
        <v>4425.8679750000001</v>
      </c>
      <c r="AC34" s="98">
        <f t="shared" si="14"/>
        <v>4830.777975</v>
      </c>
      <c r="AE34" s="27">
        <f t="shared" si="12"/>
        <v>332.09999999999997</v>
      </c>
    </row>
    <row r="35" spans="1:31" s="27" customFormat="1" ht="28">
      <c r="A35" s="91">
        <v>10</v>
      </c>
      <c r="B35" s="93" t="s">
        <v>97</v>
      </c>
      <c r="C35" s="90"/>
      <c r="D35" s="90" t="s">
        <v>87</v>
      </c>
      <c r="E35" s="90"/>
      <c r="F35" s="90" t="s">
        <v>76</v>
      </c>
      <c r="G35" s="92">
        <v>10</v>
      </c>
      <c r="H35" s="101">
        <v>145.5</v>
      </c>
      <c r="I35" s="101">
        <v>6.8999999999999986</v>
      </c>
      <c r="J35" s="101">
        <v>6.3999999999999995</v>
      </c>
      <c r="K35" s="102">
        <f t="shared" si="15"/>
        <v>132.19999999999999</v>
      </c>
      <c r="L35" s="94">
        <v>1.6</v>
      </c>
      <c r="M35" s="94" t="s">
        <v>84</v>
      </c>
      <c r="N35" s="95">
        <v>180</v>
      </c>
      <c r="O35" s="104">
        <v>9</v>
      </c>
      <c r="P35" s="108">
        <v>34.53</v>
      </c>
      <c r="Q35" s="106">
        <f t="shared" si="16"/>
        <v>81.203849999999989</v>
      </c>
      <c r="R35" s="34"/>
      <c r="S35" s="34"/>
      <c r="T35" s="34">
        <f t="shared" si="25"/>
        <v>63.000000000000007</v>
      </c>
      <c r="U35" s="34">
        <f>G35*(4+4)</f>
        <v>80</v>
      </c>
      <c r="V35" s="34">
        <f>IF(RIGHT(F35,2)="WG",K35*$AA$4,IF(OR(RIGHT(F35,3)="WRG",RIGHT(F35,3)="WYG",RIGHT(F35,3)="WYR"),K35*$AA$4+3*G35,0))</f>
        <v>31.727999999999994</v>
      </c>
      <c r="W35" s="34"/>
      <c r="X35" s="34">
        <f>G35*N35*0.3</f>
        <v>540</v>
      </c>
      <c r="Y35" s="34">
        <f t="shared" si="7"/>
        <v>1189.8</v>
      </c>
      <c r="Z35" s="27">
        <f t="shared" si="8"/>
        <v>264.39999999999998</v>
      </c>
      <c r="AA35" s="98">
        <f t="shared" si="9"/>
        <v>1640.1280000000002</v>
      </c>
      <c r="AB35" s="98">
        <f t="shared" si="10"/>
        <v>11843.90595</v>
      </c>
      <c r="AC35" s="98">
        <f t="shared" si="14"/>
        <v>13484.033950000001</v>
      </c>
      <c r="AE35" s="27">
        <f t="shared" si="12"/>
        <v>1189.8</v>
      </c>
    </row>
    <row r="36" spans="1:31" s="27" customFormat="1" ht="28.5" thickBot="1">
      <c r="A36" s="91">
        <v>10</v>
      </c>
      <c r="B36" s="93" t="s">
        <v>97</v>
      </c>
      <c r="C36" s="90"/>
      <c r="D36" s="90" t="s">
        <v>87</v>
      </c>
      <c r="E36" s="90"/>
      <c r="F36" s="90" t="s">
        <v>77</v>
      </c>
      <c r="G36" s="92">
        <v>6</v>
      </c>
      <c r="H36" s="101">
        <v>85.22999999999999</v>
      </c>
      <c r="I36" s="101">
        <v>4.1399999999999997</v>
      </c>
      <c r="J36" s="101">
        <v>3.8400000000000003</v>
      </c>
      <c r="K36" s="102">
        <f t="shared" ref="K36" si="29">H36-I36-J36</f>
        <v>77.249999999999986</v>
      </c>
      <c r="L36" s="94">
        <v>1.6</v>
      </c>
      <c r="M36" s="94" t="s">
        <v>84</v>
      </c>
      <c r="N36" s="95">
        <v>180</v>
      </c>
      <c r="O36" s="104">
        <v>9</v>
      </c>
      <c r="P36" s="108">
        <v>20.7</v>
      </c>
      <c r="Q36" s="106">
        <f t="shared" ref="Q36" si="30">K36*IF(LEFT(F36,3)="10K",0.417*1.07,IF(LEFT(F36,3)="14K",0.585*1.05,IF(LEFT(F36,3)="18K",0.75*1.05,0)))</f>
        <v>47.450812499999991</v>
      </c>
      <c r="R36" s="34"/>
      <c r="S36" s="34"/>
      <c r="T36" s="34">
        <f t="shared" ref="T36" si="31">G36*N36*0.035</f>
        <v>37.800000000000004</v>
      </c>
      <c r="U36" s="34">
        <f>G36*(4+4)</f>
        <v>48</v>
      </c>
      <c r="V36" s="34"/>
      <c r="W36" s="34"/>
      <c r="X36" s="34">
        <f>G36*N36*0.3</f>
        <v>324</v>
      </c>
      <c r="Y36" s="34">
        <f t="shared" ref="Y36" si="32">K36*O36</f>
        <v>695.24999999999989</v>
      </c>
      <c r="Z36" s="27">
        <f t="shared" si="8"/>
        <v>154.49999999999997</v>
      </c>
      <c r="AA36" s="98">
        <f t="shared" si="9"/>
        <v>950.55</v>
      </c>
      <c r="AB36" s="98">
        <f t="shared" si="10"/>
        <v>7010.440312499999</v>
      </c>
      <c r="AC36" s="98">
        <f t="shared" si="14"/>
        <v>7960.9903124999992</v>
      </c>
      <c r="AE36" s="27">
        <f t="shared" si="12"/>
        <v>695.24999999999989</v>
      </c>
    </row>
    <row r="37" spans="1:31" s="28" customFormat="1" ht="16" customHeight="1">
      <c r="A37" s="83" t="s">
        <v>69</v>
      </c>
      <c r="B37" s="61"/>
      <c r="C37" s="61"/>
      <c r="D37" s="61"/>
      <c r="E37" s="61"/>
      <c r="F37" s="61"/>
      <c r="G37" s="62">
        <f>SUM(G21:G36)</f>
        <v>110</v>
      </c>
      <c r="H37" s="103"/>
      <c r="I37" s="103"/>
      <c r="J37" s="103"/>
      <c r="K37" s="103">
        <f>SUM(K21:K36)</f>
        <v>862.73</v>
      </c>
      <c r="L37" s="63"/>
      <c r="M37" s="63"/>
      <c r="N37" s="63"/>
      <c r="O37" s="64"/>
      <c r="P37" s="109">
        <f t="shared" ref="P37:Y37" si="33">SUM(P21:P36)</f>
        <v>286.48499999999996</v>
      </c>
      <c r="Q37" s="107">
        <f t="shared" si="33"/>
        <v>529.93190249999998</v>
      </c>
      <c r="R37" s="65">
        <f t="shared" si="33"/>
        <v>0</v>
      </c>
      <c r="S37" s="65">
        <f t="shared" si="33"/>
        <v>0</v>
      </c>
      <c r="T37" s="65">
        <f t="shared" si="33"/>
        <v>292.495</v>
      </c>
      <c r="U37" s="65">
        <f t="shared" si="33"/>
        <v>504</v>
      </c>
      <c r="V37" s="65">
        <f t="shared" si="33"/>
        <v>97.372799999999998</v>
      </c>
      <c r="W37" s="65">
        <f t="shared" si="33"/>
        <v>0</v>
      </c>
      <c r="X37" s="65">
        <f t="shared" si="33"/>
        <v>2618.1000000000004</v>
      </c>
      <c r="Y37" s="65">
        <f t="shared" si="33"/>
        <v>7810.01</v>
      </c>
      <c r="AA37" s="99"/>
      <c r="AB37" s="99"/>
      <c r="AC37" s="99"/>
      <c r="AD37" s="99"/>
      <c r="AE37" s="99"/>
    </row>
    <row r="38" spans="1:31" ht="16" customHeight="1">
      <c r="A38" s="50" t="s">
        <v>72</v>
      </c>
      <c r="K38" s="45"/>
      <c r="L38" s="45"/>
      <c r="M38" s="45"/>
      <c r="N38" s="45"/>
      <c r="X38" s="46"/>
      <c r="Y38" s="80"/>
    </row>
    <row r="39" spans="1:31" s="89" customFormat="1" ht="42">
      <c r="A39" s="84" t="s">
        <v>4</v>
      </c>
      <c r="B39" s="85" t="s">
        <v>5</v>
      </c>
      <c r="C39" s="85" t="s">
        <v>23</v>
      </c>
      <c r="D39" s="85" t="s">
        <v>45</v>
      </c>
      <c r="E39" s="85" t="s">
        <v>46</v>
      </c>
      <c r="F39" s="85" t="s">
        <v>6</v>
      </c>
      <c r="G39" s="85" t="s">
        <v>7</v>
      </c>
      <c r="H39" s="86" t="s">
        <v>8</v>
      </c>
      <c r="I39" s="86" t="s">
        <v>47</v>
      </c>
      <c r="J39" s="86" t="s">
        <v>9</v>
      </c>
      <c r="K39" s="87" t="s">
        <v>14</v>
      </c>
      <c r="L39" s="87" t="s">
        <v>20</v>
      </c>
      <c r="M39" s="87" t="s">
        <v>22</v>
      </c>
      <c r="N39" s="87" t="s">
        <v>21</v>
      </c>
      <c r="O39" s="88" t="s">
        <v>10</v>
      </c>
      <c r="P39" s="88" t="s">
        <v>49</v>
      </c>
      <c r="Q39" s="105" t="s">
        <v>61</v>
      </c>
      <c r="R39" s="43" t="s">
        <v>50</v>
      </c>
      <c r="S39" s="43" t="s">
        <v>54</v>
      </c>
      <c r="T39" s="43" t="s">
        <v>68</v>
      </c>
      <c r="U39" s="43" t="s">
        <v>13</v>
      </c>
      <c r="V39" s="43" t="s">
        <v>52</v>
      </c>
      <c r="W39" s="43" t="s">
        <v>48</v>
      </c>
      <c r="X39" s="43" t="s">
        <v>15</v>
      </c>
      <c r="Y39" s="47" t="s">
        <v>12</v>
      </c>
    </row>
    <row r="40" spans="1:31" s="27" customFormat="1" ht="28">
      <c r="A40" s="91" t="s">
        <v>98</v>
      </c>
      <c r="B40" s="90" t="s">
        <v>99</v>
      </c>
      <c r="C40" s="90"/>
      <c r="D40" s="90" t="s">
        <v>100</v>
      </c>
      <c r="E40" s="90"/>
      <c r="F40" s="90" t="s">
        <v>76</v>
      </c>
      <c r="G40" s="92">
        <v>7</v>
      </c>
      <c r="H40" s="101">
        <v>88.42</v>
      </c>
      <c r="I40" s="101">
        <v>4.82</v>
      </c>
      <c r="J40" s="101">
        <v>4.4800000000000004</v>
      </c>
      <c r="K40" s="102">
        <f>H40-I40-J40</f>
        <v>79.11999999999999</v>
      </c>
      <c r="L40" s="94">
        <v>1.4</v>
      </c>
      <c r="M40" s="94" t="s">
        <v>84</v>
      </c>
      <c r="N40" s="95">
        <v>305</v>
      </c>
      <c r="O40" s="104">
        <v>9</v>
      </c>
      <c r="P40" s="108">
        <v>24.009999999999998</v>
      </c>
      <c r="Q40" s="106">
        <f>K40*IF(LEFT(F40,3)="10K",0.417*1.07,IF(LEFT(F40,3)="14K",0.585*1.05,IF(LEFT(F40,3)="18K",0.75*1.05,0)))</f>
        <v>48.599459999999993</v>
      </c>
      <c r="R40" s="34"/>
      <c r="S40" s="34"/>
      <c r="T40" s="34">
        <f>G40*N40*0.035</f>
        <v>74.725000000000009</v>
      </c>
      <c r="U40" s="34">
        <f>G40*4</f>
        <v>28</v>
      </c>
      <c r="V40" s="34">
        <f>IF(RIGHT(F40,2)="WG",K40*$AA$4,IF(OR(RIGHT(F40,3)="WRG",RIGHT(F40,3)="WYG",RIGHT(F40,3)="WYR"),K40*$AA$4+3*G40,0))</f>
        <v>18.988799999999998</v>
      </c>
      <c r="W40" s="34"/>
      <c r="X40" s="34">
        <f>G40*N40*0.3</f>
        <v>640.5</v>
      </c>
      <c r="Y40" s="34">
        <f t="shared" ref="Y40" si="34">K40*O40</f>
        <v>712.07999999999993</v>
      </c>
      <c r="Z40" s="27">
        <f>2*K40</f>
        <v>158.23999999999998</v>
      </c>
      <c r="AA40" s="98">
        <f>(SUM(R40:X40)+AE40)-Z40</f>
        <v>1316.0537999999999</v>
      </c>
      <c r="AB40" s="98">
        <f>Q40*$AB$13+P40*$AB$14</f>
        <v>7661.3938799999996</v>
      </c>
      <c r="AC40" s="98">
        <f t="shared" ref="AC40" si="35">SUM(AA40:AB40)</f>
        <v>8977.4476799999993</v>
      </c>
      <c r="AE40" s="27">
        <f>IF(AD40&gt;0,AD40*K40,Y40)</f>
        <v>712.07999999999993</v>
      </c>
    </row>
    <row r="41" spans="1:31" s="27" customFormat="1" ht="28">
      <c r="A41" s="91">
        <v>1</v>
      </c>
      <c r="B41" s="90" t="s">
        <v>99</v>
      </c>
      <c r="C41" s="90"/>
      <c r="D41" s="90" t="s">
        <v>100</v>
      </c>
      <c r="E41" s="90"/>
      <c r="F41" s="90" t="s">
        <v>77</v>
      </c>
      <c r="G41" s="92">
        <v>6</v>
      </c>
      <c r="H41" s="101">
        <v>73.08</v>
      </c>
      <c r="I41" s="101">
        <v>4.08</v>
      </c>
      <c r="J41" s="101">
        <v>3.8400000000000003</v>
      </c>
      <c r="K41" s="102">
        <f t="shared" ref="K41:K42" si="36">H41-I41-J41</f>
        <v>65.16</v>
      </c>
      <c r="L41" s="94">
        <v>1.4</v>
      </c>
      <c r="M41" s="94" t="s">
        <v>84</v>
      </c>
      <c r="N41" s="95">
        <v>305</v>
      </c>
      <c r="O41" s="104">
        <v>9</v>
      </c>
      <c r="P41" s="108">
        <v>20.314999999999998</v>
      </c>
      <c r="Q41" s="106">
        <f t="shared" ref="Q41:Q42" si="37">K41*IF(LEFT(F41,3)="10K",0.417*1.07,IF(LEFT(F41,3)="14K",0.585*1.05,IF(LEFT(F41,3)="18K",0.75*1.05,0)))</f>
        <v>40.024529999999999</v>
      </c>
      <c r="R41" s="34"/>
      <c r="S41" s="34"/>
      <c r="T41" s="34">
        <f t="shared" ref="T41:T42" si="38">G41*N41*0.035</f>
        <v>64.050000000000011</v>
      </c>
      <c r="U41" s="34">
        <f t="shared" ref="U41:U42" si="39">G41*4</f>
        <v>24</v>
      </c>
      <c r="V41" s="34"/>
      <c r="W41" s="34"/>
      <c r="X41" s="34">
        <f t="shared" ref="X41:X42" si="40">G41*N41*0.3</f>
        <v>549</v>
      </c>
      <c r="Y41" s="34">
        <f t="shared" ref="Y41:Y42" si="41">K41*O41</f>
        <v>586.43999999999994</v>
      </c>
      <c r="Z41" s="27">
        <f>2*K41</f>
        <v>130.32</v>
      </c>
      <c r="AA41" s="98">
        <f>(SUM(R41:X41)+AE41)-Z41</f>
        <v>1093.1699999999998</v>
      </c>
      <c r="AB41" s="98">
        <f>Q41*$AB$13+P41*$AB$14</f>
        <v>6402.3596399999997</v>
      </c>
      <c r="AC41" s="98">
        <f t="shared" ref="AC41:AC42" si="42">SUM(AA41:AB41)</f>
        <v>7495.5296399999997</v>
      </c>
      <c r="AE41" s="27">
        <f>IF(AD41&gt;0,AD41*K41,Y41)</f>
        <v>586.43999999999994</v>
      </c>
    </row>
    <row r="42" spans="1:31" s="27" customFormat="1" ht="28.5" thickBot="1">
      <c r="A42" s="91">
        <v>1</v>
      </c>
      <c r="B42" s="90" t="s">
        <v>99</v>
      </c>
      <c r="C42" s="90"/>
      <c r="D42" s="90" t="s">
        <v>100</v>
      </c>
      <c r="E42" s="90"/>
      <c r="F42" s="90" t="s">
        <v>96</v>
      </c>
      <c r="G42" s="92">
        <v>4</v>
      </c>
      <c r="H42" s="101">
        <v>48.830000000000005</v>
      </c>
      <c r="I42" s="101">
        <v>2.76</v>
      </c>
      <c r="J42" s="101">
        <v>2.56</v>
      </c>
      <c r="K42" s="102">
        <f t="shared" si="36"/>
        <v>43.510000000000005</v>
      </c>
      <c r="L42" s="94">
        <v>1.4</v>
      </c>
      <c r="M42" s="94" t="s">
        <v>84</v>
      </c>
      <c r="N42" s="95">
        <v>305</v>
      </c>
      <c r="O42" s="104">
        <v>9</v>
      </c>
      <c r="P42" s="108">
        <v>13.745000000000001</v>
      </c>
      <c r="Q42" s="106">
        <f t="shared" si="37"/>
        <v>26.726017500000001</v>
      </c>
      <c r="R42" s="34"/>
      <c r="S42" s="34"/>
      <c r="T42" s="34">
        <f t="shared" si="38"/>
        <v>42.7</v>
      </c>
      <c r="U42" s="34">
        <f t="shared" si="39"/>
        <v>16</v>
      </c>
      <c r="V42" s="34"/>
      <c r="W42" s="34"/>
      <c r="X42" s="34">
        <f t="shared" si="40"/>
        <v>366</v>
      </c>
      <c r="Y42" s="34">
        <f t="shared" si="41"/>
        <v>391.59000000000003</v>
      </c>
      <c r="Z42" s="27">
        <f>2*K42</f>
        <v>87.02000000000001</v>
      </c>
      <c r="AA42" s="98">
        <f>(SUM(R42:X42)+AE42)-Z42</f>
        <v>729.27</v>
      </c>
      <c r="AB42" s="98">
        <f>Q42*$AB$13+P42*$AB$14</f>
        <v>4305.9301274999998</v>
      </c>
      <c r="AC42" s="98">
        <f t="shared" si="42"/>
        <v>5035.2001275000002</v>
      </c>
      <c r="AE42" s="27">
        <f>IF(AD42&gt;0,AD42*K42,Y42)</f>
        <v>391.59000000000003</v>
      </c>
    </row>
    <row r="43" spans="1:31" s="28" customFormat="1" ht="16" customHeight="1">
      <c r="A43" s="83" t="s">
        <v>69</v>
      </c>
      <c r="B43" s="61"/>
      <c r="C43" s="61"/>
      <c r="D43" s="61"/>
      <c r="E43" s="61"/>
      <c r="F43" s="61"/>
      <c r="G43" s="62">
        <f>SUM(G40:G42)</f>
        <v>17</v>
      </c>
      <c r="H43" s="103"/>
      <c r="I43" s="103"/>
      <c r="J43" s="103"/>
      <c r="K43" s="103">
        <f>SUM(K40:K42)</f>
        <v>187.78999999999996</v>
      </c>
      <c r="L43" s="63"/>
      <c r="M43" s="63"/>
      <c r="N43" s="63"/>
      <c r="O43" s="64"/>
      <c r="P43" s="109">
        <f t="shared" ref="P43:Y43" si="43">SUM(P40:P42)</f>
        <v>58.069999999999993</v>
      </c>
      <c r="Q43" s="107">
        <f t="shared" si="43"/>
        <v>115.35000749999999</v>
      </c>
      <c r="R43" s="65">
        <f t="shared" si="43"/>
        <v>0</v>
      </c>
      <c r="S43" s="65">
        <f t="shared" si="43"/>
        <v>0</v>
      </c>
      <c r="T43" s="65">
        <f t="shared" si="43"/>
        <v>181.47500000000002</v>
      </c>
      <c r="U43" s="65">
        <f t="shared" si="43"/>
        <v>68</v>
      </c>
      <c r="V43" s="65">
        <f t="shared" si="43"/>
        <v>18.988799999999998</v>
      </c>
      <c r="W43" s="65">
        <f t="shared" si="43"/>
        <v>0</v>
      </c>
      <c r="X43" s="65">
        <f t="shared" si="43"/>
        <v>1555.5</v>
      </c>
      <c r="Y43" s="65">
        <f t="shared" si="43"/>
        <v>1690.1100000000001</v>
      </c>
      <c r="AA43" s="99"/>
      <c r="AB43" s="99"/>
      <c r="AC43" s="99"/>
      <c r="AD43" s="99"/>
      <c r="AE43" s="99"/>
    </row>
    <row r="44" spans="1:31" ht="16" customHeight="1">
      <c r="A44" s="50" t="s">
        <v>72</v>
      </c>
      <c r="K44" s="45"/>
      <c r="L44" s="45"/>
      <c r="M44" s="45"/>
      <c r="N44" s="45"/>
      <c r="X44" s="46"/>
      <c r="Y44" s="80"/>
    </row>
    <row r="45" spans="1:31" s="89" customFormat="1" ht="42">
      <c r="A45" s="84" t="s">
        <v>4</v>
      </c>
      <c r="B45" s="85" t="s">
        <v>5</v>
      </c>
      <c r="C45" s="85" t="s">
        <v>23</v>
      </c>
      <c r="D45" s="85" t="s">
        <v>45</v>
      </c>
      <c r="E45" s="85" t="s">
        <v>46</v>
      </c>
      <c r="F45" s="85" t="s">
        <v>6</v>
      </c>
      <c r="G45" s="85" t="s">
        <v>7</v>
      </c>
      <c r="H45" s="86" t="s">
        <v>8</v>
      </c>
      <c r="I45" s="86" t="s">
        <v>47</v>
      </c>
      <c r="J45" s="86" t="s">
        <v>9</v>
      </c>
      <c r="K45" s="87" t="s">
        <v>14</v>
      </c>
      <c r="L45" s="87" t="s">
        <v>20</v>
      </c>
      <c r="M45" s="87" t="s">
        <v>22</v>
      </c>
      <c r="N45" s="87" t="s">
        <v>21</v>
      </c>
      <c r="O45" s="88" t="s">
        <v>10</v>
      </c>
      <c r="P45" s="88" t="s">
        <v>49</v>
      </c>
      <c r="Q45" s="105" t="s">
        <v>61</v>
      </c>
      <c r="R45" s="43" t="s">
        <v>50</v>
      </c>
      <c r="S45" s="43" t="s">
        <v>54</v>
      </c>
      <c r="T45" s="43" t="s">
        <v>68</v>
      </c>
      <c r="U45" s="43" t="s">
        <v>13</v>
      </c>
      <c r="V45" s="43" t="s">
        <v>52</v>
      </c>
      <c r="W45" s="43" t="s">
        <v>48</v>
      </c>
      <c r="X45" s="43" t="s">
        <v>15</v>
      </c>
      <c r="Y45" s="47" t="s">
        <v>12</v>
      </c>
    </row>
    <row r="46" spans="1:31" s="27" customFormat="1" ht="42">
      <c r="A46" s="91" t="s">
        <v>73</v>
      </c>
      <c r="B46" s="90" t="s">
        <v>74</v>
      </c>
      <c r="C46" s="90"/>
      <c r="D46" s="90" t="s">
        <v>75</v>
      </c>
      <c r="E46" s="90"/>
      <c r="F46" s="90" t="s">
        <v>76</v>
      </c>
      <c r="G46" s="92">
        <v>12</v>
      </c>
      <c r="H46" s="101">
        <v>97.589999999999989</v>
      </c>
      <c r="I46" s="101">
        <v>2.4499999999999997</v>
      </c>
      <c r="J46" s="101">
        <v>3.8399999999999994</v>
      </c>
      <c r="K46" s="102">
        <f>H46-I46-J46</f>
        <v>91.299999999999983</v>
      </c>
      <c r="L46" s="94" t="s">
        <v>78</v>
      </c>
      <c r="M46" s="94" t="s">
        <v>79</v>
      </c>
      <c r="N46" s="95" t="s">
        <v>80</v>
      </c>
      <c r="O46" s="104">
        <v>9</v>
      </c>
      <c r="P46" s="108">
        <v>12.305</v>
      </c>
      <c r="Q46" s="106">
        <f>K46*IF(LEFT(F46,3)="10K",0.417*1.07,IF(LEFT(F46,3)="14K",0.585*1.05,IF(LEFT(F46,3)="18K",0.75*1.05,0)))</f>
        <v>56.081024999999983</v>
      </c>
      <c r="R46" s="34"/>
      <c r="S46" s="34"/>
      <c r="T46" s="34">
        <f>G46*(24+38+3)*0.03</f>
        <v>23.4</v>
      </c>
      <c r="U46" s="34">
        <f>G46*2</f>
        <v>24</v>
      </c>
      <c r="V46" s="34">
        <f>IF(RIGHT(F46,2)="WG",K46*$AA$4,IF(OR(RIGHT(F46,3)="WRG",RIGHT(F46,3)="WYG",RIGHT(F46,3)="WYR"),K46*$AA$4+3*G46,0))</f>
        <v>21.911999999999995</v>
      </c>
      <c r="W46" s="34"/>
      <c r="X46" s="34">
        <f>G46*((24+38)*0.3+3*0.5)</f>
        <v>241.2</v>
      </c>
      <c r="Y46" s="34">
        <f t="shared" ref="Y46" si="44">K46*O46</f>
        <v>821.69999999999982</v>
      </c>
      <c r="Z46" s="27">
        <f>2*K46</f>
        <v>182.59999999999997</v>
      </c>
      <c r="AA46" s="98">
        <f>(SUM(R46:X46)+AE46)-Z46</f>
        <v>949.61199999999985</v>
      </c>
      <c r="AB46" s="98">
        <f>Q46*$AB$13+P46*$AB$14</f>
        <v>6202.130474999999</v>
      </c>
      <c r="AC46" s="98">
        <f t="shared" ref="AC46" si="45">SUM(AA46:AB46)</f>
        <v>7151.7424749999991</v>
      </c>
      <c r="AE46" s="27">
        <f>IF(AD46&gt;0,AD46*K46,Y46)</f>
        <v>821.69999999999982</v>
      </c>
    </row>
    <row r="47" spans="1:31" s="27" customFormat="1" ht="42.5" thickBot="1">
      <c r="A47" s="91">
        <v>1</v>
      </c>
      <c r="B47" s="90" t="s">
        <v>74</v>
      </c>
      <c r="C47" s="90"/>
      <c r="D47" s="90" t="s">
        <v>75</v>
      </c>
      <c r="E47" s="90"/>
      <c r="F47" s="90" t="s">
        <v>77</v>
      </c>
      <c r="G47" s="92">
        <v>8</v>
      </c>
      <c r="H47" s="101">
        <v>66.239999999999995</v>
      </c>
      <c r="I47" s="101">
        <v>2.4500000000000002</v>
      </c>
      <c r="J47" s="101">
        <v>2.56</v>
      </c>
      <c r="K47" s="102">
        <f>H47-I47-J47</f>
        <v>61.22999999999999</v>
      </c>
      <c r="L47" s="94" t="s">
        <v>78</v>
      </c>
      <c r="M47" s="94" t="s">
        <v>79</v>
      </c>
      <c r="N47" s="95" t="s">
        <v>80</v>
      </c>
      <c r="O47" s="104">
        <v>9</v>
      </c>
      <c r="P47" s="108">
        <v>12.215</v>
      </c>
      <c r="Q47" s="106">
        <f>K47*IF(LEFT(F47,3)="10K",0.417*1.07,IF(LEFT(F47,3)="14K",0.585*1.05,IF(LEFT(F47,3)="18K",0.75*1.05,0)))</f>
        <v>37.610527499999989</v>
      </c>
      <c r="R47" s="34"/>
      <c r="S47" s="34"/>
      <c r="T47" s="34">
        <f>G47*(24+38+3)*0.03</f>
        <v>15.6</v>
      </c>
      <c r="U47" s="34">
        <f>G47*2</f>
        <v>16</v>
      </c>
      <c r="V47" s="34"/>
      <c r="W47" s="34"/>
      <c r="X47" s="34">
        <f>G47*((24+38)*0.3+3*0.5)</f>
        <v>160.79999999999998</v>
      </c>
      <c r="Y47" s="34">
        <f t="shared" ref="Y47" si="46">K47*O47</f>
        <v>551.06999999999994</v>
      </c>
      <c r="Z47" s="27">
        <f>2*K47</f>
        <v>122.45999999999998</v>
      </c>
      <c r="AA47" s="98">
        <f>(SUM(R47:X47)+AE47)-Z47</f>
        <v>621.01</v>
      </c>
      <c r="AB47" s="98">
        <f>Q47*$AB$13+P47*$AB$14</f>
        <v>4838.3644574999998</v>
      </c>
      <c r="AC47" s="98">
        <f t="shared" ref="AC47" si="47">SUM(AA47:AB47)</f>
        <v>5459.3744575000001</v>
      </c>
      <c r="AE47" s="27">
        <f>IF(AD47&gt;0,AD47*K47,Y47)</f>
        <v>551.06999999999994</v>
      </c>
    </row>
    <row r="48" spans="1:31" s="28" customFormat="1" ht="16" customHeight="1">
      <c r="A48" s="83" t="s">
        <v>69</v>
      </c>
      <c r="B48" s="61"/>
      <c r="C48" s="61"/>
      <c r="D48" s="61"/>
      <c r="E48" s="61"/>
      <c r="F48" s="61"/>
      <c r="G48" s="62">
        <f>SUM(G46:G47)</f>
        <v>20</v>
      </c>
      <c r="H48" s="103"/>
      <c r="I48" s="103"/>
      <c r="J48" s="103"/>
      <c r="K48" s="103">
        <f>SUM(K46:K47)</f>
        <v>152.52999999999997</v>
      </c>
      <c r="L48" s="63"/>
      <c r="M48" s="63"/>
      <c r="N48" s="63"/>
      <c r="O48" s="64"/>
      <c r="P48" s="109">
        <f t="shared" ref="P48:Y48" si="48">SUM(P46:P47)</f>
        <v>24.52</v>
      </c>
      <c r="Q48" s="107">
        <f t="shared" si="48"/>
        <v>93.691552499999972</v>
      </c>
      <c r="R48" s="65">
        <f t="shared" si="48"/>
        <v>0</v>
      </c>
      <c r="S48" s="65">
        <f t="shared" si="48"/>
        <v>0</v>
      </c>
      <c r="T48" s="65">
        <f t="shared" si="48"/>
        <v>39</v>
      </c>
      <c r="U48" s="65">
        <f t="shared" si="48"/>
        <v>40</v>
      </c>
      <c r="V48" s="65">
        <f t="shared" si="48"/>
        <v>21.911999999999995</v>
      </c>
      <c r="W48" s="65">
        <f t="shared" si="48"/>
        <v>0</v>
      </c>
      <c r="X48" s="65">
        <f t="shared" si="48"/>
        <v>402</v>
      </c>
      <c r="Y48" s="65">
        <f t="shared" si="48"/>
        <v>1372.7699999999998</v>
      </c>
      <c r="AA48" s="99"/>
      <c r="AB48" s="99"/>
      <c r="AC48" s="99"/>
      <c r="AD48" s="99"/>
      <c r="AE48" s="99"/>
    </row>
    <row r="49" spans="1:31" ht="16" customHeight="1">
      <c r="A49" s="50" t="s">
        <v>102</v>
      </c>
      <c r="K49" s="45"/>
      <c r="L49" s="45"/>
      <c r="M49" s="45"/>
      <c r="N49" s="45"/>
      <c r="X49" s="46"/>
      <c r="Y49" s="80"/>
    </row>
    <row r="50" spans="1:31" s="89" customFormat="1" ht="42">
      <c r="A50" s="84" t="s">
        <v>4</v>
      </c>
      <c r="B50" s="85" t="s">
        <v>5</v>
      </c>
      <c r="C50" s="85" t="s">
        <v>23</v>
      </c>
      <c r="D50" s="85" t="s">
        <v>45</v>
      </c>
      <c r="E50" s="85" t="s">
        <v>46</v>
      </c>
      <c r="F50" s="85" t="s">
        <v>6</v>
      </c>
      <c r="G50" s="85" t="s">
        <v>7</v>
      </c>
      <c r="H50" s="86" t="s">
        <v>8</v>
      </c>
      <c r="I50" s="86" t="s">
        <v>47</v>
      </c>
      <c r="J50" s="86" t="s">
        <v>9</v>
      </c>
      <c r="K50" s="87" t="s">
        <v>14</v>
      </c>
      <c r="L50" s="87" t="s">
        <v>20</v>
      </c>
      <c r="M50" s="87" t="s">
        <v>22</v>
      </c>
      <c r="N50" s="87" t="s">
        <v>21</v>
      </c>
      <c r="O50" s="88" t="s">
        <v>10</v>
      </c>
      <c r="P50" s="88" t="s">
        <v>49</v>
      </c>
      <c r="Q50" s="105" t="s">
        <v>61</v>
      </c>
      <c r="R50" s="43" t="s">
        <v>50</v>
      </c>
      <c r="S50" s="43" t="s">
        <v>54</v>
      </c>
      <c r="T50" s="43" t="s">
        <v>68</v>
      </c>
      <c r="U50" s="43" t="s">
        <v>13</v>
      </c>
      <c r="V50" s="43" t="s">
        <v>52</v>
      </c>
      <c r="W50" s="43" t="s">
        <v>48</v>
      </c>
      <c r="X50" s="43" t="s">
        <v>15</v>
      </c>
      <c r="Y50" s="47" t="s">
        <v>12</v>
      </c>
    </row>
    <row r="51" spans="1:31" s="27" customFormat="1" ht="28">
      <c r="A51" s="91" t="s">
        <v>101</v>
      </c>
      <c r="B51" s="90" t="s">
        <v>103</v>
      </c>
      <c r="C51" s="90"/>
      <c r="D51" s="90" t="s">
        <v>104</v>
      </c>
      <c r="E51" s="90"/>
      <c r="F51" s="90" t="s">
        <v>76</v>
      </c>
      <c r="G51" s="92">
        <v>2</v>
      </c>
      <c r="H51" s="101">
        <v>20.94</v>
      </c>
      <c r="I51" s="101">
        <v>0</v>
      </c>
      <c r="J51" s="101">
        <v>0.72</v>
      </c>
      <c r="K51" s="102">
        <f>H51-I51-J51</f>
        <v>20.220000000000002</v>
      </c>
      <c r="L51" s="94">
        <v>2.8</v>
      </c>
      <c r="M51" s="94"/>
      <c r="N51" s="95">
        <v>62</v>
      </c>
      <c r="O51" s="104">
        <v>11</v>
      </c>
      <c r="P51" s="108"/>
      <c r="Q51" s="106">
        <f>K51*IF(LEFT(F51,3)="10K",0.417*1.07,IF(LEFT(F51,3)="14K",0.585*1.05,IF(LEFT(F51,3)="18K",0.75*1.05,0)))</f>
        <v>12.420135</v>
      </c>
      <c r="R51" s="34"/>
      <c r="S51" s="34"/>
      <c r="T51" s="34"/>
      <c r="U51" s="34">
        <f>G51*2.3</f>
        <v>4.5999999999999996</v>
      </c>
      <c r="V51" s="34"/>
      <c r="W51" s="34"/>
      <c r="X51" s="34"/>
      <c r="Y51" s="34">
        <f t="shared" ref="Y51:Y53" si="49">K51*O51</f>
        <v>222.42000000000002</v>
      </c>
      <c r="Z51" s="27">
        <f>2*K51</f>
        <v>40.440000000000005</v>
      </c>
      <c r="AA51" s="98">
        <f>(SUM(R51:X51)+AE51)-Z51</f>
        <v>186.58</v>
      </c>
      <c r="AB51" s="98">
        <f>Q51*$AB$13+P51*$AB$14</f>
        <v>906.66985499999998</v>
      </c>
      <c r="AC51" s="98">
        <f t="shared" ref="AC51" si="50">SUM(AA51:AB51)</f>
        <v>1093.249855</v>
      </c>
      <c r="AE51" s="27">
        <f>IF(AD51&gt;0,AD51*K51,Y51)</f>
        <v>222.42000000000002</v>
      </c>
    </row>
    <row r="52" spans="1:31" s="27" customFormat="1" ht="28">
      <c r="A52" s="91">
        <v>2</v>
      </c>
      <c r="B52" s="93" t="s">
        <v>105</v>
      </c>
      <c r="C52" s="93"/>
      <c r="D52" s="90" t="s">
        <v>104</v>
      </c>
      <c r="E52" s="90"/>
      <c r="F52" s="90" t="s">
        <v>76</v>
      </c>
      <c r="G52" s="92">
        <v>2</v>
      </c>
      <c r="H52" s="101">
        <v>20.93</v>
      </c>
      <c r="I52" s="101">
        <v>0</v>
      </c>
      <c r="J52" s="101">
        <v>0.76</v>
      </c>
      <c r="K52" s="102">
        <f t="shared" ref="K52:K53" si="51">H52-I52-J52</f>
        <v>20.169999999999998</v>
      </c>
      <c r="L52" s="94">
        <v>2.2000000000000002</v>
      </c>
      <c r="M52" s="94"/>
      <c r="N52" s="95">
        <v>74</v>
      </c>
      <c r="O52" s="104">
        <v>11</v>
      </c>
      <c r="P52" s="108"/>
      <c r="Q52" s="106">
        <f t="shared" ref="Q52:Q53" si="52">K52*IF(LEFT(F52,3)="10K",0.417*1.07,IF(LEFT(F52,3)="14K",0.585*1.05,IF(LEFT(F52,3)="18K",0.75*1.05,0)))</f>
        <v>12.389422499999998</v>
      </c>
      <c r="R52" s="34"/>
      <c r="S52" s="34"/>
      <c r="T52" s="34"/>
      <c r="U52" s="34">
        <f>G52*2.3</f>
        <v>4.5999999999999996</v>
      </c>
      <c r="V52" s="34"/>
      <c r="W52" s="34"/>
      <c r="X52" s="34"/>
      <c r="Y52" s="34">
        <f t="shared" si="49"/>
        <v>221.86999999999998</v>
      </c>
      <c r="Z52" s="27">
        <f>2*K52</f>
        <v>40.339999999999996</v>
      </c>
      <c r="AA52" s="98">
        <f>(SUM(R52:X52)+AE52)-Z52</f>
        <v>186.12999999999997</v>
      </c>
      <c r="AB52" s="98">
        <f>Q52*$AB$13+P52*$AB$14</f>
        <v>904.42784249999988</v>
      </c>
      <c r="AC52" s="98">
        <f t="shared" ref="AC52:AC53" si="53">SUM(AA52:AB52)</f>
        <v>1090.5578424999999</v>
      </c>
      <c r="AE52" s="27">
        <f>IF(AD52&gt;0,AD52*K52,Y52)</f>
        <v>221.86999999999998</v>
      </c>
    </row>
    <row r="53" spans="1:31" s="27" customFormat="1" ht="28.5" thickBot="1">
      <c r="A53" s="91">
        <v>3</v>
      </c>
      <c r="B53" s="93" t="s">
        <v>106</v>
      </c>
      <c r="C53" s="93"/>
      <c r="D53" s="90" t="s">
        <v>104</v>
      </c>
      <c r="E53" s="90"/>
      <c r="F53" s="90" t="s">
        <v>76</v>
      </c>
      <c r="G53" s="92">
        <v>2</v>
      </c>
      <c r="H53" s="101">
        <v>19.260000000000002</v>
      </c>
      <c r="I53" s="101">
        <v>0</v>
      </c>
      <c r="J53" s="101">
        <v>0.68</v>
      </c>
      <c r="K53" s="102">
        <f t="shared" si="51"/>
        <v>18.580000000000002</v>
      </c>
      <c r="L53" s="94">
        <v>2.5499999999999998</v>
      </c>
      <c r="M53" s="94"/>
      <c r="N53" s="95">
        <v>65</v>
      </c>
      <c r="O53" s="104">
        <v>11</v>
      </c>
      <c r="P53" s="108"/>
      <c r="Q53" s="106">
        <f t="shared" si="52"/>
        <v>11.412765</v>
      </c>
      <c r="R53" s="34"/>
      <c r="S53" s="34"/>
      <c r="T53" s="34"/>
      <c r="U53" s="34">
        <f>G53*2.3</f>
        <v>4.5999999999999996</v>
      </c>
      <c r="V53" s="34"/>
      <c r="W53" s="34"/>
      <c r="X53" s="34"/>
      <c r="Y53" s="34">
        <f t="shared" si="49"/>
        <v>204.38000000000002</v>
      </c>
      <c r="Z53" s="27">
        <f>2*K53</f>
        <v>37.160000000000004</v>
      </c>
      <c r="AA53" s="98">
        <f>(SUM(R53:X53)+AE53)-Z53</f>
        <v>171.82000000000002</v>
      </c>
      <c r="AB53" s="98">
        <f>Q53*$AB$13+P53*$AB$14</f>
        <v>833.131845</v>
      </c>
      <c r="AC53" s="98">
        <f t="shared" si="53"/>
        <v>1004.951845</v>
      </c>
      <c r="AE53" s="27">
        <f>IF(AD53&gt;0,AD53*K53,Y53)</f>
        <v>204.38000000000002</v>
      </c>
    </row>
    <row r="54" spans="1:31" s="28" customFormat="1" ht="16" customHeight="1">
      <c r="A54" s="83" t="s">
        <v>69</v>
      </c>
      <c r="B54" s="61"/>
      <c r="C54" s="61"/>
      <c r="D54" s="61"/>
      <c r="E54" s="61"/>
      <c r="F54" s="61"/>
      <c r="G54" s="62">
        <f>SUM(G51:G53)</f>
        <v>6</v>
      </c>
      <c r="H54" s="103"/>
      <c r="I54" s="103"/>
      <c r="J54" s="103"/>
      <c r="K54" s="103">
        <f>SUM(K51:K53)</f>
        <v>58.97</v>
      </c>
      <c r="L54" s="63"/>
      <c r="M54" s="63"/>
      <c r="N54" s="63"/>
      <c r="O54" s="64"/>
      <c r="P54" s="109">
        <f t="shared" ref="P54:Y54" si="54">SUM(P51:P53)</f>
        <v>0</v>
      </c>
      <c r="Q54" s="107">
        <f t="shared" si="54"/>
        <v>36.222322499999997</v>
      </c>
      <c r="R54" s="65">
        <f t="shared" si="54"/>
        <v>0</v>
      </c>
      <c r="S54" s="65">
        <f t="shared" si="54"/>
        <v>0</v>
      </c>
      <c r="T54" s="65">
        <f t="shared" si="54"/>
        <v>0</v>
      </c>
      <c r="U54" s="65">
        <f t="shared" si="54"/>
        <v>13.799999999999999</v>
      </c>
      <c r="V54" s="65">
        <f t="shared" si="54"/>
        <v>0</v>
      </c>
      <c r="W54" s="65">
        <f t="shared" si="54"/>
        <v>0</v>
      </c>
      <c r="X54" s="65">
        <f t="shared" si="54"/>
        <v>0</v>
      </c>
      <c r="Y54" s="65">
        <f t="shared" si="54"/>
        <v>648.66999999999996</v>
      </c>
      <c r="AA54" s="99"/>
      <c r="AB54" s="99"/>
      <c r="AC54" s="99"/>
      <c r="AD54" s="99"/>
      <c r="AE54" s="99"/>
    </row>
    <row r="55" spans="1:31" ht="16" customHeight="1">
      <c r="A55" s="50" t="s">
        <v>102</v>
      </c>
      <c r="K55" s="45"/>
      <c r="L55" s="45"/>
      <c r="M55" s="45"/>
      <c r="N55" s="45"/>
      <c r="X55" s="46"/>
      <c r="Y55" s="80"/>
    </row>
    <row r="56" spans="1:31" s="89" customFormat="1" ht="42">
      <c r="A56" s="84" t="s">
        <v>4</v>
      </c>
      <c r="B56" s="85" t="s">
        <v>5</v>
      </c>
      <c r="C56" s="85" t="s">
        <v>23</v>
      </c>
      <c r="D56" s="85" t="s">
        <v>45</v>
      </c>
      <c r="E56" s="85" t="s">
        <v>46</v>
      </c>
      <c r="F56" s="85" t="s">
        <v>6</v>
      </c>
      <c r="G56" s="85" t="s">
        <v>7</v>
      </c>
      <c r="H56" s="86" t="s">
        <v>8</v>
      </c>
      <c r="I56" s="86" t="s">
        <v>47</v>
      </c>
      <c r="J56" s="86" t="s">
        <v>9</v>
      </c>
      <c r="K56" s="87" t="s">
        <v>14</v>
      </c>
      <c r="L56" s="87" t="s">
        <v>20</v>
      </c>
      <c r="M56" s="87" t="s">
        <v>22</v>
      </c>
      <c r="N56" s="87" t="s">
        <v>21</v>
      </c>
      <c r="O56" s="88" t="s">
        <v>10</v>
      </c>
      <c r="P56" s="88" t="s">
        <v>49</v>
      </c>
      <c r="Q56" s="105" t="s">
        <v>61</v>
      </c>
      <c r="R56" s="43" t="s">
        <v>50</v>
      </c>
      <c r="S56" s="43" t="s">
        <v>54</v>
      </c>
      <c r="T56" s="43" t="s">
        <v>68</v>
      </c>
      <c r="U56" s="43" t="s">
        <v>13</v>
      </c>
      <c r="V56" s="43" t="s">
        <v>52</v>
      </c>
      <c r="W56" s="43" t="s">
        <v>48</v>
      </c>
      <c r="X56" s="43" t="s">
        <v>15</v>
      </c>
      <c r="Y56" s="47" t="s">
        <v>12</v>
      </c>
    </row>
    <row r="57" spans="1:31" s="27" customFormat="1" ht="28">
      <c r="A57" s="91" t="s">
        <v>110</v>
      </c>
      <c r="B57" s="90" t="s">
        <v>108</v>
      </c>
      <c r="C57" s="90"/>
      <c r="D57" s="90" t="s">
        <v>109</v>
      </c>
      <c r="E57" s="90"/>
      <c r="F57" s="90" t="s">
        <v>76</v>
      </c>
      <c r="G57" s="92">
        <v>3</v>
      </c>
      <c r="H57" s="101">
        <v>21.89</v>
      </c>
      <c r="I57" s="101"/>
      <c r="J57" s="101">
        <v>0.96</v>
      </c>
      <c r="K57" s="102">
        <f>H57-I57-J57</f>
        <v>20.93</v>
      </c>
      <c r="L57" s="94">
        <v>2.1</v>
      </c>
      <c r="M57" s="94"/>
      <c r="N57" s="95">
        <v>37</v>
      </c>
      <c r="O57" s="104">
        <v>9</v>
      </c>
      <c r="P57" s="108"/>
      <c r="Q57" s="106">
        <f>K57*IF(LEFT(F57,3)="10K",0.417*1.07,IF(LEFT(F57,3)="14K",0.585*1.05,IF(LEFT(F57,3)="18K",0.75*1.05,0)))</f>
        <v>12.856252499999998</v>
      </c>
      <c r="R57" s="34"/>
      <c r="S57" s="34"/>
      <c r="T57" s="34"/>
      <c r="U57" s="34">
        <f>G57*2.3</f>
        <v>6.8999999999999995</v>
      </c>
      <c r="V57" s="34"/>
      <c r="W57" s="34"/>
      <c r="X57" s="34"/>
      <c r="Y57" s="34">
        <f t="shared" ref="Y57:Y58" si="55">K57*O57</f>
        <v>188.37</v>
      </c>
      <c r="Z57" s="27">
        <f>2*K57</f>
        <v>41.86</v>
      </c>
      <c r="AA57" s="98">
        <f>(SUM(R57:X57)+AE57)-Z57</f>
        <v>153.41000000000003</v>
      </c>
      <c r="AB57" s="98">
        <f>Q57*$AB$13+P57*$AB$14</f>
        <v>938.50643249999985</v>
      </c>
      <c r="AC57" s="98">
        <f t="shared" ref="AC57" si="56">SUM(AA57:AB57)</f>
        <v>1091.9164324999999</v>
      </c>
      <c r="AE57" s="27">
        <f>IF(AD57&gt;0,AD57*K57,Y57)</f>
        <v>188.37</v>
      </c>
    </row>
    <row r="58" spans="1:31" s="27" customFormat="1" ht="28.5" thickBot="1">
      <c r="A58" s="91">
        <v>1</v>
      </c>
      <c r="B58" s="90" t="s">
        <v>108</v>
      </c>
      <c r="C58" s="93"/>
      <c r="D58" s="90" t="s">
        <v>109</v>
      </c>
      <c r="E58" s="90"/>
      <c r="F58" s="90" t="s">
        <v>77</v>
      </c>
      <c r="G58" s="92">
        <v>3</v>
      </c>
      <c r="H58" s="101">
        <v>21.49</v>
      </c>
      <c r="I58" s="101"/>
      <c r="J58" s="101">
        <v>0.96</v>
      </c>
      <c r="K58" s="102">
        <f t="shared" ref="K58" si="57">H58-I58-J58</f>
        <v>20.529999999999998</v>
      </c>
      <c r="L58" s="94">
        <v>2.1</v>
      </c>
      <c r="M58" s="94"/>
      <c r="N58" s="95">
        <v>37</v>
      </c>
      <c r="O58" s="104">
        <v>9</v>
      </c>
      <c r="P58" s="108"/>
      <c r="Q58" s="106">
        <f t="shared" ref="Q58" si="58">K58*IF(LEFT(F58,3)="10K",0.417*1.07,IF(LEFT(F58,3)="14K",0.585*1.05,IF(LEFT(F58,3)="18K",0.75*1.05,0)))</f>
        <v>12.610552499999997</v>
      </c>
      <c r="R58" s="34"/>
      <c r="S58" s="34"/>
      <c r="T58" s="34"/>
      <c r="U58" s="34">
        <f>G58*2.3</f>
        <v>6.8999999999999995</v>
      </c>
      <c r="V58" s="34"/>
      <c r="W58" s="34"/>
      <c r="X58" s="34"/>
      <c r="Y58" s="34">
        <f t="shared" si="55"/>
        <v>184.76999999999998</v>
      </c>
      <c r="Z58" s="27">
        <f>2*K58</f>
        <v>41.059999999999995</v>
      </c>
      <c r="AA58" s="98">
        <f>(SUM(R58:X58)+AE58)-Z58</f>
        <v>150.60999999999999</v>
      </c>
      <c r="AB58" s="98">
        <f>Q58*$AB$13+P58*$AB$14</f>
        <v>920.57033249999984</v>
      </c>
      <c r="AC58" s="98">
        <f t="shared" ref="AC58" si="59">SUM(AA58:AB58)</f>
        <v>1071.1803324999998</v>
      </c>
      <c r="AE58" s="27">
        <f>IF(AD58&gt;0,AD58*K58,Y58)</f>
        <v>184.76999999999998</v>
      </c>
    </row>
    <row r="59" spans="1:31" s="28" customFormat="1" ht="16" customHeight="1">
      <c r="A59" s="83" t="s">
        <v>69</v>
      </c>
      <c r="B59" s="61"/>
      <c r="C59" s="61"/>
      <c r="D59" s="61"/>
      <c r="E59" s="61"/>
      <c r="F59" s="61"/>
      <c r="G59" s="62">
        <f>SUM(G57:G58)</f>
        <v>6</v>
      </c>
      <c r="H59" s="103"/>
      <c r="I59" s="103"/>
      <c r="J59" s="103"/>
      <c r="K59" s="103">
        <f>SUM(K57:K58)</f>
        <v>41.459999999999994</v>
      </c>
      <c r="L59" s="63"/>
      <c r="M59" s="63"/>
      <c r="N59" s="63"/>
      <c r="O59" s="64"/>
      <c r="P59" s="109">
        <f t="shared" ref="P59:Y59" si="60">SUM(P57:P58)</f>
        <v>0</v>
      </c>
      <c r="Q59" s="107">
        <f t="shared" si="60"/>
        <v>25.466804999999994</v>
      </c>
      <c r="R59" s="65">
        <f t="shared" si="60"/>
        <v>0</v>
      </c>
      <c r="S59" s="65">
        <f t="shared" si="60"/>
        <v>0</v>
      </c>
      <c r="T59" s="65">
        <f t="shared" si="60"/>
        <v>0</v>
      </c>
      <c r="U59" s="65">
        <f t="shared" si="60"/>
        <v>13.799999999999999</v>
      </c>
      <c r="V59" s="65">
        <f t="shared" si="60"/>
        <v>0</v>
      </c>
      <c r="W59" s="65">
        <f t="shared" si="60"/>
        <v>0</v>
      </c>
      <c r="X59" s="65">
        <f t="shared" si="60"/>
        <v>0</v>
      </c>
      <c r="Y59" s="65">
        <f t="shared" si="60"/>
        <v>373.14</v>
      </c>
      <c r="AA59" s="99"/>
      <c r="AB59" s="99"/>
      <c r="AC59" s="99"/>
      <c r="AD59" s="99"/>
      <c r="AE59" s="99"/>
    </row>
    <row r="60" spans="1:31" ht="16" customHeight="1">
      <c r="A60" s="50" t="s">
        <v>102</v>
      </c>
      <c r="K60" s="45"/>
      <c r="L60" s="45"/>
      <c r="M60" s="45"/>
      <c r="N60" s="45"/>
      <c r="X60" s="46"/>
      <c r="Y60" s="80"/>
    </row>
    <row r="61" spans="1:31" s="89" customFormat="1" ht="42">
      <c r="A61" s="84" t="s">
        <v>4</v>
      </c>
      <c r="B61" s="85" t="s">
        <v>5</v>
      </c>
      <c r="C61" s="85" t="s">
        <v>23</v>
      </c>
      <c r="D61" s="85" t="s">
        <v>45</v>
      </c>
      <c r="E61" s="85" t="s">
        <v>46</v>
      </c>
      <c r="F61" s="85" t="s">
        <v>6</v>
      </c>
      <c r="G61" s="85" t="s">
        <v>7</v>
      </c>
      <c r="H61" s="86" t="s">
        <v>8</v>
      </c>
      <c r="I61" s="86" t="s">
        <v>47</v>
      </c>
      <c r="J61" s="86" t="s">
        <v>9</v>
      </c>
      <c r="K61" s="87" t="s">
        <v>14</v>
      </c>
      <c r="L61" s="87" t="s">
        <v>20</v>
      </c>
      <c r="M61" s="87" t="s">
        <v>22</v>
      </c>
      <c r="N61" s="87" t="s">
        <v>21</v>
      </c>
      <c r="O61" s="88" t="s">
        <v>10</v>
      </c>
      <c r="P61" s="88" t="s">
        <v>49</v>
      </c>
      <c r="Q61" s="105" t="s">
        <v>61</v>
      </c>
      <c r="R61" s="43" t="s">
        <v>50</v>
      </c>
      <c r="S61" s="43" t="s">
        <v>54</v>
      </c>
      <c r="T61" s="43" t="s">
        <v>68</v>
      </c>
      <c r="U61" s="43" t="s">
        <v>13</v>
      </c>
      <c r="V61" s="43" t="s">
        <v>52</v>
      </c>
      <c r="W61" s="43" t="s">
        <v>48</v>
      </c>
      <c r="X61" s="43" t="s">
        <v>15</v>
      </c>
      <c r="Y61" s="47" t="s">
        <v>12</v>
      </c>
    </row>
    <row r="62" spans="1:31" s="27" customFormat="1" ht="28">
      <c r="A62" s="91" t="s">
        <v>111</v>
      </c>
      <c r="B62" s="90" t="s">
        <v>112</v>
      </c>
      <c r="C62" s="90"/>
      <c r="D62" s="90" t="s">
        <v>113</v>
      </c>
      <c r="E62" s="90"/>
      <c r="F62" s="90" t="s">
        <v>76</v>
      </c>
      <c r="G62" s="92">
        <v>3</v>
      </c>
      <c r="H62" s="101">
        <v>20.55</v>
      </c>
      <c r="I62" s="101"/>
      <c r="J62" s="101">
        <v>0.9</v>
      </c>
      <c r="K62" s="102">
        <f>H62-I62-J62</f>
        <v>19.650000000000002</v>
      </c>
      <c r="L62" s="94">
        <v>2.35</v>
      </c>
      <c r="M62" s="94"/>
      <c r="N62" s="95">
        <v>34</v>
      </c>
      <c r="O62" s="104">
        <v>9</v>
      </c>
      <c r="P62" s="108"/>
      <c r="Q62" s="106">
        <f>K62*IF(LEFT(F62,3)="10K",0.417*1.07,IF(LEFT(F62,3)="14K",0.585*1.05,IF(LEFT(F62,3)="18K",0.75*1.05,0)))</f>
        <v>12.070012500000001</v>
      </c>
      <c r="R62" s="34"/>
      <c r="S62" s="34"/>
      <c r="T62" s="34"/>
      <c r="U62" s="34">
        <f>G62*(2.3+2)</f>
        <v>12.899999999999999</v>
      </c>
      <c r="V62" s="34"/>
      <c r="W62" s="34"/>
      <c r="X62" s="34"/>
      <c r="Y62" s="34">
        <f t="shared" ref="Y62:Y63" si="61">K62*O62</f>
        <v>176.85000000000002</v>
      </c>
      <c r="Z62" s="27">
        <f>2*K62</f>
        <v>39.300000000000004</v>
      </c>
      <c r="AA62" s="98">
        <f>(SUM(R62:X62)+AE62)-Z62</f>
        <v>150.45000000000002</v>
      </c>
      <c r="AB62" s="98">
        <f>Q62*$AB$13+P62*$AB$14</f>
        <v>881.11091250000004</v>
      </c>
      <c r="AC62" s="98">
        <f t="shared" ref="AC62" si="62">SUM(AA62:AB62)</f>
        <v>1031.5609125000001</v>
      </c>
      <c r="AE62" s="27">
        <f>IF(AD62&gt;0,AD62*K62,Y62)</f>
        <v>176.85000000000002</v>
      </c>
    </row>
    <row r="63" spans="1:31" s="27" customFormat="1" ht="28.5" thickBot="1">
      <c r="A63" s="91">
        <v>1</v>
      </c>
      <c r="B63" s="90" t="s">
        <v>112</v>
      </c>
      <c r="C63" s="93"/>
      <c r="D63" s="90" t="s">
        <v>113</v>
      </c>
      <c r="E63" s="90"/>
      <c r="F63" s="90" t="s">
        <v>77</v>
      </c>
      <c r="G63" s="92">
        <v>3</v>
      </c>
      <c r="H63" s="101">
        <v>20.64</v>
      </c>
      <c r="I63" s="101"/>
      <c r="J63" s="101">
        <v>0.9</v>
      </c>
      <c r="K63" s="102">
        <f t="shared" ref="K63" si="63">H63-I63-J63</f>
        <v>19.740000000000002</v>
      </c>
      <c r="L63" s="94">
        <v>2.35</v>
      </c>
      <c r="M63" s="94"/>
      <c r="N63" s="95">
        <v>34</v>
      </c>
      <c r="O63" s="104">
        <v>9</v>
      </c>
      <c r="P63" s="108"/>
      <c r="Q63" s="106">
        <f t="shared" ref="Q63" si="64">K63*IF(LEFT(F63,3)="10K",0.417*1.07,IF(LEFT(F63,3)="14K",0.585*1.05,IF(LEFT(F63,3)="18K",0.75*1.05,0)))</f>
        <v>12.125295000000001</v>
      </c>
      <c r="R63" s="34"/>
      <c r="S63" s="34"/>
      <c r="T63" s="34"/>
      <c r="U63" s="34">
        <f>G63*(2.3+2)</f>
        <v>12.899999999999999</v>
      </c>
      <c r="V63" s="34"/>
      <c r="W63" s="34"/>
      <c r="X63" s="34"/>
      <c r="Y63" s="34">
        <f t="shared" si="61"/>
        <v>177.66000000000003</v>
      </c>
      <c r="Z63" s="27">
        <f>2*K63</f>
        <v>39.480000000000004</v>
      </c>
      <c r="AA63" s="98">
        <f>(SUM(R63:X63)+AE63)-Z63</f>
        <v>151.08000000000004</v>
      </c>
      <c r="AB63" s="98">
        <f>Q63*$AB$13+P63*$AB$14</f>
        <v>885.14653500000009</v>
      </c>
      <c r="AC63" s="98">
        <f t="shared" ref="AC63" si="65">SUM(AA63:AB63)</f>
        <v>1036.2265350000002</v>
      </c>
      <c r="AE63" s="27">
        <f>IF(AD63&gt;0,AD63*K63,Y63)</f>
        <v>177.66000000000003</v>
      </c>
    </row>
    <row r="64" spans="1:31" s="28" customFormat="1" ht="16" customHeight="1">
      <c r="A64" s="83" t="s">
        <v>69</v>
      </c>
      <c r="B64" s="61"/>
      <c r="C64" s="61"/>
      <c r="D64" s="61"/>
      <c r="E64" s="61"/>
      <c r="F64" s="61"/>
      <c r="G64" s="62">
        <f>SUM(G62:G63)</f>
        <v>6</v>
      </c>
      <c r="H64" s="103"/>
      <c r="I64" s="103"/>
      <c r="J64" s="103"/>
      <c r="K64" s="103">
        <f>SUM(K62:K63)</f>
        <v>39.39</v>
      </c>
      <c r="L64" s="63"/>
      <c r="M64" s="63"/>
      <c r="N64" s="63"/>
      <c r="O64" s="64"/>
      <c r="P64" s="109">
        <f t="shared" ref="P64:Y64" si="66">SUM(P62:P63)</f>
        <v>0</v>
      </c>
      <c r="Q64" s="107">
        <f t="shared" si="66"/>
        <v>24.195307500000002</v>
      </c>
      <c r="R64" s="65">
        <f t="shared" si="66"/>
        <v>0</v>
      </c>
      <c r="S64" s="65">
        <f t="shared" si="66"/>
        <v>0</v>
      </c>
      <c r="T64" s="65">
        <f t="shared" si="66"/>
        <v>0</v>
      </c>
      <c r="U64" s="65">
        <f t="shared" si="66"/>
        <v>25.799999999999997</v>
      </c>
      <c r="V64" s="65">
        <f t="shared" si="66"/>
        <v>0</v>
      </c>
      <c r="W64" s="65">
        <f t="shared" si="66"/>
        <v>0</v>
      </c>
      <c r="X64" s="65">
        <f t="shared" si="66"/>
        <v>0</v>
      </c>
      <c r="Y64" s="65">
        <f t="shared" si="66"/>
        <v>354.51000000000005</v>
      </c>
      <c r="AA64" s="99">
        <f>SUM(AA16:AA63)</f>
        <v>16491.288799999998</v>
      </c>
      <c r="AB64" s="99">
        <f>SUM(AB16:AB63)</f>
        <v>130826.6914425</v>
      </c>
      <c r="AC64" s="99">
        <f>SUM(AC16:AC63)</f>
        <v>147317.98024249999</v>
      </c>
      <c r="AD64" s="99"/>
      <c r="AE64" s="99">
        <f>SUM(AE16:AE63)</f>
        <v>12843.610000000002</v>
      </c>
    </row>
    <row r="65" spans="1:31" s="28" customFormat="1" ht="16" customHeight="1">
      <c r="A65" s="123" t="s">
        <v>107</v>
      </c>
      <c r="B65" s="124"/>
      <c r="C65" s="124"/>
      <c r="D65" s="124"/>
      <c r="E65" s="124"/>
      <c r="F65" s="124"/>
      <c r="G65" s="125">
        <f>SUM(G64,G59,G54,G48,G43,G37,G18)</f>
        <v>173</v>
      </c>
      <c r="H65" s="126"/>
      <c r="I65" s="126"/>
      <c r="J65" s="126"/>
      <c r="K65" s="126">
        <f>SUM(K64,K59,K54,K48,K43,K37,K18)</f>
        <v>1417.1699999999998</v>
      </c>
      <c r="L65" s="127"/>
      <c r="M65" s="127"/>
      <c r="N65" s="127"/>
      <c r="O65" s="128"/>
      <c r="P65" s="129">
        <f t="shared" ref="P65:Y65" si="67">SUM(P64,P59,P54,P48,P43,P37,P18)</f>
        <v>392.69499999999994</v>
      </c>
      <c r="Q65" s="130">
        <f t="shared" si="67"/>
        <v>870.49667249999993</v>
      </c>
      <c r="R65" s="131">
        <f t="shared" si="67"/>
        <v>0</v>
      </c>
      <c r="S65" s="131">
        <f t="shared" si="67"/>
        <v>0</v>
      </c>
      <c r="T65" s="131">
        <f t="shared" si="67"/>
        <v>549.13</v>
      </c>
      <c r="U65" s="131">
        <f t="shared" si="67"/>
        <v>665.4</v>
      </c>
      <c r="V65" s="131">
        <f t="shared" si="67"/>
        <v>149.4888</v>
      </c>
      <c r="W65" s="131">
        <f t="shared" si="67"/>
        <v>0</v>
      </c>
      <c r="X65" s="131">
        <f t="shared" si="67"/>
        <v>5118</v>
      </c>
      <c r="Y65" s="131">
        <f t="shared" si="67"/>
        <v>12843.61</v>
      </c>
      <c r="AA65" s="99"/>
      <c r="AB65" s="99"/>
      <c r="AC65" s="99"/>
      <c r="AD65" s="99"/>
      <c r="AE65" s="99"/>
    </row>
    <row r="66" spans="1:31" s="28" customFormat="1" ht="16" customHeight="1" thickBot="1">
      <c r="A66" s="66"/>
      <c r="B66" s="67"/>
      <c r="C66" s="67"/>
      <c r="D66" s="67"/>
      <c r="E66" s="67"/>
      <c r="F66" s="67"/>
      <c r="G66" s="67"/>
      <c r="H66" s="67"/>
      <c r="I66" s="67"/>
      <c r="J66" s="56"/>
      <c r="K66" s="57"/>
      <c r="L66" s="57"/>
      <c r="M66" s="57"/>
      <c r="N66" s="57"/>
      <c r="O66" s="58"/>
      <c r="P66" s="58"/>
      <c r="Q66" s="58"/>
      <c r="R66" s="59"/>
      <c r="S66" s="59"/>
      <c r="T66" s="59"/>
      <c r="U66" s="59"/>
      <c r="V66" s="59"/>
      <c r="W66" s="60"/>
      <c r="X66" s="68" t="s">
        <v>25</v>
      </c>
      <c r="Y66" s="60"/>
    </row>
    <row r="67" spans="1:31" s="28" customFormat="1" ht="18.5" thickTop="1">
      <c r="A67" s="44"/>
      <c r="B67" s="132"/>
      <c r="C67" s="132"/>
      <c r="D67" s="132"/>
      <c r="E67" s="132"/>
      <c r="F67" s="132"/>
      <c r="G67" s="132"/>
      <c r="H67" s="132"/>
      <c r="I67" s="23"/>
      <c r="J67" s="48"/>
      <c r="K67" s="25"/>
      <c r="L67" s="25"/>
      <c r="M67" s="25"/>
      <c r="N67" s="25"/>
      <c r="O67" s="26"/>
      <c r="P67" s="26"/>
      <c r="Q67" s="26"/>
      <c r="R67" s="49"/>
      <c r="S67" s="49"/>
      <c r="T67" s="49"/>
      <c r="U67" s="49"/>
      <c r="V67" s="49"/>
      <c r="X67" s="69" t="s">
        <v>16</v>
      </c>
      <c r="Y67" s="121">
        <f>SUM(R65:Y65)</f>
        <v>19325.628799999999</v>
      </c>
    </row>
    <row r="68" spans="1:31" s="28" customFormat="1" ht="18">
      <c r="A68" s="97" t="s">
        <v>53</v>
      </c>
      <c r="B68" s="78"/>
      <c r="C68" s="78"/>
      <c r="D68" s="78"/>
      <c r="E68" s="78"/>
      <c r="F68" s="79"/>
      <c r="G68" s="79"/>
      <c r="H68" s="79"/>
      <c r="I68" s="23"/>
      <c r="J68" s="48"/>
      <c r="K68" s="25"/>
      <c r="L68" s="25"/>
      <c r="M68" s="25"/>
      <c r="N68" s="25"/>
      <c r="O68" s="26"/>
      <c r="P68" s="26"/>
      <c r="Q68" s="26"/>
      <c r="R68" s="49"/>
      <c r="S68" s="49"/>
      <c r="T68" s="49"/>
      <c r="U68" s="49"/>
      <c r="V68" s="49"/>
      <c r="X68" s="69" t="s">
        <v>17</v>
      </c>
      <c r="Y68" s="122"/>
    </row>
    <row r="69" spans="1:31" ht="15">
      <c r="A69" s="44"/>
      <c r="B69" s="36"/>
      <c r="C69" s="36"/>
      <c r="D69" s="36"/>
      <c r="E69" s="36"/>
      <c r="G69" s="22"/>
      <c r="H69" s="23"/>
      <c r="J69" s="48"/>
      <c r="K69" s="25"/>
      <c r="L69" s="25"/>
      <c r="M69" s="25"/>
      <c r="N69" s="25"/>
      <c r="O69" s="26"/>
      <c r="P69" s="26"/>
      <c r="Q69" s="26"/>
      <c r="W69" s="22"/>
      <c r="X69" s="69" t="s">
        <v>18</v>
      </c>
      <c r="Y69" s="122">
        <f>Y67-Y68</f>
        <v>19325.628799999999</v>
      </c>
      <c r="AC69" s="100"/>
    </row>
    <row r="70" spans="1:31" ht="21" customHeight="1">
      <c r="A70" s="50" t="s">
        <v>63</v>
      </c>
      <c r="G70" s="22"/>
      <c r="H70" s="23"/>
      <c r="J70" s="48"/>
      <c r="K70" s="25"/>
      <c r="L70" s="25"/>
      <c r="M70" s="25"/>
      <c r="N70" s="25"/>
      <c r="O70" s="26"/>
      <c r="P70" s="26"/>
      <c r="Q70" s="26"/>
      <c r="W70" s="110"/>
      <c r="X70" s="110"/>
      <c r="Y70" s="120"/>
    </row>
    <row r="71" spans="1:31" ht="21" customHeight="1">
      <c r="A71" s="50" t="s">
        <v>62</v>
      </c>
      <c r="B71" s="111"/>
      <c r="C71" s="111"/>
      <c r="D71" s="111"/>
      <c r="E71" s="111"/>
      <c r="G71" s="22"/>
      <c r="H71" s="23"/>
      <c r="J71" s="48"/>
      <c r="K71" s="25"/>
      <c r="L71" s="25"/>
      <c r="M71" s="25"/>
      <c r="N71" s="25"/>
      <c r="O71" s="26"/>
      <c r="P71" s="26"/>
      <c r="Q71" s="26"/>
      <c r="W71" s="110"/>
      <c r="X71" s="110"/>
      <c r="Y71" s="112"/>
    </row>
    <row r="72" spans="1:31" ht="21" customHeight="1">
      <c r="A72" s="113" t="s">
        <v>64</v>
      </c>
      <c r="B72" s="111"/>
      <c r="C72" s="111"/>
      <c r="D72" s="111"/>
      <c r="E72" s="111"/>
      <c r="F72" s="114"/>
      <c r="G72" s="114"/>
      <c r="H72" s="114"/>
      <c r="I72" s="114"/>
      <c r="J72" s="115"/>
      <c r="K72" s="114"/>
      <c r="L72" s="114"/>
      <c r="M72" s="114"/>
      <c r="N72" s="114"/>
      <c r="O72" s="116"/>
      <c r="P72" s="116"/>
      <c r="Q72" s="116"/>
      <c r="R72" s="116"/>
      <c r="S72" s="116"/>
      <c r="T72" s="116"/>
      <c r="U72" s="116"/>
      <c r="V72" s="116"/>
      <c r="W72" s="22"/>
      <c r="X72" s="117"/>
      <c r="Y72" s="118"/>
    </row>
    <row r="73" spans="1:31" ht="21" customHeight="1">
      <c r="A73" s="113" t="s">
        <v>65</v>
      </c>
      <c r="B73" s="111"/>
      <c r="C73" s="111"/>
      <c r="D73" s="111"/>
      <c r="E73" s="111"/>
      <c r="F73" s="114"/>
      <c r="G73" s="114"/>
      <c r="H73" s="114"/>
      <c r="I73" s="114"/>
      <c r="J73" s="114"/>
      <c r="K73" s="114"/>
      <c r="L73" s="114"/>
      <c r="M73" s="114"/>
      <c r="N73" s="114"/>
      <c r="O73" s="116"/>
      <c r="P73" s="116"/>
      <c r="Q73" s="116"/>
      <c r="R73" s="116"/>
      <c r="S73" s="116"/>
      <c r="T73" s="116"/>
      <c r="U73" s="116"/>
      <c r="V73" s="116"/>
      <c r="W73" s="119"/>
      <c r="X73" s="119"/>
      <c r="Y73" s="114"/>
    </row>
    <row r="74" spans="1:31">
      <c r="A74" s="51"/>
      <c r="B74" s="37"/>
      <c r="C74" s="37"/>
      <c r="D74" s="37"/>
      <c r="E74" s="37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70" t="s">
        <v>11</v>
      </c>
      <c r="X74" s="30"/>
      <c r="Y74" s="33" t="s">
        <v>24</v>
      </c>
    </row>
    <row r="75" spans="1:31" s="31" customFormat="1" ht="12.75" customHeight="1">
      <c r="A75" s="52"/>
      <c r="B75" s="53"/>
      <c r="C75" s="53"/>
      <c r="D75" s="53"/>
      <c r="E75" s="53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5"/>
      <c r="X75" s="55"/>
      <c r="Y75" s="54"/>
    </row>
    <row r="76" spans="1:31" s="32" customFormat="1" ht="12.75" customHeight="1">
      <c r="A76" s="21"/>
      <c r="B76" s="21"/>
      <c r="C76" s="21"/>
      <c r="D76" s="21"/>
      <c r="E76" s="21"/>
      <c r="F76" s="21"/>
      <c r="G76" s="21"/>
      <c r="H76" s="22"/>
      <c r="I76" s="23"/>
      <c r="J76" s="23"/>
      <c r="K76" s="24"/>
      <c r="L76" s="24"/>
      <c r="M76" s="24"/>
      <c r="N76" s="24"/>
      <c r="O76" s="25"/>
      <c r="P76" s="25"/>
      <c r="Q76" s="25"/>
      <c r="R76" s="26"/>
      <c r="S76" s="26"/>
      <c r="T76" s="26"/>
      <c r="U76" s="26"/>
      <c r="V76" s="26"/>
      <c r="W76" s="26"/>
      <c r="X76" s="26"/>
      <c r="Y76" s="29"/>
    </row>
    <row r="77" spans="1:31" s="31" customFormat="1" ht="12.75" customHeight="1">
      <c r="A77" s="21"/>
      <c r="B77" s="21"/>
      <c r="C77" s="21"/>
      <c r="D77" s="21"/>
      <c r="E77" s="21"/>
      <c r="F77" s="21"/>
      <c r="G77" s="21"/>
      <c r="H77" s="22"/>
      <c r="I77" s="23"/>
      <c r="J77" s="23"/>
      <c r="K77" s="24"/>
      <c r="L77" s="24"/>
      <c r="M77" s="24"/>
      <c r="N77" s="24"/>
      <c r="O77" s="25"/>
      <c r="P77" s="25"/>
      <c r="Q77" s="25"/>
      <c r="R77" s="26"/>
      <c r="S77" s="26"/>
      <c r="T77" s="26"/>
      <c r="U77" s="26"/>
      <c r="V77" s="26"/>
      <c r="W77" s="26"/>
      <c r="X77" s="26"/>
      <c r="Y77" s="29"/>
    </row>
    <row r="78" spans="1:31" s="31" customFormat="1" ht="12.75" customHeight="1">
      <c r="A78" s="21"/>
      <c r="B78" s="21"/>
      <c r="C78" s="21"/>
      <c r="D78" s="21"/>
      <c r="E78" s="21"/>
      <c r="F78" s="21"/>
      <c r="G78" s="21"/>
      <c r="H78" s="22"/>
      <c r="I78" s="23"/>
      <c r="J78" s="23"/>
      <c r="K78" s="24"/>
      <c r="L78" s="24"/>
      <c r="M78" s="24"/>
      <c r="N78" s="24"/>
      <c r="O78" s="25"/>
      <c r="P78" s="25"/>
      <c r="Q78" s="25"/>
      <c r="R78" s="26"/>
      <c r="S78" s="26"/>
      <c r="T78" s="26"/>
      <c r="U78" s="26"/>
      <c r="V78" s="26"/>
      <c r="W78" s="26"/>
      <c r="X78" s="26"/>
      <c r="Y78" s="29"/>
    </row>
    <row r="79" spans="1:31" s="31" customFormat="1" ht="12.75" customHeight="1">
      <c r="A79" s="21"/>
      <c r="B79" s="21"/>
      <c r="C79" s="21"/>
      <c r="D79" s="21"/>
      <c r="E79" s="21"/>
      <c r="F79" s="21"/>
      <c r="G79" s="21"/>
      <c r="H79" s="22"/>
      <c r="I79" s="23"/>
      <c r="J79" s="23"/>
      <c r="K79" s="24"/>
      <c r="L79" s="24"/>
      <c r="M79" s="24"/>
      <c r="N79" s="24"/>
      <c r="O79" s="25"/>
      <c r="P79" s="25"/>
      <c r="Q79" s="25"/>
      <c r="R79" s="26"/>
      <c r="S79" s="26"/>
      <c r="T79" s="26"/>
      <c r="U79" s="26"/>
      <c r="V79" s="26"/>
      <c r="W79" s="26"/>
      <c r="X79" s="26"/>
      <c r="Y79" s="29"/>
    </row>
  </sheetData>
  <mergeCells count="4">
    <mergeCell ref="B67:H67"/>
    <mergeCell ref="A1:Y1"/>
    <mergeCell ref="A2:Y2"/>
    <mergeCell ref="A3:Y3"/>
  </mergeCells>
  <phoneticPr fontId="3" type="noConversion"/>
  <conditionalFormatting sqref="F46:F47">
    <cfRule type="containsText" dxfId="6" priority="7" operator="containsText" text="18K">
      <formula>NOT(ISERROR(SEARCH("18K",F46)))</formula>
    </cfRule>
  </conditionalFormatting>
  <conditionalFormatting sqref="F16:F17">
    <cfRule type="containsText" dxfId="5" priority="6" operator="containsText" text="18K">
      <formula>NOT(ISERROR(SEARCH("18K",F16)))</formula>
    </cfRule>
  </conditionalFormatting>
  <conditionalFormatting sqref="F21:F36">
    <cfRule type="containsText" dxfId="4" priority="5" operator="containsText" text="18K">
      <formula>NOT(ISERROR(SEARCH("18K",F21)))</formula>
    </cfRule>
  </conditionalFormatting>
  <conditionalFormatting sqref="F40:F42">
    <cfRule type="containsText" dxfId="3" priority="4" operator="containsText" text="18K">
      <formula>NOT(ISERROR(SEARCH("18K",F40)))</formula>
    </cfRule>
  </conditionalFormatting>
  <conditionalFormatting sqref="F51:F53">
    <cfRule type="containsText" dxfId="2" priority="3" operator="containsText" text="18K">
      <formula>NOT(ISERROR(SEARCH("18K",F51)))</formula>
    </cfRule>
  </conditionalFormatting>
  <conditionalFormatting sqref="F57:F58">
    <cfRule type="containsText" dxfId="1" priority="2" operator="containsText" text="18K">
      <formula>NOT(ISERROR(SEARCH("18K",F57)))</formula>
    </cfRule>
  </conditionalFormatting>
  <conditionalFormatting sqref="F62:F63">
    <cfRule type="containsText" dxfId="0" priority="1" operator="containsText" text="18K">
      <formula>NOT(ISERROR(SEARCH("18K",F62)))</formula>
    </cfRule>
  </conditionalFormatting>
  <pageMargins left="0" right="0" top="0.19685039370078741" bottom="0" header="0.31496062992125984" footer="0.31496062992125984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2025-04-16T12:32:27Z</dcterms:modified>
</cp:coreProperties>
</file>