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69\Sharing EPO Team\GOLD EXPORT\250510\CLEARANCE\"/>
    </mc:Choice>
  </mc:AlternateContent>
  <xr:revisionPtr revIDLastSave="0" documentId="13_ncr:1_{42D1DC4E-989E-4F8B-9533-FC227C9B412E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PI!$A$1:$Y$84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3" i="1" l="1"/>
  <c r="U73" i="1"/>
  <c r="S73" i="1"/>
  <c r="R73" i="1"/>
  <c r="P73" i="1"/>
  <c r="G73" i="1"/>
  <c r="X72" i="1"/>
  <c r="T72" i="1"/>
  <c r="O72" i="1"/>
  <c r="K72" i="1"/>
  <c r="Q72" i="1" s="1"/>
  <c r="AB72" i="1" s="1"/>
  <c r="X71" i="1"/>
  <c r="T71" i="1"/>
  <c r="O71" i="1"/>
  <c r="K71" i="1"/>
  <c r="X70" i="1"/>
  <c r="T70" i="1"/>
  <c r="O70" i="1"/>
  <c r="K70" i="1"/>
  <c r="X69" i="1"/>
  <c r="V69" i="1"/>
  <c r="T69" i="1"/>
  <c r="O69" i="1"/>
  <c r="K69" i="1"/>
  <c r="X68" i="1"/>
  <c r="T68" i="1"/>
  <c r="O68" i="1"/>
  <c r="K68" i="1"/>
  <c r="X67" i="1"/>
  <c r="T67" i="1"/>
  <c r="O67" i="1"/>
  <c r="K67" i="1"/>
  <c r="T73" i="1" l="1"/>
  <c r="X73" i="1"/>
  <c r="Y69" i="1"/>
  <c r="AE69" i="1" s="1"/>
  <c r="Q69" i="1"/>
  <c r="AB69" i="1" s="1"/>
  <c r="Z69" i="1"/>
  <c r="Z67" i="1"/>
  <c r="K73" i="1"/>
  <c r="Y67" i="1"/>
  <c r="V67" i="1"/>
  <c r="Q67" i="1"/>
  <c r="V70" i="1"/>
  <c r="Q70" i="1"/>
  <c r="AB70" i="1" s="1"/>
  <c r="Z70" i="1"/>
  <c r="Y70" i="1"/>
  <c r="AE70" i="1" s="1"/>
  <c r="Z68" i="1"/>
  <c r="Y68" i="1"/>
  <c r="AE68" i="1" s="1"/>
  <c r="V68" i="1"/>
  <c r="Q68" i="1"/>
  <c r="AB68" i="1" s="1"/>
  <c r="V71" i="1"/>
  <c r="Q71" i="1"/>
  <c r="AB71" i="1" s="1"/>
  <c r="Z71" i="1"/>
  <c r="Y71" i="1"/>
  <c r="AE71" i="1" s="1"/>
  <c r="V72" i="1"/>
  <c r="Y72" i="1"/>
  <c r="AE72" i="1" s="1"/>
  <c r="Z72" i="1"/>
  <c r="AA71" i="1" l="1"/>
  <c r="AC71" i="1" s="1"/>
  <c r="AA70" i="1"/>
  <c r="AC70" i="1" s="1"/>
  <c r="AA72" i="1"/>
  <c r="AC72" i="1" s="1"/>
  <c r="Q73" i="1"/>
  <c r="AB67" i="1"/>
  <c r="V73" i="1"/>
  <c r="Y73" i="1"/>
  <c r="AE67" i="1"/>
  <c r="AA68" i="1"/>
  <c r="AC68" i="1" s="1"/>
  <c r="AA69" i="1"/>
  <c r="AC69" i="1" s="1"/>
  <c r="AA67" i="1" l="1"/>
  <c r="AC67" i="1" l="1"/>
  <c r="W64" i="1" l="1"/>
  <c r="U64" i="1"/>
  <c r="S64" i="1"/>
  <c r="R64" i="1"/>
  <c r="P64" i="1"/>
  <c r="G64" i="1"/>
  <c r="X63" i="1"/>
  <c r="T63" i="1"/>
  <c r="O63" i="1"/>
  <c r="K63" i="1"/>
  <c r="X64" i="1"/>
  <c r="T64" i="1"/>
  <c r="Q63" i="1" l="1"/>
  <c r="AB63" i="1" s="1"/>
  <c r="Z63" i="1"/>
  <c r="Y63" i="1"/>
  <c r="AE63" i="1" s="1"/>
  <c r="V63" i="1"/>
  <c r="V64" i="1" s="1"/>
  <c r="K64" i="1"/>
  <c r="Y64" i="1" l="1"/>
  <c r="Q64" i="1"/>
  <c r="AA63" i="1"/>
  <c r="AC63" i="1" s="1"/>
  <c r="X60" i="1" l="1"/>
  <c r="W60" i="1"/>
  <c r="V60" i="1"/>
  <c r="U60" i="1"/>
  <c r="T60" i="1"/>
  <c r="S60" i="1"/>
  <c r="P60" i="1"/>
  <c r="G60" i="1"/>
  <c r="R59" i="1"/>
  <c r="K59" i="1"/>
  <c r="Z59" i="1" s="1"/>
  <c r="R58" i="1"/>
  <c r="K58" i="1"/>
  <c r="R57" i="1"/>
  <c r="K57" i="1"/>
  <c r="R56" i="1"/>
  <c r="K56" i="1"/>
  <c r="R55" i="1"/>
  <c r="K55" i="1"/>
  <c r="R54" i="1"/>
  <c r="K54" i="1"/>
  <c r="R53" i="1"/>
  <c r="K53" i="1"/>
  <c r="Z53" i="1" s="1"/>
  <c r="R52" i="1"/>
  <c r="K52" i="1"/>
  <c r="R51" i="1"/>
  <c r="K51" i="1"/>
  <c r="R50" i="1"/>
  <c r="K50" i="1"/>
  <c r="R49" i="1"/>
  <c r="K49" i="1"/>
  <c r="R60" i="1" l="1"/>
  <c r="Q52" i="1"/>
  <c r="AB52" i="1" s="1"/>
  <c r="Z52" i="1"/>
  <c r="Y52" i="1"/>
  <c r="AE52" i="1" s="1"/>
  <c r="Z58" i="1"/>
  <c r="Y58" i="1"/>
  <c r="AE58" i="1" s="1"/>
  <c r="Q58" i="1"/>
  <c r="AB58" i="1" s="1"/>
  <c r="Q49" i="1"/>
  <c r="Y49" i="1"/>
  <c r="K60" i="1"/>
  <c r="Z49" i="1"/>
  <c r="Q54" i="1"/>
  <c r="AB54" i="1" s="1"/>
  <c r="Z54" i="1"/>
  <c r="Y54" i="1"/>
  <c r="AE54" i="1" s="1"/>
  <c r="Y55" i="1"/>
  <c r="AE55" i="1" s="1"/>
  <c r="Q55" i="1"/>
  <c r="AB55" i="1" s="1"/>
  <c r="Z55" i="1"/>
  <c r="Z50" i="1"/>
  <c r="Y50" i="1"/>
  <c r="AE50" i="1" s="1"/>
  <c r="Q50" i="1"/>
  <c r="AB50" i="1" s="1"/>
  <c r="Z56" i="1"/>
  <c r="Y56" i="1"/>
  <c r="AE56" i="1" s="1"/>
  <c r="Q56" i="1"/>
  <c r="AB56" i="1" s="1"/>
  <c r="Z51" i="1"/>
  <c r="Y51" i="1"/>
  <c r="AE51" i="1" s="1"/>
  <c r="Q51" i="1"/>
  <c r="AB51" i="1" s="1"/>
  <c r="Z57" i="1"/>
  <c r="Y57" i="1"/>
  <c r="AE57" i="1" s="1"/>
  <c r="Q57" i="1"/>
  <c r="AB57" i="1" s="1"/>
  <c r="Q53" i="1"/>
  <c r="AB53" i="1" s="1"/>
  <c r="Q59" i="1"/>
  <c r="AB59" i="1" s="1"/>
  <c r="Y53" i="1"/>
  <c r="AE53" i="1" s="1"/>
  <c r="AA53" i="1" s="1"/>
  <c r="Y59" i="1"/>
  <c r="AE59" i="1" s="1"/>
  <c r="AA59" i="1" s="1"/>
  <c r="AA54" i="1" l="1"/>
  <c r="AA57" i="1"/>
  <c r="AC57" i="1" s="1"/>
  <c r="AC53" i="1"/>
  <c r="AA50" i="1"/>
  <c r="AC50" i="1" s="1"/>
  <c r="AA58" i="1"/>
  <c r="AC58" i="1" s="1"/>
  <c r="AC59" i="1"/>
  <c r="Y60" i="1"/>
  <c r="AE49" i="1"/>
  <c r="AC54" i="1"/>
  <c r="AA56" i="1"/>
  <c r="AC56" i="1" s="1"/>
  <c r="Q60" i="1"/>
  <c r="AB49" i="1"/>
  <c r="AA55" i="1"/>
  <c r="AC55" i="1" s="1"/>
  <c r="AA51" i="1"/>
  <c r="AC51" i="1" s="1"/>
  <c r="AA52" i="1"/>
  <c r="AC52" i="1" s="1"/>
  <c r="AA49" i="1" l="1"/>
  <c r="AC49" i="1" l="1"/>
  <c r="W46" i="1" l="1"/>
  <c r="U46" i="1"/>
  <c r="S46" i="1"/>
  <c r="R46" i="1"/>
  <c r="P46" i="1"/>
  <c r="G46" i="1"/>
  <c r="X45" i="1"/>
  <c r="V45" i="1"/>
  <c r="T45" i="1"/>
  <c r="O45" i="1"/>
  <c r="K45" i="1"/>
  <c r="T46" i="1" l="1"/>
  <c r="X46" i="1"/>
  <c r="K46" i="1"/>
  <c r="Y45" i="1"/>
  <c r="AE45" i="1" s="1"/>
  <c r="Z45" i="1"/>
  <c r="Q45" i="1"/>
  <c r="AB45" i="1" s="1"/>
  <c r="V46" i="1" l="1"/>
  <c r="Q46" i="1"/>
  <c r="AA45" i="1"/>
  <c r="AC45" i="1" s="1"/>
  <c r="Y46" i="1"/>
  <c r="W42" i="1" l="1"/>
  <c r="U42" i="1"/>
  <c r="S42" i="1"/>
  <c r="R42" i="1"/>
  <c r="P42" i="1"/>
  <c r="G42" i="1"/>
  <c r="X41" i="1"/>
  <c r="X42" i="1" s="1"/>
  <c r="T41" i="1"/>
  <c r="T42" i="1" s="1"/>
  <c r="K41" i="1"/>
  <c r="V41" i="1" l="1"/>
  <c r="V42" i="1" s="1"/>
  <c r="Q41" i="1"/>
  <c r="K42" i="1"/>
  <c r="Z41" i="1"/>
  <c r="Y41" i="1"/>
  <c r="Q42" i="1" l="1"/>
  <c r="AB41" i="1"/>
  <c r="Y42" i="1"/>
  <c r="AE41" i="1"/>
  <c r="AA41" i="1" l="1"/>
  <c r="AC41" i="1" l="1"/>
  <c r="W38" i="1" l="1"/>
  <c r="U38" i="1"/>
  <c r="S38" i="1"/>
  <c r="R38" i="1"/>
  <c r="P38" i="1"/>
  <c r="G38" i="1"/>
  <c r="X37" i="1"/>
  <c r="T37" i="1"/>
  <c r="O37" i="1"/>
  <c r="K37" i="1"/>
  <c r="X38" i="1" l="1"/>
  <c r="T38" i="1"/>
  <c r="Q37" i="1"/>
  <c r="AB37" i="1" s="1"/>
  <c r="Y37" i="1"/>
  <c r="AE37" i="1" s="1"/>
  <c r="Z37" i="1"/>
  <c r="V37" i="1"/>
  <c r="K38" i="1"/>
  <c r="V38" i="1" l="1"/>
  <c r="AA37" i="1"/>
  <c r="AC37" i="1" s="1"/>
  <c r="Y38" i="1"/>
  <c r="Q38" i="1"/>
  <c r="W34" i="1" l="1"/>
  <c r="S34" i="1"/>
  <c r="P34" i="1"/>
  <c r="G34" i="1"/>
  <c r="X33" i="1"/>
  <c r="U33" i="1"/>
  <c r="T33" i="1"/>
  <c r="R33" i="1"/>
  <c r="K33" i="1"/>
  <c r="X32" i="1"/>
  <c r="U32" i="1"/>
  <c r="T32" i="1"/>
  <c r="R32" i="1"/>
  <c r="K32" i="1"/>
  <c r="X31" i="1"/>
  <c r="U31" i="1"/>
  <c r="T31" i="1"/>
  <c r="R31" i="1"/>
  <c r="K31" i="1"/>
  <c r="U34" i="1" l="1"/>
  <c r="R34" i="1"/>
  <c r="X34" i="1"/>
  <c r="T34" i="1"/>
  <c r="K34" i="1"/>
  <c r="Q32" i="1"/>
  <c r="AB32" i="1" s="1"/>
  <c r="Z32" i="1"/>
  <c r="Y32" i="1"/>
  <c r="AE32" i="1" s="1"/>
  <c r="V32" i="1"/>
  <c r="V31" i="1"/>
  <c r="Q31" i="1"/>
  <c r="AB31" i="1" s="1"/>
  <c r="Z31" i="1"/>
  <c r="Y31" i="1"/>
  <c r="AE31" i="1" s="1"/>
  <c r="Y33" i="1"/>
  <c r="AE33" i="1" s="1"/>
  <c r="V33" i="1"/>
  <c r="Z33" i="1"/>
  <c r="Q33" i="1"/>
  <c r="AB33" i="1" s="1"/>
  <c r="Q34" i="1" l="1"/>
  <c r="V34" i="1"/>
  <c r="AA33" i="1"/>
  <c r="AC33" i="1" s="1"/>
  <c r="Y34" i="1"/>
  <c r="AA32" i="1"/>
  <c r="AC32" i="1" s="1"/>
  <c r="AA31" i="1"/>
  <c r="AC31" i="1" s="1"/>
  <c r="W28" i="1" l="1"/>
  <c r="S28" i="1"/>
  <c r="P28" i="1"/>
  <c r="G28" i="1"/>
  <c r="X27" i="1"/>
  <c r="V27" i="1"/>
  <c r="U27" i="1"/>
  <c r="T27" i="1"/>
  <c r="R27" i="1"/>
  <c r="K27" i="1"/>
  <c r="X26" i="1"/>
  <c r="V26" i="1"/>
  <c r="U26" i="1"/>
  <c r="T26" i="1"/>
  <c r="R26" i="1"/>
  <c r="K26" i="1"/>
  <c r="X25" i="1"/>
  <c r="V25" i="1"/>
  <c r="U25" i="1"/>
  <c r="T25" i="1"/>
  <c r="R25" i="1"/>
  <c r="K25" i="1"/>
  <c r="R28" i="1" l="1"/>
  <c r="T28" i="1"/>
  <c r="V28" i="1"/>
  <c r="U28" i="1"/>
  <c r="X28" i="1"/>
  <c r="Y25" i="1"/>
  <c r="K28" i="1"/>
  <c r="Q25" i="1"/>
  <c r="Z25" i="1"/>
  <c r="Q27" i="1"/>
  <c r="AB27" i="1" s="1"/>
  <c r="Z27" i="1"/>
  <c r="Y27" i="1"/>
  <c r="AE27" i="1" s="1"/>
  <c r="AA27" i="1" s="1"/>
  <c r="Q26" i="1"/>
  <c r="AB26" i="1" s="1"/>
  <c r="Z26" i="1"/>
  <c r="Y26" i="1"/>
  <c r="AE26" i="1" s="1"/>
  <c r="AC27" i="1" l="1"/>
  <c r="AA26" i="1"/>
  <c r="AC26" i="1" s="1"/>
  <c r="AB25" i="1"/>
  <c r="Q28" i="1"/>
  <c r="Y28" i="1"/>
  <c r="AE25" i="1"/>
  <c r="AA25" i="1" l="1"/>
  <c r="AC25" i="1" l="1"/>
  <c r="W22" i="1" l="1"/>
  <c r="S22" i="1"/>
  <c r="P22" i="1"/>
  <c r="G22" i="1"/>
  <c r="X21" i="1"/>
  <c r="T21" i="1"/>
  <c r="O21" i="1"/>
  <c r="K21" i="1"/>
  <c r="U22" i="1"/>
  <c r="R22" i="1"/>
  <c r="T22" i="1" l="1"/>
  <c r="X22" i="1"/>
  <c r="K22" i="1"/>
  <c r="Q21" i="1"/>
  <c r="AB21" i="1" s="1"/>
  <c r="Z21" i="1"/>
  <c r="Y21" i="1"/>
  <c r="AE21" i="1" s="1"/>
  <c r="V21" i="1"/>
  <c r="V22" i="1" l="1"/>
  <c r="Q22" i="1"/>
  <c r="Y22" i="1"/>
  <c r="AA21" i="1"/>
  <c r="AC21" i="1" s="1"/>
  <c r="X17" i="1" l="1"/>
  <c r="X16" i="1"/>
  <c r="T17" i="1"/>
  <c r="T16" i="1"/>
  <c r="O17" i="1"/>
  <c r="O16" i="1"/>
  <c r="T18" i="1" l="1"/>
  <c r="T74" i="1" s="1"/>
  <c r="K16" i="1"/>
  <c r="Q16" i="1" s="1"/>
  <c r="AB16" i="1" s="1"/>
  <c r="K17" i="1"/>
  <c r="Q17" i="1" s="1"/>
  <c r="AB17" i="1" s="1"/>
  <c r="P18" i="1"/>
  <c r="P74" i="1" s="1"/>
  <c r="AB73" i="1" l="1"/>
  <c r="Q18" i="1" l="1"/>
  <c r="Q74" i="1" s="1"/>
  <c r="Z16" i="1" l="1"/>
  <c r="Z17" i="1"/>
  <c r="V16" i="1"/>
  <c r="V17" i="1"/>
  <c r="Y17" i="1" l="1"/>
  <c r="AE17" i="1" l="1"/>
  <c r="AA17" i="1" s="1"/>
  <c r="AC17" i="1" s="1"/>
  <c r="Y16" i="1"/>
  <c r="AE16" i="1" l="1"/>
  <c r="AE73" i="1" s="1"/>
  <c r="AA16" i="1" l="1"/>
  <c r="W18" i="1"/>
  <c r="W74" i="1" s="1"/>
  <c r="S18" i="1"/>
  <c r="S74" i="1" s="1"/>
  <c r="R18" i="1"/>
  <c r="R74" i="1" s="1"/>
  <c r="G18" i="1"/>
  <c r="G74" i="1" s="1"/>
  <c r="AC16" i="1" l="1"/>
  <c r="AC73" i="1" s="1"/>
  <c r="AA73" i="1"/>
  <c r="K18" i="1"/>
  <c r="K74" i="1" s="1"/>
  <c r="U18" i="1"/>
  <c r="U74" i="1" s="1"/>
  <c r="X18" i="1"/>
  <c r="X74" i="1" s="1"/>
  <c r="V18" i="1" l="1"/>
  <c r="V74" i="1" s="1"/>
  <c r="Y18" i="1"/>
  <c r="Y74" i="1" s="1"/>
  <c r="Y76" i="1" l="1"/>
  <c r="Y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Aissa Lintang</author>
  </authors>
  <commentList>
    <comment ref="R25" authorId="0" shapeId="0" xr:uid="{C1976768-771B-43B8-982C-F890F487AEA6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26" authorId="0" shapeId="0" xr:uid="{B8AB3C86-EE01-4A58-B624-43774CF105E5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27" authorId="0" shapeId="0" xr:uid="{A2F6C850-7645-43AB-A7F7-F5767D917B9E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31" authorId="0" shapeId="0" xr:uid="{3B53DBB4-BDC2-450B-B5FF-E3AAFDF2FD3F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32" authorId="0" shapeId="0" xr:uid="{71AB9D0C-E1BA-490A-9C71-AF9861687D40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33" authorId="0" shapeId="0" xr:uid="{F1ED6AA7-B1C5-4DB6-8138-5DC60C3D22BF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49" authorId="0" shapeId="0" xr:uid="{1F358E53-3425-4FBE-BB83-248E348C03B8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0" authorId="0" shapeId="0" xr:uid="{C1253A9D-8661-465F-AA3A-ABA02576136E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1" authorId="0" shapeId="0" xr:uid="{BF41C107-E421-4BBF-802E-F390582BF32E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2" authorId="0" shapeId="0" xr:uid="{69ACF952-7D34-400D-811F-AEE527BD3C65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3" authorId="0" shapeId="0" xr:uid="{4E9128A8-7A6E-4AB8-8E63-3F1C9CBBD6F3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4" authorId="0" shapeId="0" xr:uid="{3969839A-BBCE-43DA-8C5D-8B6BCFB59E4D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5" authorId="0" shapeId="0" xr:uid="{1F8898DF-843B-4D09-98F9-59DEFF47DA5F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6" authorId="0" shapeId="0" xr:uid="{85E533FA-9FC5-48A9-A4AA-D88A72F7B605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7" authorId="0" shapeId="0" xr:uid="{36754BCA-20DB-4BFC-ADF3-D1194F86DC6A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8" authorId="0" shapeId="0" xr:uid="{2EBE74CC-3543-4BC6-A395-2875A4B6FCB7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R59" authorId="0" shapeId="0" xr:uid="{89FF834D-E0FD-4B8C-B30B-280CF56ABC70}">
      <text>
        <r>
          <rPr>
            <b/>
            <sz val="9"/>
            <color indexed="81"/>
            <rFont val="Tahoma"/>
            <family val="2"/>
          </rPr>
          <t>DEV COST</t>
        </r>
      </text>
    </comment>
  </commentList>
</comments>
</file>

<file path=xl/sharedStrings.xml><?xml version="1.0" encoding="utf-8"?>
<sst xmlns="http://schemas.openxmlformats.org/spreadsheetml/2006/main" count="488" uniqueCount="178">
  <si>
    <t>Seller:</t>
  </si>
  <si>
    <t>Consignee:</t>
  </si>
  <si>
    <t xml:space="preserve">A/C No. : </t>
  </si>
  <si>
    <t xml:space="preserve">C/T No. : </t>
  </si>
  <si>
    <t>PO#</t>
    <phoneticPr fontId="11" type="noConversion"/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</si>
  <si>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</si>
  <si>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</si>
  <si>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</si>
  <si>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</si>
  <si>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</si>
  <si>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</si>
  <si>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19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</si>
  <si>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</si>
  <si>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</si>
  <si>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</si>
  <si>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</si>
  <si>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</si>
  <si>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</si>
  <si>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</si>
  <si>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</si>
  <si>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</si>
  <si>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</si>
  <si>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</si>
  <si>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</si>
  <si>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</si>
  <si>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</si>
  <si>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</si>
  <si>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</si>
  <si>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</si>
  <si>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</si>
  <si>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</si>
  <si>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</si>
  <si>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</si>
  <si>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</si>
  <si>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</si>
  <si>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</si>
  <si>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</si>
  <si>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</si>
  <si>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</si>
  <si>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</si>
  <si>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</si>
  <si>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</si>
  <si>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</si>
  <si>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</si>
  <si>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</si>
  <si>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</si>
  <si>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</si>
  <si>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</si>
  <si>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</si>
  <si>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</si>
  <si>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</si>
  <si>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</si>
  <si>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</si>
  <si>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</si>
  <si>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TOTAL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</si>
  <si>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</si>
  <si>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</si>
  <si>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</si>
  <si>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</si>
  <si>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</si>
  <si>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</si>
  <si>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</si>
  <si>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Gold W't &amp; Loss</t>
  </si>
  <si>
    <t>*) 24K current gold balance PO#</t>
  </si>
  <si>
    <t>*) 24K gold previous balance PO#</t>
  </si>
  <si>
    <t>*) Total 24K previous balance =</t>
  </si>
  <si>
    <t>*) Total 24K current gold balance =</t>
  </si>
  <si>
    <t>old labor</t>
  </si>
  <si>
    <t>labor amount</t>
  </si>
  <si>
    <t>Dia Handling Service Fee</t>
  </si>
  <si>
    <t>David Weisz and Sons</t>
  </si>
  <si>
    <t>DWS250303RB-1-18K</t>
  </si>
  <si>
    <t>Buyer Dia</t>
  </si>
  <si>
    <t>DW-106</t>
  </si>
  <si>
    <t>18K WG</t>
  </si>
  <si>
    <t>18K YG</t>
  </si>
  <si>
    <t>RBC04B</t>
  </si>
  <si>
    <t>RBC1.4M</t>
  </si>
  <si>
    <t>3rd Mar London AM + 1%</t>
  </si>
  <si>
    <t>K0214TB188 C4 7"</t>
  </si>
  <si>
    <t>K0218TB53 C4 7"</t>
  </si>
  <si>
    <t>K0218TB14 C4 7"</t>
  </si>
  <si>
    <t>BR0015</t>
  </si>
  <si>
    <t>BR0005</t>
  </si>
  <si>
    <t>BR0002</t>
  </si>
  <si>
    <t>2207-4P</t>
  </si>
  <si>
    <t>2205-3P</t>
  </si>
  <si>
    <t>2202-3P</t>
  </si>
  <si>
    <t>RBC14B</t>
  </si>
  <si>
    <t xml:space="preserve">RBC10B </t>
  </si>
  <si>
    <t>RBC03B</t>
  </si>
  <si>
    <t>SUBTOTAL</t>
  </si>
  <si>
    <t>DWS250303RB-2-18K</t>
  </si>
  <si>
    <t>DW-107</t>
  </si>
  <si>
    <t>RBC50B</t>
  </si>
  <si>
    <t xml:space="preserve"> London AM + 1%</t>
  </si>
  <si>
    <t>DWS250310DB-14K</t>
  </si>
  <si>
    <t>H0274B01 6.75"</t>
  </si>
  <si>
    <t>TB0001</t>
  </si>
  <si>
    <t>DW-116</t>
  </si>
  <si>
    <t xml:space="preserve">5501-B </t>
  </si>
  <si>
    <t>14K YG</t>
  </si>
  <si>
    <t>H0274B02 6.75"</t>
  </si>
  <si>
    <t>TB0002</t>
  </si>
  <si>
    <t xml:space="preserve">5502-B </t>
  </si>
  <si>
    <t>RBC23B</t>
  </si>
  <si>
    <t>H0274B03 6.75"</t>
  </si>
  <si>
    <t>TB0003</t>
  </si>
  <si>
    <t>5504-B</t>
  </si>
  <si>
    <t>DWS250310DB-18K</t>
  </si>
  <si>
    <t>DW-115</t>
  </si>
  <si>
    <t>RBC048B</t>
  </si>
  <si>
    <t>K02992B02 OV F 6.75"</t>
  </si>
  <si>
    <t>BF0002</t>
  </si>
  <si>
    <t>5202-B</t>
  </si>
  <si>
    <t>RBC09B</t>
  </si>
  <si>
    <t>K0042B15 6.75"</t>
  </si>
  <si>
    <t>DB0001</t>
  </si>
  <si>
    <t>5301-B</t>
  </si>
  <si>
    <t>K0042B16 6.75"</t>
  </si>
  <si>
    <t>DB0002</t>
  </si>
  <si>
    <t>5302-B</t>
  </si>
  <si>
    <t>DWS250318RB-1-18K</t>
  </si>
  <si>
    <t>DW-113</t>
  </si>
  <si>
    <t>DWS250324DB-18K</t>
  </si>
  <si>
    <t>K0218TB58 7"</t>
  </si>
  <si>
    <t>BR0431</t>
  </si>
  <si>
    <t>22017-3P</t>
  </si>
  <si>
    <t>DW-118</t>
  </si>
  <si>
    <t>RBC70B</t>
  </si>
  <si>
    <t>DWS250324RB-1-18K</t>
  </si>
  <si>
    <t>DW-120</t>
  </si>
  <si>
    <t xml:space="preserve">RBC14B </t>
  </si>
  <si>
    <t>K02699R03 #6.5</t>
  </si>
  <si>
    <t>GR0008</t>
  </si>
  <si>
    <t>4604-BY</t>
  </si>
  <si>
    <t>Mounting</t>
  </si>
  <si>
    <t>DWS250327DM-18K</t>
  </si>
  <si>
    <t>K03016TB01 C4 7"</t>
  </si>
  <si>
    <t>W</t>
  </si>
  <si>
    <t>K03016TB03 C4 7"</t>
  </si>
  <si>
    <t>K03016TB04 C4 7"</t>
  </si>
  <si>
    <t>K03016TB05 C4 7"</t>
  </si>
  <si>
    <t>K03016TB06 C4 7"</t>
  </si>
  <si>
    <t>K03017TB01 C4 7"</t>
  </si>
  <si>
    <t>K03017TB02 C4 7"</t>
  </si>
  <si>
    <t>K03017TB03 C4 7"</t>
  </si>
  <si>
    <t>K03017TB04 C4 7"</t>
  </si>
  <si>
    <t>K03017TB05 C4 7"</t>
  </si>
  <si>
    <t>K03017TB06 C4 7"</t>
  </si>
  <si>
    <t>DWS250402RB-18K</t>
  </si>
  <si>
    <t xml:space="preserve"> DW-122</t>
  </si>
  <si>
    <t>K02130N08 16"+1"+1"</t>
  </si>
  <si>
    <t>YP0002</t>
  </si>
  <si>
    <t xml:space="preserve"> 1810-P</t>
  </si>
  <si>
    <t>0.80mm
2.30mm
3.70mm</t>
  </si>
  <si>
    <t>RBC.80M (RUBY)
RBC048B
RBC18B</t>
  </si>
  <si>
    <t>6pcs
6pcs
1pcs</t>
  </si>
  <si>
    <t>DWS250407RB-18K</t>
  </si>
  <si>
    <t>K0218TN197 C4 17"</t>
  </si>
  <si>
    <t>RN0002</t>
  </si>
  <si>
    <t>DW-123</t>
  </si>
  <si>
    <t>1302-B</t>
  </si>
  <si>
    <t>2.25mm
2.70mm
2.80mm
3.30mm
3.65mm
3.90mm
4.30mm
5.05mm</t>
  </si>
  <si>
    <t>RBC048B
RBC076B
RBC09B
RBC14B
RBC18B
RBC23B
RBC30B
RBC50B</t>
  </si>
  <si>
    <t>70pcs
38pcs
18pcs
6pcs
4pcs
4pcs
4pcs
1pcs</t>
  </si>
  <si>
    <t>K0214TN337 C4 17"</t>
  </si>
  <si>
    <t>LN0008</t>
  </si>
  <si>
    <t>2803-B</t>
  </si>
  <si>
    <t>K0676TN14 C4 16"</t>
  </si>
  <si>
    <t>TN0010</t>
  </si>
  <si>
    <t>4701-BY</t>
  </si>
  <si>
    <t>K0676TN30 C4 16"</t>
  </si>
  <si>
    <t>TN0008</t>
  </si>
  <si>
    <t>4702-B</t>
  </si>
  <si>
    <t>K0676TB16 C4 7"</t>
  </si>
  <si>
    <t>BB0026</t>
  </si>
  <si>
    <t>3506-B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</si>
</sst>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0.00"/>
    <numFmt numFmtId="170" formatCode="\$#,##0.00"/>
    <numFmt numFmtId="171" formatCode="#,#00.00\ &quot;gr&quot;"/>
    <numFmt numFmtId="172" formatCode="0.00&quot;mm&quot;"/>
    <numFmt numFmtId="173" formatCode="0.00\ &quot;mm&quot;"/>
    <numFmt numFmtId="174" formatCode="#,##0.00\ &quot;g&quot;"/>
    <numFmt numFmtId="175" formatCode="\$0.00&quot;/g&quot;"/>
    <numFmt numFmtId="176" formatCode="#,##0.000\ &quot;ct&quot;"/>
  </numFmts>
  <fonts count="36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b/>
      <sz val="11"/>
      <name val="Times New Roman"/>
      <family val="1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1" fillId="0" borderId="0" applyFont="0" applyFill="0" applyBorder="0" applyAlignment="0" applyProtection="0"/>
  </cellStyleXfs>
  <cellXfs count="145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  <xf numFmtId="169" fontId="13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0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4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5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4" fillId="3" borderId="12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vertical="center"/>
    </xf>
    <xf numFmtId="0" fontId="14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3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8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0" fontId="13" fillId="0" borderId="18" xfId="0" applyNumberFormat="1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71" fontId="13" fillId="0" borderId="20" xfId="0" applyNumberFormat="1" applyFont="1" applyBorder="1" applyAlignment="1">
      <alignment horizontal="center" vertical="center"/>
    </xf>
    <xf numFmtId="167" fontId="16" fillId="0" borderId="20" xfId="0" applyNumberFormat="1" applyFont="1" applyBorder="1" applyAlignment="1">
      <alignment horizontal="center" vertical="center"/>
    </xf>
    <xf numFmtId="170" fontId="16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right" vertical="center"/>
    </xf>
    <xf numFmtId="167" fontId="26" fillId="0" borderId="0" xfId="0" applyNumberFormat="1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27" fillId="0" borderId="0" xfId="0" applyFont="1"/>
    <xf numFmtId="0" fontId="28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7" fontId="15" fillId="0" borderId="0" xfId="0" applyNumberFormat="1" applyFont="1" applyAlignment="1">
      <alignment horizontal="right" vertical="center"/>
    </xf>
    <xf numFmtId="0" fontId="29" fillId="0" borderId="6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16" fillId="0" borderId="19" xfId="0" applyFont="1" applyBorder="1" applyAlignment="1">
      <alignment horizontal="left" vertical="center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2" fontId="14" fillId="4" borderId="12" xfId="0" applyNumberFormat="1" applyFont="1" applyFill="1" applyBorder="1" applyAlignment="1">
      <alignment horizontal="center" vertical="center" wrapText="1"/>
    </xf>
    <xf numFmtId="166" fontId="14" fillId="4" borderId="12" xfId="0" applyNumberFormat="1" applyFont="1" applyFill="1" applyBorder="1" applyAlignment="1">
      <alignment horizontal="center" vertical="center" wrapText="1"/>
    </xf>
    <xf numFmtId="167" fontId="14" fillId="4" borderId="12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2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2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7" fontId="30" fillId="0" borderId="0" xfId="0" applyNumberFormat="1" applyFont="1" applyAlignment="1">
      <alignment vertical="center"/>
    </xf>
    <xf numFmtId="4" fontId="15" fillId="2" borderId="0" xfId="0" applyNumberFormat="1" applyFont="1" applyFill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67" fontId="14" fillId="6" borderId="12" xfId="0" applyNumberFormat="1" applyFont="1" applyFill="1" applyBorder="1" applyAlignment="1">
      <alignment horizontal="center" vertical="center" wrapText="1"/>
    </xf>
    <xf numFmtId="174" fontId="12" fillId="0" borderId="13" xfId="0" applyNumberFormat="1" applyFont="1" applyBorder="1" applyAlignment="1">
      <alignment horizontal="center" vertical="center"/>
    </xf>
    <xf numFmtId="174" fontId="16" fillId="0" borderId="20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6" fillId="0" borderId="20" xfId="0" applyNumberFormat="1" applyFont="1" applyBorder="1" applyAlignment="1">
      <alignment horizontal="center" vertical="center"/>
    </xf>
    <xf numFmtId="167" fontId="32" fillId="0" borderId="0" xfId="0" applyNumberFormat="1" applyFont="1" applyAlignment="1">
      <alignment horizontal="right" vertical="center"/>
    </xf>
    <xf numFmtId="0" fontId="33" fillId="0" borderId="0" xfId="2" applyFont="1" applyAlignment="1">
      <alignment vertical="center"/>
    </xf>
    <xf numFmtId="170" fontId="32" fillId="0" borderId="0" xfId="0" applyNumberFormat="1" applyFont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70" fontId="32" fillId="0" borderId="0" xfId="0" applyNumberFormat="1" applyFont="1" applyAlignment="1">
      <alignment horizontal="center" vertical="center"/>
    </xf>
    <xf numFmtId="170" fontId="26" fillId="0" borderId="2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74" fontId="13" fillId="5" borderId="0" xfId="0" applyNumberFormat="1" applyFont="1" applyFill="1" applyBorder="1" applyAlignment="1">
      <alignment horizontal="center" vertical="center"/>
    </xf>
    <xf numFmtId="171" fontId="13" fillId="0" borderId="0" xfId="0" applyNumberFormat="1" applyFont="1" applyBorder="1" applyAlignment="1">
      <alignment horizontal="center" vertical="center"/>
    </xf>
    <xf numFmtId="167" fontId="16" fillId="0" borderId="0" xfId="0" applyNumberFormat="1" applyFont="1" applyBorder="1" applyAlignment="1">
      <alignment horizontal="center" vertical="center"/>
    </xf>
    <xf numFmtId="176" fontId="16" fillId="0" borderId="0" xfId="0" applyNumberFormat="1" applyFont="1" applyBorder="1" applyAlignment="1">
      <alignment horizontal="center" vertical="center"/>
    </xf>
    <xf numFmtId="174" fontId="16" fillId="0" borderId="0" xfId="0" applyNumberFormat="1" applyFont="1" applyBorder="1" applyAlignment="1">
      <alignment horizontal="center" vertical="center"/>
    </xf>
    <xf numFmtId="170" fontId="16" fillId="0" borderId="0" xfId="0" applyNumberFormat="1" applyFont="1" applyBorder="1" applyAlignment="1">
      <alignment horizontal="center" vertical="center"/>
    </xf>
    <xf numFmtId="168" fontId="13" fillId="7" borderId="13" xfId="0" applyNumberFormat="1" applyFont="1" applyFill="1" applyBorder="1" applyAlignment="1">
      <alignment horizontal="center" vertical="center" wrapText="1"/>
    </xf>
    <xf numFmtId="1" fontId="22" fillId="0" borderId="13" xfId="0" applyNumberFormat="1" applyFont="1" applyFill="1" applyBorder="1" applyAlignment="1">
      <alignment horizontal="center" vertical="center" shrinkToFit="1"/>
    </xf>
    <xf numFmtId="174" fontId="12" fillId="0" borderId="13" xfId="0" applyNumberFormat="1" applyFont="1" applyFill="1" applyBorder="1" applyAlignment="1">
      <alignment horizontal="center" vertical="center" wrapText="1"/>
    </xf>
    <xf numFmtId="174" fontId="13" fillId="0" borderId="13" xfId="0" applyNumberFormat="1" applyFont="1" applyFill="1" applyBorder="1" applyAlignment="1">
      <alignment horizontal="center" vertical="center"/>
    </xf>
    <xf numFmtId="1" fontId="16" fillId="0" borderId="20" xfId="0" applyNumberFormat="1" applyFont="1" applyFill="1" applyBorder="1" applyAlignment="1">
      <alignment horizontal="center" vertical="center"/>
    </xf>
    <xf numFmtId="174" fontId="13" fillId="0" borderId="20" xfId="0" applyNumberFormat="1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88"/>
  <sheetViews>
    <sheetView showGridLines="0" tabSelected="1" view="pageBreakPreview" topLeftCell="O70" zoomScaleSheetLayoutView="100" workbookViewId="0">
      <selection activeCell="P74" sqref="P74"/>
    </sheetView>
  </sheetViews>
  <sheetFormatPr defaultColWidth="8.6328125" defaultRowHeight="14"/>
  <cols>
    <col min="1" max="1" width="19.08984375" style="21" customWidth="1"/>
    <col min="2" max="2" width="12.453125" style="21" customWidth="1"/>
    <col min="3" max="3" width="10.36328125" style="21" customWidth="1"/>
    <col min="4" max="4" width="17.453125" style="21" customWidth="1"/>
    <col min="5" max="5" width="12" style="21" customWidth="1"/>
    <col min="6" max="6" width="10" style="21" customWidth="1"/>
    <col min="7" max="7" width="6.9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90625" style="24" customWidth="1"/>
    <col min="13" max="13" width="10.453125" style="24" customWidth="1"/>
    <col min="14" max="14" width="8.54296875" style="24" customWidth="1"/>
    <col min="15" max="17" width="9.08984375" style="25" customWidth="1"/>
    <col min="18" max="20" width="12.453125" style="26" customWidth="1"/>
    <col min="21" max="22" width="8.453125" style="26" customWidth="1"/>
    <col min="23" max="23" width="9.08984375" style="26" customWidth="1"/>
    <col min="24" max="24" width="10" style="26" customWidth="1"/>
    <col min="25" max="25" width="13.453125" style="29" customWidth="1"/>
    <col min="26" max="27" width="11.36328125" style="22" customWidth="1"/>
    <col min="28" max="29" width="8.6328125" style="22"/>
    <col min="30" max="30" width="8.90625" style="22" bestFit="1" customWidth="1"/>
    <col min="31" max="16384" width="8.6328125" style="22"/>
  </cols>
  <sheetData>
    <row r="1" spans="1:31" s="1" customFormat="1" ht="31.5" customHeight="1">
      <c r="A1" s="139" t="s">
        <v>38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</row>
    <row r="2" spans="1:31" s="2" customFormat="1" ht="15.5">
      <c r="A2" s="141" t="s">
        <v>42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31" s="3" customFormat="1" ht="20">
      <c r="A3" s="143" t="s">
        <v>44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</row>
    <row r="4" spans="1:31" s="7" customFormat="1" ht="12" customHeight="1">
      <c r="A4" s="4" t="s">
        <v>0</v>
      </c>
      <c r="B4" s="41" t="s">
        <v>38</v>
      </c>
      <c r="C4" s="41"/>
      <c r="D4" s="41"/>
      <c r="E4" s="41"/>
      <c r="F4" s="42"/>
      <c r="G4" s="42"/>
      <c r="H4" s="42"/>
      <c r="I4" s="42"/>
      <c r="J4" s="42"/>
      <c r="K4" s="11"/>
      <c r="L4" s="5" t="s">
        <v>26</v>
      </c>
      <c r="M4" s="6"/>
      <c r="N4" s="6"/>
      <c r="O4" s="6"/>
      <c r="P4" s="6"/>
      <c r="Q4" s="6"/>
      <c r="R4" s="6"/>
      <c r="S4" s="6"/>
      <c r="T4" s="6"/>
      <c r="U4" s="6"/>
      <c r="V4" s="6"/>
      <c r="W4" s="72"/>
      <c r="X4" s="6"/>
      <c r="Y4" s="6"/>
      <c r="Z4" s="7" t="s">
        <v>61</v>
      </c>
      <c r="AA4" s="7">
        <v>0.24</v>
      </c>
    </row>
    <row r="5" spans="1:31" s="7" customFormat="1" ht="12" customHeight="1">
      <c r="A5" s="8"/>
      <c r="B5" s="38" t="s">
        <v>43</v>
      </c>
      <c r="C5" s="38"/>
      <c r="D5" s="38"/>
      <c r="E5" s="38"/>
      <c r="F5" s="71"/>
      <c r="G5" s="71"/>
      <c r="H5" s="71"/>
      <c r="I5" s="71"/>
      <c r="J5" s="71"/>
      <c r="K5" s="14"/>
      <c r="L5" s="5" t="s">
        <v>27</v>
      </c>
      <c r="M5" s="6"/>
      <c r="N5" s="6"/>
      <c r="O5" s="81"/>
      <c r="P5" s="81"/>
      <c r="Q5" s="81"/>
      <c r="R5" s="6"/>
      <c r="S5" s="6"/>
      <c r="T5" s="6"/>
      <c r="U5" s="6"/>
      <c r="V5" s="6"/>
      <c r="W5" s="6"/>
      <c r="X5" s="6"/>
      <c r="Y5" s="6"/>
    </row>
    <row r="6" spans="1:31" s="7" customFormat="1" ht="12" customHeight="1">
      <c r="A6" s="8"/>
      <c r="B6" s="38" t="s">
        <v>39</v>
      </c>
      <c r="C6" s="38"/>
      <c r="D6" s="38"/>
      <c r="E6" s="38"/>
      <c r="F6" s="71"/>
      <c r="G6" s="71"/>
      <c r="H6" s="71"/>
      <c r="I6" s="71"/>
      <c r="J6" s="71"/>
      <c r="K6" s="14"/>
      <c r="L6" s="4" t="s">
        <v>40</v>
      </c>
      <c r="M6" s="35"/>
      <c r="N6" s="10"/>
      <c r="O6" s="35"/>
      <c r="P6" s="35"/>
      <c r="Q6" s="35"/>
      <c r="R6" s="35"/>
      <c r="S6" s="35"/>
      <c r="T6" s="35"/>
      <c r="U6" s="35"/>
      <c r="V6" s="35"/>
      <c r="W6" s="10"/>
      <c r="X6" s="10"/>
      <c r="Y6" s="10"/>
    </row>
    <row r="7" spans="1:31" s="7" customFormat="1" ht="12" customHeight="1">
      <c r="A7" s="12"/>
      <c r="B7" s="39" t="s">
        <v>19</v>
      </c>
      <c r="C7" s="39"/>
      <c r="D7" s="39"/>
      <c r="E7" s="39"/>
      <c r="F7" s="40"/>
      <c r="G7" s="40"/>
      <c r="H7" s="40"/>
      <c r="I7" s="40"/>
      <c r="J7" s="40"/>
      <c r="K7" s="20"/>
      <c r="L7" s="12"/>
      <c r="M7" s="39"/>
      <c r="N7" s="13"/>
      <c r="O7" s="39"/>
      <c r="P7" s="39"/>
      <c r="Q7" s="39"/>
      <c r="R7" s="39"/>
      <c r="S7" s="39"/>
      <c r="T7" s="39"/>
      <c r="U7" s="39"/>
      <c r="V7" s="39"/>
      <c r="W7" s="13"/>
      <c r="X7" s="13"/>
      <c r="Y7" s="13"/>
    </row>
    <row r="8" spans="1:31" s="7" customFormat="1" ht="12" customHeight="1">
      <c r="A8" s="4" t="s">
        <v>1</v>
      </c>
      <c r="B8" s="41" t="s">
        <v>70</v>
      </c>
      <c r="C8" s="41"/>
      <c r="D8" s="41"/>
      <c r="E8" s="41"/>
      <c r="F8" s="41"/>
      <c r="G8" s="41"/>
      <c r="H8" s="41"/>
      <c r="I8" s="41"/>
      <c r="J8" s="41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15"/>
      <c r="W8" s="6"/>
      <c r="X8" s="6"/>
      <c r="Y8" s="6"/>
    </row>
    <row r="9" spans="1:31" s="7" customFormat="1" ht="12" customHeight="1">
      <c r="A9" s="8"/>
      <c r="B9" s="38" t="s">
        <v>51</v>
      </c>
      <c r="C9" s="38"/>
      <c r="D9" s="38"/>
      <c r="E9" s="38"/>
      <c r="F9" s="38"/>
      <c r="G9" s="38"/>
      <c r="H9" s="38"/>
      <c r="I9" s="38"/>
      <c r="J9" s="38"/>
      <c r="K9" s="14"/>
      <c r="L9" s="35" t="s">
        <v>30</v>
      </c>
      <c r="M9" s="35"/>
      <c r="N9" s="10"/>
      <c r="O9" s="10" t="s">
        <v>31</v>
      </c>
      <c r="P9" s="10"/>
      <c r="Q9" s="10"/>
      <c r="R9" s="35"/>
      <c r="S9" s="35"/>
      <c r="T9" s="35"/>
      <c r="U9" s="35"/>
      <c r="V9" s="35"/>
      <c r="W9" s="10"/>
      <c r="X9" s="10"/>
      <c r="Y9" s="10"/>
    </row>
    <row r="10" spans="1:31" s="7" customFormat="1" ht="12" customHeight="1">
      <c r="A10" s="8"/>
      <c r="B10" s="38"/>
      <c r="C10" s="38"/>
      <c r="D10" s="38"/>
      <c r="E10" s="38"/>
      <c r="F10" s="38"/>
      <c r="G10" s="38"/>
      <c r="H10" s="38"/>
      <c r="I10" s="38"/>
      <c r="J10" s="38"/>
      <c r="K10" s="14"/>
      <c r="L10" s="7" t="s">
        <v>32</v>
      </c>
      <c r="R10" s="73"/>
      <c r="S10" s="73"/>
      <c r="T10" s="73"/>
      <c r="U10" s="73"/>
      <c r="V10" s="73"/>
      <c r="W10" s="74"/>
      <c r="X10" s="16"/>
    </row>
    <row r="11" spans="1:31" s="7" customFormat="1" ht="12" customHeight="1">
      <c r="A11" s="12"/>
      <c r="B11" s="39"/>
      <c r="C11" s="39"/>
      <c r="D11" s="39"/>
      <c r="E11" s="39"/>
      <c r="F11" s="39"/>
      <c r="G11" s="39"/>
      <c r="H11" s="39"/>
      <c r="I11" s="39"/>
      <c r="J11" s="39"/>
      <c r="K11" s="20"/>
      <c r="L11" s="7" t="s">
        <v>2</v>
      </c>
      <c r="O11" s="82"/>
      <c r="P11" s="82"/>
      <c r="Q11" s="82"/>
      <c r="W11" s="16"/>
      <c r="X11" s="16"/>
    </row>
    <row r="12" spans="1:31" s="7" customFormat="1" ht="12" customHeight="1">
      <c r="A12" s="17"/>
      <c r="B12" s="75" t="s">
        <v>33</v>
      </c>
      <c r="C12" s="18"/>
      <c r="D12" s="18"/>
      <c r="E12" s="18"/>
      <c r="F12" s="18"/>
      <c r="G12" s="5"/>
      <c r="H12" s="77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3"/>
    </row>
    <row r="13" spans="1:31" s="7" customFormat="1" ht="12" customHeight="1">
      <c r="A13" s="5"/>
      <c r="B13" s="76" t="s">
        <v>41</v>
      </c>
      <c r="C13" s="6"/>
      <c r="D13" s="6"/>
      <c r="E13" s="6"/>
      <c r="F13" s="6"/>
      <c r="G13" s="5"/>
      <c r="H13" s="76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15"/>
      <c r="W13" s="6"/>
      <c r="X13" s="6"/>
      <c r="Y13" s="6"/>
      <c r="AA13" s="7" t="s">
        <v>59</v>
      </c>
      <c r="AB13" s="7">
        <v>72</v>
      </c>
    </row>
    <row r="14" spans="1:31" ht="15.9" customHeight="1">
      <c r="A14" s="50" t="s">
        <v>72</v>
      </c>
      <c r="K14" s="45"/>
      <c r="L14" s="45"/>
      <c r="M14" s="45"/>
      <c r="N14" s="45"/>
      <c r="X14" s="46"/>
      <c r="Y14" s="80" t="s">
        <v>78</v>
      </c>
      <c r="AA14" s="22" t="s">
        <v>60</v>
      </c>
      <c r="AB14" s="22">
        <v>166.57</v>
      </c>
    </row>
    <row r="15" spans="1:31" s="89" customFormat="1" ht="42">
      <c r="A15" s="84" t="s">
        <v>4</v>
      </c>
      <c r="B15" s="85" t="s">
        <v>5</v>
      </c>
      <c r="C15" s="85" t="s">
        <v>23</v>
      </c>
      <c r="D15" s="85" t="s">
        <v>45</v>
      </c>
      <c r="E15" s="85" t="s">
        <v>46</v>
      </c>
      <c r="F15" s="85" t="s">
        <v>6</v>
      </c>
      <c r="G15" s="85" t="s">
        <v>7</v>
      </c>
      <c r="H15" s="86" t="s">
        <v>8</v>
      </c>
      <c r="I15" s="86" t="s">
        <v>47</v>
      </c>
      <c r="J15" s="86" t="s">
        <v>9</v>
      </c>
      <c r="K15" s="87" t="s">
        <v>14</v>
      </c>
      <c r="L15" s="87" t="s">
        <v>20</v>
      </c>
      <c r="M15" s="87" t="s">
        <v>22</v>
      </c>
      <c r="N15" s="87" t="s">
        <v>21</v>
      </c>
      <c r="O15" s="88" t="s">
        <v>10</v>
      </c>
      <c r="P15" s="88" t="s">
        <v>49</v>
      </c>
      <c r="Q15" s="105" t="s">
        <v>62</v>
      </c>
      <c r="R15" s="43" t="s">
        <v>50</v>
      </c>
      <c r="S15" s="43" t="s">
        <v>55</v>
      </c>
      <c r="T15" s="43" t="s">
        <v>69</v>
      </c>
      <c r="U15" s="43" t="s">
        <v>13</v>
      </c>
      <c r="V15" s="43" t="s">
        <v>52</v>
      </c>
      <c r="W15" s="43" t="s">
        <v>48</v>
      </c>
      <c r="X15" s="43" t="s">
        <v>15</v>
      </c>
      <c r="Y15" s="47" t="s">
        <v>12</v>
      </c>
      <c r="AA15" s="89" t="s">
        <v>56</v>
      </c>
      <c r="AB15" s="89" t="s">
        <v>57</v>
      </c>
      <c r="AC15" s="89" t="s">
        <v>58</v>
      </c>
      <c r="AD15" s="89" t="s">
        <v>67</v>
      </c>
      <c r="AE15" s="89" t="s">
        <v>68</v>
      </c>
    </row>
    <row r="16" spans="1:31" s="27" customFormat="1" ht="28">
      <c r="A16" s="91" t="s">
        <v>71</v>
      </c>
      <c r="B16" s="93" t="s">
        <v>80</v>
      </c>
      <c r="C16" s="90" t="s">
        <v>83</v>
      </c>
      <c r="D16" s="90" t="s">
        <v>73</v>
      </c>
      <c r="E16" s="90" t="s">
        <v>86</v>
      </c>
      <c r="F16" s="90" t="s">
        <v>74</v>
      </c>
      <c r="G16" s="92">
        <v>1</v>
      </c>
      <c r="H16" s="101">
        <v>8.91</v>
      </c>
      <c r="I16" s="101">
        <v>1</v>
      </c>
      <c r="J16" s="101">
        <v>0</v>
      </c>
      <c r="K16" s="102">
        <f t="shared" ref="K16:K17" si="0">H16-I16-J16</f>
        <v>7.91</v>
      </c>
      <c r="L16" s="96">
        <v>2.9</v>
      </c>
      <c r="M16" s="94" t="s">
        <v>89</v>
      </c>
      <c r="N16" s="95">
        <v>50</v>
      </c>
      <c r="O16" s="104">
        <f>7.5+2</f>
        <v>9.5</v>
      </c>
      <c r="P16" s="108">
        <v>5.0149999999999997</v>
      </c>
      <c r="Q16" s="106">
        <f t="shared" ref="Q16:Q17" si="1">K16*IF(LEFT(F16,3)="10K",0.417*1.07,IF(LEFT(F16,3)="14K",0.585*1.05,IF(LEFT(F16,3)="18K",0.75*1.05,0)))</f>
        <v>6.2291250000000007</v>
      </c>
      <c r="R16" s="34"/>
      <c r="S16" s="34"/>
      <c r="T16" s="34">
        <f t="shared" ref="T16:T17" si="2">G16*0.02*N16</f>
        <v>1</v>
      </c>
      <c r="U16" s="34"/>
      <c r="V16" s="34">
        <f t="shared" ref="V16:V17" si="3">IF(RIGHT(F16,2)="WG",K16*$AA$4,IF(OR(RIGHT(F16,3)="WRG",RIGHT(F16,3)="WYG",RIGHT(F16,3)="WYR"),K16*$AA$4+3*G16,0))</f>
        <v>1.8983999999999999</v>
      </c>
      <c r="W16" s="34"/>
      <c r="X16" s="34">
        <f>G16*N16*0.5</f>
        <v>25</v>
      </c>
      <c r="Y16" s="34">
        <f t="shared" ref="Y16:Y17" si="4">K16*O16</f>
        <v>75.144999999999996</v>
      </c>
      <c r="Z16" s="27">
        <f t="shared" ref="Z16:Z17" si="5">2*K16</f>
        <v>15.82</v>
      </c>
      <c r="AA16" s="98">
        <f t="shared" ref="AA16:AA17" si="6">(SUM(R16:X16)+AE16)-Z16</f>
        <v>87.223399999999998</v>
      </c>
      <c r="AB16" s="98">
        <f t="shared" ref="AB16:AB17" si="7">Q16*$AB$13+P16*$AB$14</f>
        <v>1283.84555</v>
      </c>
      <c r="AC16" s="98">
        <f t="shared" ref="AC16:AC17" si="8">SUM(AA16:AB16)</f>
        <v>1371.0689500000001</v>
      </c>
      <c r="AE16" s="27">
        <f t="shared" ref="AE16:AE17" si="9">IF(AD16&gt;0,AD16*K16,Y16)</f>
        <v>75.144999999999996</v>
      </c>
    </row>
    <row r="17" spans="1:31" s="27" customFormat="1" ht="28.5" thickBot="1">
      <c r="A17" s="91">
        <v>9</v>
      </c>
      <c r="B17" s="93" t="s">
        <v>81</v>
      </c>
      <c r="C17" s="90" t="s">
        <v>84</v>
      </c>
      <c r="D17" s="90" t="s">
        <v>73</v>
      </c>
      <c r="E17" s="90" t="s">
        <v>87</v>
      </c>
      <c r="F17" s="90" t="s">
        <v>74</v>
      </c>
      <c r="G17" s="92">
        <v>1</v>
      </c>
      <c r="H17" s="101">
        <v>6.7</v>
      </c>
      <c r="I17" s="101">
        <v>0</v>
      </c>
      <c r="J17" s="101">
        <v>0</v>
      </c>
      <c r="K17" s="102">
        <f t="shared" si="0"/>
        <v>6.7</v>
      </c>
      <c r="L17" s="96">
        <v>2</v>
      </c>
      <c r="M17" s="94" t="s">
        <v>90</v>
      </c>
      <c r="N17" s="95">
        <v>65</v>
      </c>
      <c r="O17" s="104">
        <f>8+2</f>
        <v>10</v>
      </c>
      <c r="P17" s="108">
        <v>0</v>
      </c>
      <c r="Q17" s="106">
        <f t="shared" si="1"/>
        <v>5.276250000000001</v>
      </c>
      <c r="R17" s="34"/>
      <c r="S17" s="34"/>
      <c r="T17" s="34">
        <f t="shared" si="2"/>
        <v>1.3</v>
      </c>
      <c r="U17" s="34"/>
      <c r="V17" s="34">
        <f t="shared" si="3"/>
        <v>1.6079999999999999</v>
      </c>
      <c r="W17" s="34"/>
      <c r="X17" s="34">
        <f>G17*N17*0.3</f>
        <v>19.5</v>
      </c>
      <c r="Y17" s="34">
        <f t="shared" si="4"/>
        <v>67</v>
      </c>
      <c r="Z17" s="27">
        <f t="shared" si="5"/>
        <v>13.4</v>
      </c>
      <c r="AA17" s="98">
        <f t="shared" si="6"/>
        <v>76.007999999999996</v>
      </c>
      <c r="AB17" s="98">
        <f t="shared" si="7"/>
        <v>379.8900000000001</v>
      </c>
      <c r="AC17" s="98">
        <f t="shared" si="8"/>
        <v>455.89800000000008</v>
      </c>
      <c r="AE17" s="27">
        <f t="shared" si="9"/>
        <v>67</v>
      </c>
    </row>
    <row r="18" spans="1:31" s="28" customFormat="1" ht="15.9" customHeight="1">
      <c r="A18" s="83" t="s">
        <v>91</v>
      </c>
      <c r="B18" s="61"/>
      <c r="C18" s="61"/>
      <c r="D18" s="61"/>
      <c r="E18" s="61"/>
      <c r="F18" s="61"/>
      <c r="G18" s="62">
        <f>SUM(G16:G17)</f>
        <v>2</v>
      </c>
      <c r="H18" s="103"/>
      <c r="I18" s="103"/>
      <c r="J18" s="103"/>
      <c r="K18" s="103">
        <f>SUM(K16:K17)</f>
        <v>14.61</v>
      </c>
      <c r="L18" s="63"/>
      <c r="M18" s="63"/>
      <c r="N18" s="63"/>
      <c r="O18" s="64"/>
      <c r="P18" s="109">
        <f t="shared" ref="P18:Y18" si="10">SUM(P16:P17)</f>
        <v>5.0149999999999997</v>
      </c>
      <c r="Q18" s="107">
        <f t="shared" si="10"/>
        <v>11.505375000000001</v>
      </c>
      <c r="R18" s="65">
        <f t="shared" si="10"/>
        <v>0</v>
      </c>
      <c r="S18" s="65">
        <f t="shared" si="10"/>
        <v>0</v>
      </c>
      <c r="T18" s="65">
        <f t="shared" si="10"/>
        <v>2.2999999999999998</v>
      </c>
      <c r="U18" s="65">
        <f t="shared" si="10"/>
        <v>0</v>
      </c>
      <c r="V18" s="65">
        <f t="shared" si="10"/>
        <v>3.5063999999999997</v>
      </c>
      <c r="W18" s="65">
        <f t="shared" si="10"/>
        <v>0</v>
      </c>
      <c r="X18" s="65">
        <f t="shared" si="10"/>
        <v>44.5</v>
      </c>
      <c r="Y18" s="65">
        <f t="shared" si="10"/>
        <v>142.14499999999998</v>
      </c>
      <c r="AA18" s="99"/>
      <c r="AB18" s="99"/>
      <c r="AC18" s="99"/>
      <c r="AD18" s="99"/>
      <c r="AE18" s="99"/>
    </row>
    <row r="19" spans="1:31" ht="15.9" customHeight="1">
      <c r="A19" s="50" t="s">
        <v>72</v>
      </c>
      <c r="K19" s="45"/>
      <c r="L19" s="45"/>
      <c r="M19" s="45"/>
      <c r="N19" s="45"/>
      <c r="X19" s="46"/>
      <c r="Y19" s="80" t="s">
        <v>78</v>
      </c>
    </row>
    <row r="20" spans="1:31" s="89" customFormat="1" ht="42">
      <c r="A20" s="84" t="s">
        <v>4</v>
      </c>
      <c r="B20" s="85" t="s">
        <v>5</v>
      </c>
      <c r="C20" s="85" t="s">
        <v>23</v>
      </c>
      <c r="D20" s="85" t="s">
        <v>45</v>
      </c>
      <c r="E20" s="85" t="s">
        <v>46</v>
      </c>
      <c r="F20" s="85" t="s">
        <v>6</v>
      </c>
      <c r="G20" s="85" t="s">
        <v>7</v>
      </c>
      <c r="H20" s="86" t="s">
        <v>8</v>
      </c>
      <c r="I20" s="86" t="s">
        <v>47</v>
      </c>
      <c r="J20" s="86" t="s">
        <v>9</v>
      </c>
      <c r="K20" s="87" t="s">
        <v>14</v>
      </c>
      <c r="L20" s="87" t="s">
        <v>20</v>
      </c>
      <c r="M20" s="87" t="s">
        <v>22</v>
      </c>
      <c r="N20" s="87" t="s">
        <v>21</v>
      </c>
      <c r="O20" s="88" t="s">
        <v>10</v>
      </c>
      <c r="P20" s="88" t="s">
        <v>49</v>
      </c>
      <c r="Q20" s="105" t="s">
        <v>62</v>
      </c>
      <c r="R20" s="43" t="s">
        <v>50</v>
      </c>
      <c r="S20" s="43" t="s">
        <v>55</v>
      </c>
      <c r="T20" s="43" t="s">
        <v>69</v>
      </c>
      <c r="U20" s="43" t="s">
        <v>13</v>
      </c>
      <c r="V20" s="43" t="s">
        <v>52</v>
      </c>
      <c r="W20" s="43" t="s">
        <v>48</v>
      </c>
      <c r="X20" s="43" t="s">
        <v>15</v>
      </c>
      <c r="Y20" s="47" t="s">
        <v>12</v>
      </c>
    </row>
    <row r="21" spans="1:31" s="27" customFormat="1" ht="28.5" thickBot="1">
      <c r="A21" s="91" t="s">
        <v>92</v>
      </c>
      <c r="B21" s="93" t="s">
        <v>80</v>
      </c>
      <c r="C21" s="90" t="s">
        <v>83</v>
      </c>
      <c r="D21" s="90" t="s">
        <v>93</v>
      </c>
      <c r="E21" s="90" t="s">
        <v>86</v>
      </c>
      <c r="F21" s="90" t="s">
        <v>74</v>
      </c>
      <c r="G21" s="92">
        <v>1</v>
      </c>
      <c r="H21" s="101">
        <v>9.06</v>
      </c>
      <c r="I21" s="101">
        <v>1</v>
      </c>
      <c r="J21" s="101">
        <v>0</v>
      </c>
      <c r="K21" s="102">
        <f t="shared" ref="K21" si="11">H21-I21-J21</f>
        <v>8.06</v>
      </c>
      <c r="L21" s="96">
        <v>2.9</v>
      </c>
      <c r="M21" s="94" t="s">
        <v>89</v>
      </c>
      <c r="N21" s="95">
        <v>50</v>
      </c>
      <c r="O21" s="104">
        <f>7.5+2</f>
        <v>9.5</v>
      </c>
      <c r="P21" s="108">
        <v>5.01</v>
      </c>
      <c r="Q21" s="106">
        <f t="shared" ref="Q21" si="12">K21*IF(LEFT(F21,3)="10K",0.417*1.07,IF(LEFT(F21,3)="14K",0.585*1.05,IF(LEFT(F21,3)="18K",0.75*1.05,0)))</f>
        <v>6.3472500000000007</v>
      </c>
      <c r="R21" s="34"/>
      <c r="S21" s="34"/>
      <c r="T21" s="34">
        <f>G21*0.02*N21</f>
        <v>1</v>
      </c>
      <c r="U21" s="34"/>
      <c r="V21" s="34">
        <f t="shared" ref="V21" si="13">IF(RIGHT(F21,2)="WG",K21*$AA$4,IF(OR(RIGHT(F21,3)="WRG",RIGHT(F21,3)="WYG",RIGHT(F21,3)="WYR"),K21*$AA$4+3*G21,0))</f>
        <v>1.9344000000000001</v>
      </c>
      <c r="W21" s="34"/>
      <c r="X21" s="34">
        <f>G21*0.5*N21</f>
        <v>25</v>
      </c>
      <c r="Y21" s="34">
        <f t="shared" ref="Y21" si="14">K21*O21</f>
        <v>76.570000000000007</v>
      </c>
      <c r="Z21" s="27">
        <f t="shared" ref="Z21" si="15">2*K21</f>
        <v>16.12</v>
      </c>
      <c r="AA21" s="98">
        <f t="shared" ref="AA21" si="16">(SUM(R21:X21)+AE21)-Z21</f>
        <v>88.384399999999999</v>
      </c>
      <c r="AB21" s="98">
        <f t="shared" ref="AB21" si="17">Q21*$AB$13+P21*$AB$14</f>
        <v>1291.5176999999999</v>
      </c>
      <c r="AC21" s="98">
        <f t="shared" ref="AC21" si="18">SUM(AA21:AB21)</f>
        <v>1379.9020999999998</v>
      </c>
      <c r="AE21" s="27">
        <f t="shared" ref="AE21" si="19">IF(AD21&gt;0,AD21*K21,Y21)</f>
        <v>76.570000000000007</v>
      </c>
    </row>
    <row r="22" spans="1:31" s="28" customFormat="1" ht="15.9" customHeight="1">
      <c r="A22" s="83" t="s">
        <v>91</v>
      </c>
      <c r="B22" s="61"/>
      <c r="C22" s="61"/>
      <c r="D22" s="61"/>
      <c r="E22" s="61"/>
      <c r="F22" s="61"/>
      <c r="G22" s="62">
        <f>SUM(G21:G21)</f>
        <v>1</v>
      </c>
      <c r="H22" s="103"/>
      <c r="I22" s="103"/>
      <c r="J22" s="103"/>
      <c r="K22" s="103">
        <f>SUM(K21:K21)</f>
        <v>8.06</v>
      </c>
      <c r="L22" s="63"/>
      <c r="M22" s="63"/>
      <c r="N22" s="63"/>
      <c r="O22" s="64"/>
      <c r="P22" s="109">
        <f t="shared" ref="P22:Y22" si="20">SUM(P21:P21)</f>
        <v>5.01</v>
      </c>
      <c r="Q22" s="107">
        <f t="shared" si="20"/>
        <v>6.3472500000000007</v>
      </c>
      <c r="R22" s="65">
        <f t="shared" si="20"/>
        <v>0</v>
      </c>
      <c r="S22" s="65">
        <f t="shared" si="20"/>
        <v>0</v>
      </c>
      <c r="T22" s="65">
        <f t="shared" si="20"/>
        <v>1</v>
      </c>
      <c r="U22" s="65">
        <f t="shared" si="20"/>
        <v>0</v>
      </c>
      <c r="V22" s="65">
        <f t="shared" si="20"/>
        <v>1.9344000000000001</v>
      </c>
      <c r="W22" s="65">
        <f t="shared" si="20"/>
        <v>0</v>
      </c>
      <c r="X22" s="65">
        <f t="shared" si="20"/>
        <v>25</v>
      </c>
      <c r="Y22" s="65">
        <f t="shared" si="20"/>
        <v>76.570000000000007</v>
      </c>
      <c r="AA22" s="99"/>
      <c r="AB22" s="99"/>
      <c r="AC22" s="99"/>
      <c r="AD22" s="99"/>
      <c r="AE22" s="99"/>
    </row>
    <row r="23" spans="1:31" ht="15.9" customHeight="1">
      <c r="A23" s="50" t="s">
        <v>72</v>
      </c>
      <c r="K23" s="45"/>
      <c r="L23" s="45"/>
      <c r="M23" s="45"/>
      <c r="N23" s="45"/>
      <c r="X23" s="46"/>
      <c r="Y23" s="80" t="s">
        <v>95</v>
      </c>
    </row>
    <row r="24" spans="1:31" s="89" customFormat="1" ht="42">
      <c r="A24" s="84" t="s">
        <v>4</v>
      </c>
      <c r="B24" s="85" t="s">
        <v>5</v>
      </c>
      <c r="C24" s="85" t="s">
        <v>23</v>
      </c>
      <c r="D24" s="85" t="s">
        <v>45</v>
      </c>
      <c r="E24" s="85" t="s">
        <v>46</v>
      </c>
      <c r="F24" s="85" t="s">
        <v>6</v>
      </c>
      <c r="G24" s="85" t="s">
        <v>7</v>
      </c>
      <c r="H24" s="86" t="s">
        <v>8</v>
      </c>
      <c r="I24" s="86" t="s">
        <v>47</v>
      </c>
      <c r="J24" s="86" t="s">
        <v>9</v>
      </c>
      <c r="K24" s="87" t="s">
        <v>14</v>
      </c>
      <c r="L24" s="87" t="s">
        <v>20</v>
      </c>
      <c r="M24" s="87" t="s">
        <v>22</v>
      </c>
      <c r="N24" s="87" t="s">
        <v>21</v>
      </c>
      <c r="O24" s="88" t="s">
        <v>10</v>
      </c>
      <c r="P24" s="88" t="s">
        <v>49</v>
      </c>
      <c r="Q24" s="105" t="s">
        <v>62</v>
      </c>
      <c r="R24" s="43" t="s">
        <v>50</v>
      </c>
      <c r="S24" s="43" t="s">
        <v>55</v>
      </c>
      <c r="T24" s="43" t="s">
        <v>69</v>
      </c>
      <c r="U24" s="43" t="s">
        <v>13</v>
      </c>
      <c r="V24" s="43" t="s">
        <v>52</v>
      </c>
      <c r="W24" s="43" t="s">
        <v>48</v>
      </c>
      <c r="X24" s="43" t="s">
        <v>15</v>
      </c>
      <c r="Y24" s="47" t="s">
        <v>12</v>
      </c>
    </row>
    <row r="25" spans="1:31" s="27" customFormat="1" ht="28">
      <c r="A25" s="91" t="s">
        <v>96</v>
      </c>
      <c r="B25" s="90" t="s">
        <v>97</v>
      </c>
      <c r="C25" s="90" t="s">
        <v>98</v>
      </c>
      <c r="D25" s="90" t="s">
        <v>99</v>
      </c>
      <c r="E25" s="90" t="s">
        <v>100</v>
      </c>
      <c r="F25" s="90" t="s">
        <v>101</v>
      </c>
      <c r="G25" s="92">
        <v>1</v>
      </c>
      <c r="H25" s="101">
        <v>11.9</v>
      </c>
      <c r="I25" s="101">
        <v>0</v>
      </c>
      <c r="J25" s="101">
        <v>0</v>
      </c>
      <c r="K25" s="102">
        <f>H25-I25-J25</f>
        <v>11.9</v>
      </c>
      <c r="L25" s="94">
        <v>3.3</v>
      </c>
      <c r="M25" s="94" t="s">
        <v>88</v>
      </c>
      <c r="N25" s="95">
        <v>5</v>
      </c>
      <c r="O25" s="104">
        <v>11.25</v>
      </c>
      <c r="P25" s="108">
        <v>0</v>
      </c>
      <c r="Q25" s="106">
        <f>K25*IF(LEFT(F25,3)="10K",0.417*1.07,IF(LEFT(F25,3)="14K",0.585*1.05,IF(LEFT(F25,3)="18K",0.75*1.05,0)))</f>
        <v>7.3095749999999997</v>
      </c>
      <c r="R25" s="34">
        <f>200/1*G25</f>
        <v>200</v>
      </c>
      <c r="S25" s="34"/>
      <c r="T25" s="34">
        <f>G25*0.02*N25</f>
        <v>0.1</v>
      </c>
      <c r="U25" s="34">
        <f>G25*3</f>
        <v>3</v>
      </c>
      <c r="V25" s="34">
        <f>IF(RIGHT(F25,2)="WG",K25*$AA$4,IF(OR(RIGHT(F25,3)="WRG",RIGHT(F25,3)="WYG",RIGHT(F25,3)="WYR"),K25*$AA$4+3*G25,0))</f>
        <v>0</v>
      </c>
      <c r="W25" s="34"/>
      <c r="X25" s="34">
        <f>G25*N25*1</f>
        <v>5</v>
      </c>
      <c r="Y25" s="34">
        <f t="shared" ref="Y25:Y27" si="21">K25*O25</f>
        <v>133.875</v>
      </c>
      <c r="Z25" s="27">
        <f>2*K25</f>
        <v>23.8</v>
      </c>
      <c r="AA25" s="98">
        <f>(SUM(R25:X25)+AE25)-Z25</f>
        <v>318.17500000000001</v>
      </c>
      <c r="AB25" s="98">
        <f>Q25*$AB$13+P25*$AB$14</f>
        <v>526.2894</v>
      </c>
      <c r="AC25" s="98">
        <f t="shared" ref="AC25" si="22">SUM(AA25:AB25)</f>
        <v>844.46440000000007</v>
      </c>
      <c r="AE25" s="27">
        <f>IF(AD25&gt;0,AD25*K25,Y25)</f>
        <v>133.875</v>
      </c>
    </row>
    <row r="26" spans="1:31" s="27" customFormat="1" ht="28">
      <c r="A26" s="91">
        <v>2</v>
      </c>
      <c r="B26" s="93" t="s">
        <v>102</v>
      </c>
      <c r="C26" s="93" t="s">
        <v>103</v>
      </c>
      <c r="D26" s="93" t="s">
        <v>99</v>
      </c>
      <c r="E26" s="90" t="s">
        <v>104</v>
      </c>
      <c r="F26" s="90" t="s">
        <v>101</v>
      </c>
      <c r="G26" s="92">
        <v>1</v>
      </c>
      <c r="H26" s="101">
        <v>12.96</v>
      </c>
      <c r="I26" s="101">
        <v>0</v>
      </c>
      <c r="J26" s="101">
        <v>0</v>
      </c>
      <c r="K26" s="102">
        <f t="shared" ref="K26:K27" si="23">H26-I26-J26</f>
        <v>12.96</v>
      </c>
      <c r="L26" s="94">
        <v>3.9</v>
      </c>
      <c r="M26" s="94" t="s">
        <v>105</v>
      </c>
      <c r="N26" s="95">
        <v>5</v>
      </c>
      <c r="O26" s="104">
        <v>11.25</v>
      </c>
      <c r="P26" s="108">
        <v>0</v>
      </c>
      <c r="Q26" s="106">
        <f t="shared" ref="Q26:Q27" si="24">K26*IF(LEFT(F26,3)="10K",0.417*1.07,IF(LEFT(F26,3)="14K",0.585*1.05,IF(LEFT(F26,3)="18K",0.75*1.05,0)))</f>
        <v>7.96068</v>
      </c>
      <c r="R26" s="34">
        <f>200/1*G26</f>
        <v>200</v>
      </c>
      <c r="S26" s="34"/>
      <c r="T26" s="34">
        <f>G26*0.02*N26</f>
        <v>0.1</v>
      </c>
      <c r="U26" s="34">
        <f>G26*3</f>
        <v>3</v>
      </c>
      <c r="V26" s="34">
        <f>IF(RIGHT(F26,2)="WG",K26*$AA$4,IF(OR(RIGHT(F26,3)="WRG",RIGHT(F26,3)="WYG",RIGHT(F26,3)="WYR"),K26*$AA$4+3*G26,0))</f>
        <v>0</v>
      </c>
      <c r="W26" s="34"/>
      <c r="X26" s="34">
        <f>G26*N26*1.25</f>
        <v>6.25</v>
      </c>
      <c r="Y26" s="34">
        <f t="shared" si="21"/>
        <v>145.80000000000001</v>
      </c>
      <c r="Z26" s="27">
        <f>2*K26</f>
        <v>25.92</v>
      </c>
      <c r="AA26" s="98">
        <f>(SUM(R26:X26)+AE26)-Z26</f>
        <v>329.22999999999996</v>
      </c>
      <c r="AB26" s="98">
        <f>Q26*$AB$13+P26*$AB$14</f>
        <v>573.16895999999997</v>
      </c>
      <c r="AC26" s="98">
        <f t="shared" ref="AC26:AC27" si="25">SUM(AA26:AB26)</f>
        <v>902.39895999999999</v>
      </c>
      <c r="AE26" s="27">
        <f>IF(AD26&gt;0,AD26*K26,Y26)</f>
        <v>145.80000000000001</v>
      </c>
    </row>
    <row r="27" spans="1:31" s="27" customFormat="1" ht="28.5" thickBot="1">
      <c r="A27" s="91">
        <v>3</v>
      </c>
      <c r="B27" s="93" t="s">
        <v>106</v>
      </c>
      <c r="C27" s="93" t="s">
        <v>107</v>
      </c>
      <c r="D27" s="90" t="s">
        <v>99</v>
      </c>
      <c r="E27" s="90" t="s">
        <v>108</v>
      </c>
      <c r="F27" s="90" t="s">
        <v>101</v>
      </c>
      <c r="G27" s="92">
        <v>1</v>
      </c>
      <c r="H27" s="101">
        <v>14.19</v>
      </c>
      <c r="I27" s="101">
        <v>0.51</v>
      </c>
      <c r="J27" s="101">
        <v>0</v>
      </c>
      <c r="K27" s="102">
        <f t="shared" si="23"/>
        <v>13.68</v>
      </c>
      <c r="L27" s="94">
        <v>5.0999999999999996</v>
      </c>
      <c r="M27" s="94" t="s">
        <v>94</v>
      </c>
      <c r="N27" s="95">
        <v>5</v>
      </c>
      <c r="O27" s="104">
        <v>11.25</v>
      </c>
      <c r="P27" s="108">
        <v>2.5350000000000001</v>
      </c>
      <c r="Q27" s="106">
        <f t="shared" si="24"/>
        <v>8.4029399999999992</v>
      </c>
      <c r="R27" s="34">
        <f>200/1*G27</f>
        <v>200</v>
      </c>
      <c r="S27" s="34"/>
      <c r="T27" s="34">
        <f>G27*0.02*N27</f>
        <v>0.1</v>
      </c>
      <c r="U27" s="34">
        <f>G27*3</f>
        <v>3</v>
      </c>
      <c r="V27" s="34">
        <f>IF(RIGHT(F27,2)="WG",K27*$AA$4,IF(OR(RIGHT(F27,3)="WRG",RIGHT(F27,3)="WYG",RIGHT(F27,3)="WYR"),K27*$AA$4+3*G27,0))</f>
        <v>0</v>
      </c>
      <c r="W27" s="34"/>
      <c r="X27" s="34">
        <f>G27*N27*1.25</f>
        <v>6.25</v>
      </c>
      <c r="Y27" s="34">
        <f t="shared" si="21"/>
        <v>153.9</v>
      </c>
      <c r="Z27" s="27">
        <f>2*K27</f>
        <v>27.36</v>
      </c>
      <c r="AA27" s="98">
        <f>(SUM(R27:X27)+AE27)-Z27</f>
        <v>335.89</v>
      </c>
      <c r="AB27" s="98">
        <f>Q27*$AB$13+P27*$AB$14</f>
        <v>1027.2666300000001</v>
      </c>
      <c r="AC27" s="98">
        <f t="shared" si="25"/>
        <v>1363.15663</v>
      </c>
      <c r="AE27" s="27">
        <f>IF(AD27&gt;0,AD27*K27,Y27)</f>
        <v>153.9</v>
      </c>
    </row>
    <row r="28" spans="1:31" s="28" customFormat="1" ht="15.9" customHeight="1">
      <c r="A28" s="83" t="s">
        <v>91</v>
      </c>
      <c r="B28" s="61"/>
      <c r="C28" s="61"/>
      <c r="D28" s="61"/>
      <c r="E28" s="61"/>
      <c r="F28" s="61"/>
      <c r="G28" s="62">
        <f>SUM(G25:G27)</f>
        <v>3</v>
      </c>
      <c r="H28" s="103"/>
      <c r="I28" s="103"/>
      <c r="J28" s="103"/>
      <c r="K28" s="103">
        <f>SUM(K25:K27)</f>
        <v>38.54</v>
      </c>
      <c r="L28" s="63"/>
      <c r="M28" s="63"/>
      <c r="N28" s="63"/>
      <c r="O28" s="64"/>
      <c r="P28" s="109">
        <f t="shared" ref="P28:Y28" si="26">SUM(P25:P27)</f>
        <v>2.5350000000000001</v>
      </c>
      <c r="Q28" s="107">
        <f t="shared" si="26"/>
        <v>23.673195</v>
      </c>
      <c r="R28" s="65">
        <f t="shared" si="26"/>
        <v>600</v>
      </c>
      <c r="S28" s="65">
        <f t="shared" si="26"/>
        <v>0</v>
      </c>
      <c r="T28" s="65">
        <f t="shared" si="26"/>
        <v>0.30000000000000004</v>
      </c>
      <c r="U28" s="65">
        <f t="shared" si="26"/>
        <v>9</v>
      </c>
      <c r="V28" s="65">
        <f t="shared" si="26"/>
        <v>0</v>
      </c>
      <c r="W28" s="65">
        <f t="shared" si="26"/>
        <v>0</v>
      </c>
      <c r="X28" s="65">
        <f t="shared" si="26"/>
        <v>17.5</v>
      </c>
      <c r="Y28" s="65">
        <f t="shared" si="26"/>
        <v>433.57500000000005</v>
      </c>
      <c r="AA28" s="99"/>
      <c r="AB28" s="99"/>
      <c r="AC28" s="99"/>
      <c r="AD28" s="99"/>
      <c r="AE28" s="99"/>
    </row>
    <row r="29" spans="1:31" ht="15.9" customHeight="1">
      <c r="A29" s="50" t="s">
        <v>72</v>
      </c>
      <c r="K29" s="45"/>
      <c r="L29" s="45"/>
      <c r="M29" s="45"/>
      <c r="N29" s="45"/>
      <c r="X29" s="46"/>
      <c r="Y29" s="80" t="s">
        <v>95</v>
      </c>
    </row>
    <row r="30" spans="1:31" s="89" customFormat="1" ht="42">
      <c r="A30" s="84" t="s">
        <v>4</v>
      </c>
      <c r="B30" s="85" t="s">
        <v>5</v>
      </c>
      <c r="C30" s="85" t="s">
        <v>23</v>
      </c>
      <c r="D30" s="85" t="s">
        <v>45</v>
      </c>
      <c r="E30" s="85" t="s">
        <v>46</v>
      </c>
      <c r="F30" s="85" t="s">
        <v>6</v>
      </c>
      <c r="G30" s="85" t="s">
        <v>7</v>
      </c>
      <c r="H30" s="86" t="s">
        <v>8</v>
      </c>
      <c r="I30" s="86" t="s">
        <v>47</v>
      </c>
      <c r="J30" s="86" t="s">
        <v>9</v>
      </c>
      <c r="K30" s="87" t="s">
        <v>14</v>
      </c>
      <c r="L30" s="87" t="s">
        <v>20</v>
      </c>
      <c r="M30" s="87" t="s">
        <v>22</v>
      </c>
      <c r="N30" s="87" t="s">
        <v>21</v>
      </c>
      <c r="O30" s="88" t="s">
        <v>10</v>
      </c>
      <c r="P30" s="88" t="s">
        <v>49</v>
      </c>
      <c r="Q30" s="105" t="s">
        <v>62</v>
      </c>
      <c r="R30" s="43" t="s">
        <v>50</v>
      </c>
      <c r="S30" s="43" t="s">
        <v>55</v>
      </c>
      <c r="T30" s="43" t="s">
        <v>69</v>
      </c>
      <c r="U30" s="43" t="s">
        <v>13</v>
      </c>
      <c r="V30" s="43" t="s">
        <v>52</v>
      </c>
      <c r="W30" s="43" t="s">
        <v>48</v>
      </c>
      <c r="X30" s="43" t="s">
        <v>15</v>
      </c>
      <c r="Y30" s="47" t="s">
        <v>12</v>
      </c>
    </row>
    <row r="31" spans="1:31" s="27" customFormat="1" ht="28">
      <c r="A31" s="91" t="s">
        <v>109</v>
      </c>
      <c r="B31" s="93" t="s">
        <v>112</v>
      </c>
      <c r="C31" s="93" t="s">
        <v>113</v>
      </c>
      <c r="D31" s="93" t="s">
        <v>110</v>
      </c>
      <c r="E31" s="90" t="s">
        <v>114</v>
      </c>
      <c r="F31" s="90" t="s">
        <v>74</v>
      </c>
      <c r="G31" s="92">
        <v>1</v>
      </c>
      <c r="H31" s="101">
        <v>12.84</v>
      </c>
      <c r="I31" s="101">
        <v>0.53</v>
      </c>
      <c r="J31" s="101">
        <v>0.32</v>
      </c>
      <c r="K31" s="102">
        <f t="shared" ref="K31:K33" si="27">H31-I31-J31</f>
        <v>11.99</v>
      </c>
      <c r="L31" s="94">
        <v>2.8</v>
      </c>
      <c r="M31" s="94" t="s">
        <v>115</v>
      </c>
      <c r="N31" s="95">
        <v>30</v>
      </c>
      <c r="O31" s="104">
        <v>11</v>
      </c>
      <c r="P31" s="108">
        <v>2.66</v>
      </c>
      <c r="Q31" s="106">
        <f t="shared" ref="Q31:Q33" si="28">K31*IF(LEFT(F31,3)="10K",0.417*1.07,IF(LEFT(F31,3)="14K",0.585*1.05,IF(LEFT(F31,3)="18K",0.75*1.05,0)))</f>
        <v>9.4421250000000008</v>
      </c>
      <c r="R31" s="34">
        <f>200/1*G31</f>
        <v>200</v>
      </c>
      <c r="S31" s="34"/>
      <c r="T31" s="34">
        <f t="shared" ref="T31:T33" si="29">G31*0.02*N31</f>
        <v>0.6</v>
      </c>
      <c r="U31" s="34">
        <f t="shared" ref="U31:U33" si="30">G31*2</f>
        <v>2</v>
      </c>
      <c r="V31" s="34">
        <f t="shared" ref="V31:V33" si="31">IF(RIGHT(F31,2)="WG",K31*$AA$4,IF(OR(RIGHT(F31,3)="WRG",RIGHT(F31,3)="WYG",RIGHT(F31,3)="WYR"),K31*$AA$4+3*G31,0))</f>
        <v>2.8776000000000002</v>
      </c>
      <c r="W31" s="34"/>
      <c r="X31" s="34">
        <f>G31*N31*1</f>
        <v>30</v>
      </c>
      <c r="Y31" s="34">
        <f t="shared" ref="Y31:Y33" si="32">K31*O31</f>
        <v>131.89000000000001</v>
      </c>
      <c r="Z31" s="27">
        <f t="shared" ref="Z31:Z33" si="33">2*K31</f>
        <v>23.98</v>
      </c>
      <c r="AA31" s="98">
        <f t="shared" ref="AA31:AA33" si="34">(SUM(R31:X31)+AE31)-Z31</f>
        <v>343.38760000000002</v>
      </c>
      <c r="AB31" s="98">
        <f t="shared" ref="AB31:AB33" si="35">Q31*$AB$13+P31*$AB$14</f>
        <v>1122.9092000000001</v>
      </c>
      <c r="AC31" s="98">
        <f t="shared" ref="AC31:AC33" si="36">SUM(AA31:AB31)</f>
        <v>1466.2968000000001</v>
      </c>
      <c r="AE31" s="27">
        <f t="shared" ref="AE31:AE33" si="37">IF(AD31&gt;0,AD31*K31,Y31)</f>
        <v>131.89000000000001</v>
      </c>
    </row>
    <row r="32" spans="1:31" s="27" customFormat="1" ht="28">
      <c r="A32" s="91">
        <v>4</v>
      </c>
      <c r="B32" s="90" t="s">
        <v>116</v>
      </c>
      <c r="C32" s="90" t="s">
        <v>117</v>
      </c>
      <c r="D32" s="90" t="s">
        <v>110</v>
      </c>
      <c r="E32" s="90" t="s">
        <v>118</v>
      </c>
      <c r="F32" s="90" t="s">
        <v>74</v>
      </c>
      <c r="G32" s="92">
        <v>1</v>
      </c>
      <c r="H32" s="101">
        <v>9.67</v>
      </c>
      <c r="I32" s="101">
        <v>0.28999999999999998</v>
      </c>
      <c r="J32" s="101">
        <v>0.32</v>
      </c>
      <c r="K32" s="102">
        <f t="shared" si="27"/>
        <v>9.06</v>
      </c>
      <c r="L32" s="94">
        <v>2.25</v>
      </c>
      <c r="M32" s="94" t="s">
        <v>111</v>
      </c>
      <c r="N32" s="132">
        <v>32</v>
      </c>
      <c r="O32" s="104">
        <v>10</v>
      </c>
      <c r="P32" s="108">
        <v>1.4650000000000001</v>
      </c>
      <c r="Q32" s="106">
        <f t="shared" si="28"/>
        <v>7.1347500000000013</v>
      </c>
      <c r="R32" s="34">
        <f>200/1*G32</f>
        <v>200</v>
      </c>
      <c r="S32" s="34"/>
      <c r="T32" s="34">
        <f t="shared" si="29"/>
        <v>0.64</v>
      </c>
      <c r="U32" s="34">
        <f t="shared" si="30"/>
        <v>2</v>
      </c>
      <c r="V32" s="34">
        <f t="shared" si="31"/>
        <v>2.1743999999999999</v>
      </c>
      <c r="W32" s="34"/>
      <c r="X32" s="34">
        <f>G32*N32*0.3</f>
        <v>9.6</v>
      </c>
      <c r="Y32" s="34">
        <f t="shared" si="32"/>
        <v>90.600000000000009</v>
      </c>
      <c r="Z32" s="27">
        <f t="shared" si="33"/>
        <v>18.12</v>
      </c>
      <c r="AA32" s="98">
        <f t="shared" si="34"/>
        <v>286.89439999999996</v>
      </c>
      <c r="AB32" s="98">
        <f t="shared" si="35"/>
        <v>757.72705000000008</v>
      </c>
      <c r="AC32" s="98">
        <f t="shared" si="36"/>
        <v>1044.6214500000001</v>
      </c>
      <c r="AE32" s="27">
        <f t="shared" si="37"/>
        <v>90.600000000000009</v>
      </c>
    </row>
    <row r="33" spans="1:31" s="27" customFormat="1" ht="28.5" thickBot="1">
      <c r="A33" s="91">
        <v>5</v>
      </c>
      <c r="B33" s="93" t="s">
        <v>119</v>
      </c>
      <c r="C33" s="93" t="s">
        <v>120</v>
      </c>
      <c r="D33" s="90" t="s">
        <v>110</v>
      </c>
      <c r="E33" s="90" t="s">
        <v>121</v>
      </c>
      <c r="F33" s="90" t="s">
        <v>74</v>
      </c>
      <c r="G33" s="92">
        <v>1</v>
      </c>
      <c r="H33" s="101">
        <v>13.02</v>
      </c>
      <c r="I33" s="101">
        <v>0.49</v>
      </c>
      <c r="J33" s="101">
        <v>0.44</v>
      </c>
      <c r="K33" s="102">
        <f t="shared" si="27"/>
        <v>12.09</v>
      </c>
      <c r="L33" s="94">
        <v>2.8</v>
      </c>
      <c r="M33" s="94" t="s">
        <v>115</v>
      </c>
      <c r="N33" s="132">
        <v>28</v>
      </c>
      <c r="O33" s="104">
        <v>10</v>
      </c>
      <c r="P33" s="108">
        <v>2.4449999999999998</v>
      </c>
      <c r="Q33" s="106">
        <f t="shared" si="28"/>
        <v>9.5208750000000002</v>
      </c>
      <c r="R33" s="34">
        <f>200/1*G33</f>
        <v>200</v>
      </c>
      <c r="S33" s="34"/>
      <c r="T33" s="34">
        <f t="shared" si="29"/>
        <v>0.56000000000000005</v>
      </c>
      <c r="U33" s="34">
        <f t="shared" si="30"/>
        <v>2</v>
      </c>
      <c r="V33" s="34">
        <f t="shared" si="31"/>
        <v>2.9015999999999997</v>
      </c>
      <c r="W33" s="34"/>
      <c r="X33" s="34">
        <f>G33*N33*0.5</f>
        <v>14</v>
      </c>
      <c r="Y33" s="34">
        <f t="shared" si="32"/>
        <v>120.9</v>
      </c>
      <c r="Z33" s="27">
        <f t="shared" si="33"/>
        <v>24.18</v>
      </c>
      <c r="AA33" s="98">
        <f t="shared" si="34"/>
        <v>316.1816</v>
      </c>
      <c r="AB33" s="98">
        <f t="shared" si="35"/>
        <v>1092.76665</v>
      </c>
      <c r="AC33" s="98">
        <f t="shared" si="36"/>
        <v>1408.9482499999999</v>
      </c>
      <c r="AE33" s="27">
        <f t="shared" si="37"/>
        <v>120.9</v>
      </c>
    </row>
    <row r="34" spans="1:31" s="28" customFormat="1" ht="15.9" customHeight="1">
      <c r="A34" s="83" t="s">
        <v>91</v>
      </c>
      <c r="B34" s="61"/>
      <c r="C34" s="61"/>
      <c r="D34" s="61"/>
      <c r="E34" s="61"/>
      <c r="F34" s="61"/>
      <c r="G34" s="62">
        <f>SUM(G31:G33)</f>
        <v>3</v>
      </c>
      <c r="H34" s="103"/>
      <c r="I34" s="103"/>
      <c r="J34" s="103"/>
      <c r="K34" s="103">
        <f>SUM(K31:K33)</f>
        <v>33.14</v>
      </c>
      <c r="L34" s="63"/>
      <c r="M34" s="63"/>
      <c r="N34" s="63"/>
      <c r="O34" s="64"/>
      <c r="P34" s="109">
        <f t="shared" ref="P34:Y34" si="38">SUM(P31:P33)</f>
        <v>6.57</v>
      </c>
      <c r="Q34" s="107">
        <f t="shared" si="38"/>
        <v>26.097750000000001</v>
      </c>
      <c r="R34" s="65">
        <f t="shared" si="38"/>
        <v>600</v>
      </c>
      <c r="S34" s="65">
        <f t="shared" si="38"/>
        <v>0</v>
      </c>
      <c r="T34" s="65">
        <f t="shared" si="38"/>
        <v>1.8</v>
      </c>
      <c r="U34" s="65">
        <f t="shared" si="38"/>
        <v>6</v>
      </c>
      <c r="V34" s="65">
        <f t="shared" si="38"/>
        <v>7.9535999999999998</v>
      </c>
      <c r="W34" s="65">
        <f t="shared" si="38"/>
        <v>0</v>
      </c>
      <c r="X34" s="65">
        <f t="shared" si="38"/>
        <v>53.6</v>
      </c>
      <c r="Y34" s="65">
        <f t="shared" si="38"/>
        <v>343.39</v>
      </c>
      <c r="AA34" s="99"/>
      <c r="AB34" s="99"/>
      <c r="AC34" s="99"/>
      <c r="AD34" s="99"/>
      <c r="AE34" s="99"/>
    </row>
    <row r="35" spans="1:31" ht="15.9" customHeight="1">
      <c r="A35" s="50" t="s">
        <v>72</v>
      </c>
      <c r="K35" s="45"/>
      <c r="L35" s="45"/>
      <c r="M35" s="45"/>
      <c r="N35" s="45"/>
      <c r="X35" s="46"/>
      <c r="Y35" s="80" t="s">
        <v>95</v>
      </c>
    </row>
    <row r="36" spans="1:31" s="89" customFormat="1" ht="42">
      <c r="A36" s="84" t="s">
        <v>4</v>
      </c>
      <c r="B36" s="85" t="s">
        <v>5</v>
      </c>
      <c r="C36" s="85" t="s">
        <v>23</v>
      </c>
      <c r="D36" s="85" t="s">
        <v>45</v>
      </c>
      <c r="E36" s="85" t="s">
        <v>46</v>
      </c>
      <c r="F36" s="85" t="s">
        <v>6</v>
      </c>
      <c r="G36" s="85" t="s">
        <v>7</v>
      </c>
      <c r="H36" s="86" t="s">
        <v>8</v>
      </c>
      <c r="I36" s="86" t="s">
        <v>47</v>
      </c>
      <c r="J36" s="86" t="s">
        <v>9</v>
      </c>
      <c r="K36" s="87" t="s">
        <v>14</v>
      </c>
      <c r="L36" s="87" t="s">
        <v>20</v>
      </c>
      <c r="M36" s="87" t="s">
        <v>22</v>
      </c>
      <c r="N36" s="87" t="s">
        <v>21</v>
      </c>
      <c r="O36" s="88" t="s">
        <v>10</v>
      </c>
      <c r="P36" s="88" t="s">
        <v>49</v>
      </c>
      <c r="Q36" s="105" t="s">
        <v>62</v>
      </c>
      <c r="R36" s="43" t="s">
        <v>50</v>
      </c>
      <c r="S36" s="43" t="s">
        <v>55</v>
      </c>
      <c r="T36" s="43" t="s">
        <v>69</v>
      </c>
      <c r="U36" s="43" t="s">
        <v>13</v>
      </c>
      <c r="V36" s="43" t="s">
        <v>52</v>
      </c>
      <c r="W36" s="43" t="s">
        <v>48</v>
      </c>
      <c r="X36" s="43" t="s">
        <v>15</v>
      </c>
      <c r="Y36" s="47" t="s">
        <v>12</v>
      </c>
    </row>
    <row r="37" spans="1:31" s="27" customFormat="1" ht="28.5" thickBot="1">
      <c r="A37" s="91" t="s">
        <v>122</v>
      </c>
      <c r="B37" s="93" t="s">
        <v>81</v>
      </c>
      <c r="C37" s="93" t="s">
        <v>84</v>
      </c>
      <c r="D37" s="93" t="s">
        <v>123</v>
      </c>
      <c r="E37" s="93" t="s">
        <v>87</v>
      </c>
      <c r="F37" s="90" t="s">
        <v>74</v>
      </c>
      <c r="G37" s="92">
        <v>1</v>
      </c>
      <c r="H37" s="101">
        <v>6.9</v>
      </c>
      <c r="I37" s="101">
        <v>0</v>
      </c>
      <c r="J37" s="101">
        <v>0</v>
      </c>
      <c r="K37" s="102">
        <f t="shared" ref="K37" si="39">H37-I37-J37</f>
        <v>6.9</v>
      </c>
      <c r="L37" s="94">
        <v>2</v>
      </c>
      <c r="M37" s="94" t="s">
        <v>90</v>
      </c>
      <c r="N37" s="95">
        <v>65</v>
      </c>
      <c r="O37" s="104">
        <f>8+2</f>
        <v>10</v>
      </c>
      <c r="P37" s="108"/>
      <c r="Q37" s="106">
        <f t="shared" ref="Q37" si="40">K37*IF(LEFT(F37,3)="10K",0.417*1.07,IF(LEFT(F37,3)="14K",0.585*1.05,IF(LEFT(F37,3)="18K",0.75*1.05,0)))</f>
        <v>5.4337500000000007</v>
      </c>
      <c r="R37" s="34"/>
      <c r="S37" s="34"/>
      <c r="T37" s="34">
        <f t="shared" ref="T37" si="41">G37*0.02*N37</f>
        <v>1.3</v>
      </c>
      <c r="U37" s="34"/>
      <c r="V37" s="34">
        <f>IF(RIGHT(F37,2)="WG",K37*$AA$4,IF(OR(RIGHT(F37,3)="WRG",RIGHT(F37,3)="WYG",RIGHT(F37,3)="WYR"),K37*$AA$4+3*G37,0))</f>
        <v>1.6559999999999999</v>
      </c>
      <c r="W37" s="34"/>
      <c r="X37" s="34">
        <f>G37*N37*0.3</f>
        <v>19.5</v>
      </c>
      <c r="Y37" s="34">
        <f t="shared" ref="Y37" si="42">K37*O37</f>
        <v>69</v>
      </c>
      <c r="Z37" s="27">
        <f>2*K37</f>
        <v>13.8</v>
      </c>
      <c r="AA37" s="98">
        <f>(SUM(R37:X37)+AE37)-Z37</f>
        <v>77.656000000000006</v>
      </c>
      <c r="AB37" s="98">
        <f>Q37*$AB$13+P37*$AB$14</f>
        <v>391.23000000000008</v>
      </c>
      <c r="AC37" s="98">
        <f t="shared" ref="AC37" si="43">SUM(AA37:AB37)</f>
        <v>468.88600000000008</v>
      </c>
      <c r="AE37" s="27">
        <f>IF(AD37&gt;0,AD37*K37,Y37)</f>
        <v>69</v>
      </c>
    </row>
    <row r="38" spans="1:31" s="28" customFormat="1" ht="15.9" customHeight="1">
      <c r="A38" s="83" t="s">
        <v>91</v>
      </c>
      <c r="B38" s="61"/>
      <c r="C38" s="61"/>
      <c r="D38" s="61"/>
      <c r="E38" s="61"/>
      <c r="F38" s="61"/>
      <c r="G38" s="62">
        <f>SUM(G37:G37)</f>
        <v>1</v>
      </c>
      <c r="H38" s="103"/>
      <c r="I38" s="103"/>
      <c r="J38" s="103"/>
      <c r="K38" s="103">
        <f>SUM(K37:K37)</f>
        <v>6.9</v>
      </c>
      <c r="L38" s="63"/>
      <c r="M38" s="63"/>
      <c r="N38" s="63"/>
      <c r="O38" s="64"/>
      <c r="P38" s="109">
        <f t="shared" ref="P38:Y38" si="44">SUM(P37:P37)</f>
        <v>0</v>
      </c>
      <c r="Q38" s="107">
        <f t="shared" si="44"/>
        <v>5.4337500000000007</v>
      </c>
      <c r="R38" s="65">
        <f t="shared" si="44"/>
        <v>0</v>
      </c>
      <c r="S38" s="65">
        <f t="shared" si="44"/>
        <v>0</v>
      </c>
      <c r="T38" s="65">
        <f t="shared" si="44"/>
        <v>1.3</v>
      </c>
      <c r="U38" s="65">
        <f t="shared" si="44"/>
        <v>0</v>
      </c>
      <c r="V38" s="65">
        <f t="shared" si="44"/>
        <v>1.6559999999999999</v>
      </c>
      <c r="W38" s="65">
        <f t="shared" si="44"/>
        <v>0</v>
      </c>
      <c r="X38" s="65">
        <f t="shared" si="44"/>
        <v>19.5</v>
      </c>
      <c r="Y38" s="65">
        <f t="shared" si="44"/>
        <v>69</v>
      </c>
      <c r="AA38" s="99"/>
      <c r="AB38" s="99"/>
      <c r="AC38" s="99"/>
      <c r="AD38" s="99"/>
      <c r="AE38" s="99"/>
    </row>
    <row r="39" spans="1:31" ht="15.9" customHeight="1">
      <c r="A39" s="50" t="s">
        <v>72</v>
      </c>
      <c r="K39" s="45"/>
      <c r="L39" s="45"/>
      <c r="M39" s="45"/>
      <c r="N39" s="45"/>
      <c r="X39" s="46"/>
      <c r="Y39" s="80" t="s">
        <v>95</v>
      </c>
    </row>
    <row r="40" spans="1:31" s="89" customFormat="1" ht="42">
      <c r="A40" s="84" t="s">
        <v>4</v>
      </c>
      <c r="B40" s="85" t="s">
        <v>5</v>
      </c>
      <c r="C40" s="85" t="s">
        <v>23</v>
      </c>
      <c r="D40" s="85" t="s">
        <v>45</v>
      </c>
      <c r="E40" s="85" t="s">
        <v>46</v>
      </c>
      <c r="F40" s="85" t="s">
        <v>6</v>
      </c>
      <c r="G40" s="85" t="s">
        <v>7</v>
      </c>
      <c r="H40" s="86" t="s">
        <v>8</v>
      </c>
      <c r="I40" s="86" t="s">
        <v>47</v>
      </c>
      <c r="J40" s="86" t="s">
        <v>9</v>
      </c>
      <c r="K40" s="87" t="s">
        <v>14</v>
      </c>
      <c r="L40" s="87" t="s">
        <v>20</v>
      </c>
      <c r="M40" s="87" t="s">
        <v>22</v>
      </c>
      <c r="N40" s="87" t="s">
        <v>21</v>
      </c>
      <c r="O40" s="88" t="s">
        <v>10</v>
      </c>
      <c r="P40" s="88" t="s">
        <v>49</v>
      </c>
      <c r="Q40" s="105" t="s">
        <v>62</v>
      </c>
      <c r="R40" s="43" t="s">
        <v>50</v>
      </c>
      <c r="S40" s="43" t="s">
        <v>55</v>
      </c>
      <c r="T40" s="43" t="s">
        <v>69</v>
      </c>
      <c r="U40" s="43" t="s">
        <v>13</v>
      </c>
      <c r="V40" s="43" t="s">
        <v>52</v>
      </c>
      <c r="W40" s="43" t="s">
        <v>48</v>
      </c>
      <c r="X40" s="43" t="s">
        <v>15</v>
      </c>
      <c r="Y40" s="47" t="s">
        <v>12</v>
      </c>
    </row>
    <row r="41" spans="1:31" s="27" customFormat="1" ht="28.5" thickBot="1">
      <c r="A41" s="91" t="s">
        <v>124</v>
      </c>
      <c r="B41" s="90" t="s">
        <v>125</v>
      </c>
      <c r="C41" s="90" t="s">
        <v>126</v>
      </c>
      <c r="D41" s="90" t="s">
        <v>127</v>
      </c>
      <c r="E41" s="90" t="s">
        <v>128</v>
      </c>
      <c r="F41" s="90" t="s">
        <v>74</v>
      </c>
      <c r="G41" s="92">
        <v>1</v>
      </c>
      <c r="H41" s="101">
        <v>16.72</v>
      </c>
      <c r="I41" s="101">
        <v>0</v>
      </c>
      <c r="J41" s="101">
        <v>0</v>
      </c>
      <c r="K41" s="102">
        <f>H41-I41-J41</f>
        <v>16.72</v>
      </c>
      <c r="L41" s="94">
        <v>5.65</v>
      </c>
      <c r="M41" s="94" t="s">
        <v>129</v>
      </c>
      <c r="N41" s="95">
        <v>26</v>
      </c>
      <c r="O41" s="104">
        <v>8.75</v>
      </c>
      <c r="P41" s="108"/>
      <c r="Q41" s="106">
        <f>K41*IF(LEFT(F41,3)="10K",0.417*1.07,IF(LEFT(F41,3)="14K",0.585*1.05,IF(LEFT(F41,3)="18K",0.75*1.05,0)))</f>
        <v>13.167</v>
      </c>
      <c r="R41" s="34">
        <v>150</v>
      </c>
      <c r="S41" s="34"/>
      <c r="T41" s="34">
        <f>0.02*N41*G41</f>
        <v>0.52</v>
      </c>
      <c r="U41" s="34"/>
      <c r="V41" s="34">
        <f t="shared" ref="V41" si="45">IF(RIGHT(F41,2)="WG",K41*$AA$4,IF(OR(RIGHT(F41,3)="WRG",RIGHT(F41,3)="WYG",RIGHT(F41,3)="WYR"),K41*$AA$4+3*G41,0))</f>
        <v>4.0127999999999995</v>
      </c>
      <c r="W41" s="34"/>
      <c r="X41" s="34">
        <f>G41*N41*0.75</f>
        <v>19.5</v>
      </c>
      <c r="Y41" s="34">
        <f t="shared" ref="Y41" si="46">K41*O41</f>
        <v>146.29999999999998</v>
      </c>
      <c r="Z41" s="27">
        <f t="shared" ref="Z41" si="47">2*K41</f>
        <v>33.44</v>
      </c>
      <c r="AA41" s="98">
        <f t="shared" ref="AA41" si="48">(SUM(R41:X41)+AE41)-Z41</f>
        <v>286.89280000000002</v>
      </c>
      <c r="AB41" s="98">
        <f t="shared" ref="AB41" si="49">Q41*$AB$13+P41*$AB$14</f>
        <v>948.024</v>
      </c>
      <c r="AC41" s="98">
        <f t="shared" ref="AC41" si="50">SUM(AA41:AB41)</f>
        <v>1234.9168</v>
      </c>
      <c r="AE41" s="27">
        <f t="shared" ref="AE41" si="51">IF(AD41&gt;0,AD41*K41,Y41)</f>
        <v>146.29999999999998</v>
      </c>
    </row>
    <row r="42" spans="1:31" s="28" customFormat="1" ht="15.9" customHeight="1">
      <c r="A42" s="83" t="s">
        <v>91</v>
      </c>
      <c r="B42" s="61"/>
      <c r="C42" s="61"/>
      <c r="D42" s="61"/>
      <c r="E42" s="61"/>
      <c r="F42" s="61"/>
      <c r="G42" s="62">
        <f>SUM(G41:G41)</f>
        <v>1</v>
      </c>
      <c r="H42" s="103"/>
      <c r="I42" s="103"/>
      <c r="J42" s="103"/>
      <c r="K42" s="103">
        <f>SUM(K41:K41)</f>
        <v>16.72</v>
      </c>
      <c r="L42" s="63"/>
      <c r="M42" s="63"/>
      <c r="N42" s="63"/>
      <c r="O42" s="64"/>
      <c r="P42" s="109">
        <f t="shared" ref="P42:Y42" si="52">SUM(P41:P41)</f>
        <v>0</v>
      </c>
      <c r="Q42" s="107">
        <f t="shared" si="52"/>
        <v>13.167</v>
      </c>
      <c r="R42" s="65">
        <f t="shared" si="52"/>
        <v>150</v>
      </c>
      <c r="S42" s="65">
        <f t="shared" si="52"/>
        <v>0</v>
      </c>
      <c r="T42" s="65">
        <f t="shared" si="52"/>
        <v>0.52</v>
      </c>
      <c r="U42" s="65">
        <f t="shared" si="52"/>
        <v>0</v>
      </c>
      <c r="V42" s="65">
        <f t="shared" si="52"/>
        <v>4.0127999999999995</v>
      </c>
      <c r="W42" s="65">
        <f t="shared" si="52"/>
        <v>0</v>
      </c>
      <c r="X42" s="65">
        <f t="shared" si="52"/>
        <v>19.5</v>
      </c>
      <c r="Y42" s="65">
        <f t="shared" si="52"/>
        <v>146.29999999999998</v>
      </c>
      <c r="AA42" s="99"/>
      <c r="AB42" s="99"/>
      <c r="AC42" s="99"/>
      <c r="AD42" s="99"/>
      <c r="AE42" s="99"/>
    </row>
    <row r="43" spans="1:31" ht="15.9" customHeight="1">
      <c r="A43" s="50" t="s">
        <v>72</v>
      </c>
      <c r="K43" s="45"/>
      <c r="L43" s="45"/>
      <c r="M43" s="45"/>
      <c r="N43" s="45"/>
      <c r="X43" s="46"/>
      <c r="Y43" s="80" t="s">
        <v>95</v>
      </c>
    </row>
    <row r="44" spans="1:31" s="89" customFormat="1" ht="42">
      <c r="A44" s="84" t="s">
        <v>4</v>
      </c>
      <c r="B44" s="85" t="s">
        <v>5</v>
      </c>
      <c r="C44" s="85" t="s">
        <v>23</v>
      </c>
      <c r="D44" s="85" t="s">
        <v>45</v>
      </c>
      <c r="E44" s="85" t="s">
        <v>46</v>
      </c>
      <c r="F44" s="85" t="s">
        <v>6</v>
      </c>
      <c r="G44" s="85" t="s">
        <v>7</v>
      </c>
      <c r="H44" s="86" t="s">
        <v>8</v>
      </c>
      <c r="I44" s="86" t="s">
        <v>47</v>
      </c>
      <c r="J44" s="86" t="s">
        <v>9</v>
      </c>
      <c r="K44" s="87" t="s">
        <v>14</v>
      </c>
      <c r="L44" s="87" t="s">
        <v>20</v>
      </c>
      <c r="M44" s="87" t="s">
        <v>22</v>
      </c>
      <c r="N44" s="87" t="s">
        <v>21</v>
      </c>
      <c r="O44" s="88" t="s">
        <v>10</v>
      </c>
      <c r="P44" s="88" t="s">
        <v>49</v>
      </c>
      <c r="Q44" s="105" t="s">
        <v>62</v>
      </c>
      <c r="R44" s="43" t="s">
        <v>50</v>
      </c>
      <c r="S44" s="43" t="s">
        <v>55</v>
      </c>
      <c r="T44" s="43" t="s">
        <v>69</v>
      </c>
      <c r="U44" s="43" t="s">
        <v>13</v>
      </c>
      <c r="V44" s="43" t="s">
        <v>52</v>
      </c>
      <c r="W44" s="43" t="s">
        <v>48</v>
      </c>
      <c r="X44" s="43" t="s">
        <v>15</v>
      </c>
      <c r="Y44" s="47" t="s">
        <v>12</v>
      </c>
    </row>
    <row r="45" spans="1:31" s="27" customFormat="1" ht="28.5" thickBot="1">
      <c r="A45" s="91" t="s">
        <v>130</v>
      </c>
      <c r="B45" s="93" t="s">
        <v>133</v>
      </c>
      <c r="C45" s="93" t="s">
        <v>134</v>
      </c>
      <c r="D45" s="93" t="s">
        <v>131</v>
      </c>
      <c r="E45" s="90" t="s">
        <v>135</v>
      </c>
      <c r="F45" s="90" t="s">
        <v>75</v>
      </c>
      <c r="G45" s="92">
        <v>1</v>
      </c>
      <c r="H45" s="101">
        <v>8.33</v>
      </c>
      <c r="I45" s="101">
        <v>0.27</v>
      </c>
      <c r="J45" s="101">
        <v>0</v>
      </c>
      <c r="K45" s="102">
        <f t="shared" ref="K45" si="53">H45-I45-J45</f>
        <v>8.06</v>
      </c>
      <c r="L45" s="94">
        <v>3.3</v>
      </c>
      <c r="M45" s="94" t="s">
        <v>132</v>
      </c>
      <c r="N45" s="95">
        <v>10</v>
      </c>
      <c r="O45" s="104">
        <f>11+2</f>
        <v>13</v>
      </c>
      <c r="P45" s="108">
        <v>1.365</v>
      </c>
      <c r="Q45" s="106">
        <f t="shared" ref="Q45" si="54">K45*IF(LEFT(F45,3)="10K",0.417*1.07,IF(LEFT(F45,3)="14K",0.585*1.05,IF(LEFT(F45,3)="18K",0.75*1.05,0)))</f>
        <v>6.3472500000000007</v>
      </c>
      <c r="R45" s="34"/>
      <c r="S45" s="34"/>
      <c r="T45" s="34">
        <f t="shared" ref="T45" si="55">G45*0.02*N45</f>
        <v>0.2</v>
      </c>
      <c r="U45" s="34"/>
      <c r="V45" s="34">
        <f>IF(RIGHT(F45,2)="WG",K45*$AA$4,IF(OR(RIGHT(F45,3)="WRG",RIGHT(F45,3)="WYG",RIGHT(F45,3)="WYR"),K45*$AA$4+3*G45,0))</f>
        <v>0</v>
      </c>
      <c r="W45" s="34"/>
      <c r="X45" s="34">
        <f>G45*N45*1</f>
        <v>10</v>
      </c>
      <c r="Y45" s="34">
        <f t="shared" ref="Y45" si="56">K45*O45</f>
        <v>104.78</v>
      </c>
      <c r="Z45" s="27">
        <f>2*K45</f>
        <v>16.12</v>
      </c>
      <c r="AA45" s="98">
        <f>(SUM(R45:X45)+AE45)-Z45</f>
        <v>98.86</v>
      </c>
      <c r="AB45" s="98">
        <f>Q45*$AB$13+P45*$AB$14</f>
        <v>684.37004999999999</v>
      </c>
      <c r="AC45" s="98">
        <f t="shared" ref="AC45" si="57">SUM(AA45:AB45)</f>
        <v>783.23005000000001</v>
      </c>
      <c r="AE45" s="27">
        <f>IF(AD45&gt;0,AD45*K45,Y45)</f>
        <v>104.78</v>
      </c>
    </row>
    <row r="46" spans="1:31" s="28" customFormat="1" ht="15.9" customHeight="1">
      <c r="A46" s="83" t="s">
        <v>91</v>
      </c>
      <c r="B46" s="61"/>
      <c r="C46" s="61"/>
      <c r="D46" s="61"/>
      <c r="E46" s="61"/>
      <c r="F46" s="61"/>
      <c r="G46" s="62">
        <f>SUM(G45:G45)</f>
        <v>1</v>
      </c>
      <c r="H46" s="103"/>
      <c r="I46" s="103"/>
      <c r="J46" s="103"/>
      <c r="K46" s="103">
        <f>SUM(K45:K45)</f>
        <v>8.06</v>
      </c>
      <c r="L46" s="63"/>
      <c r="M46" s="63"/>
      <c r="N46" s="63"/>
      <c r="O46" s="64"/>
      <c r="P46" s="109">
        <f t="shared" ref="P46:Y46" si="58">SUM(P45:P45)</f>
        <v>1.365</v>
      </c>
      <c r="Q46" s="107">
        <f t="shared" si="58"/>
        <v>6.3472500000000007</v>
      </c>
      <c r="R46" s="65">
        <f t="shared" si="58"/>
        <v>0</v>
      </c>
      <c r="S46" s="65">
        <f t="shared" si="58"/>
        <v>0</v>
      </c>
      <c r="T46" s="65">
        <f t="shared" si="58"/>
        <v>0.2</v>
      </c>
      <c r="U46" s="65">
        <f t="shared" si="58"/>
        <v>0</v>
      </c>
      <c r="V46" s="65">
        <f t="shared" si="58"/>
        <v>0</v>
      </c>
      <c r="W46" s="65">
        <f t="shared" si="58"/>
        <v>0</v>
      </c>
      <c r="X46" s="65">
        <f t="shared" si="58"/>
        <v>10</v>
      </c>
      <c r="Y46" s="65">
        <f t="shared" si="58"/>
        <v>104.78</v>
      </c>
      <c r="AA46" s="99"/>
      <c r="AB46" s="99"/>
      <c r="AC46" s="99"/>
      <c r="AD46" s="99"/>
      <c r="AE46" s="99"/>
    </row>
    <row r="47" spans="1:31" ht="15.9" customHeight="1">
      <c r="A47" s="50" t="s">
        <v>136</v>
      </c>
      <c r="K47" s="45"/>
      <c r="L47" s="45"/>
      <c r="M47" s="45"/>
      <c r="N47" s="45"/>
      <c r="X47" s="46"/>
      <c r="Y47" s="80" t="s">
        <v>95</v>
      </c>
    </row>
    <row r="48" spans="1:31" s="89" customFormat="1" ht="42">
      <c r="A48" s="84" t="s">
        <v>4</v>
      </c>
      <c r="B48" s="85" t="s">
        <v>5</v>
      </c>
      <c r="C48" s="85" t="s">
        <v>23</v>
      </c>
      <c r="D48" s="85" t="s">
        <v>45</v>
      </c>
      <c r="E48" s="85" t="s">
        <v>46</v>
      </c>
      <c r="F48" s="85" t="s">
        <v>6</v>
      </c>
      <c r="G48" s="85" t="s">
        <v>7</v>
      </c>
      <c r="H48" s="86" t="s">
        <v>8</v>
      </c>
      <c r="I48" s="86" t="s">
        <v>47</v>
      </c>
      <c r="J48" s="86" t="s">
        <v>9</v>
      </c>
      <c r="K48" s="87" t="s">
        <v>14</v>
      </c>
      <c r="L48" s="87" t="s">
        <v>20</v>
      </c>
      <c r="M48" s="87" t="s">
        <v>22</v>
      </c>
      <c r="N48" s="87" t="s">
        <v>21</v>
      </c>
      <c r="O48" s="88" t="s">
        <v>10</v>
      </c>
      <c r="P48" s="88" t="s">
        <v>49</v>
      </c>
      <c r="Q48" s="105" t="s">
        <v>62</v>
      </c>
      <c r="R48" s="43" t="s">
        <v>50</v>
      </c>
      <c r="S48" s="43" t="s">
        <v>55</v>
      </c>
      <c r="T48" s="43" t="s">
        <v>69</v>
      </c>
      <c r="U48" s="43" t="s">
        <v>13</v>
      </c>
      <c r="V48" s="43" t="s">
        <v>52</v>
      </c>
      <c r="W48" s="43" t="s">
        <v>48</v>
      </c>
      <c r="X48" s="43" t="s">
        <v>15</v>
      </c>
      <c r="Y48" s="47" t="s">
        <v>12</v>
      </c>
    </row>
    <row r="49" spans="1:31" s="27" customFormat="1" ht="28">
      <c r="A49" s="91" t="s">
        <v>137</v>
      </c>
      <c r="B49" s="90" t="s">
        <v>138</v>
      </c>
      <c r="C49" s="90"/>
      <c r="D49" s="90"/>
      <c r="E49" s="90"/>
      <c r="F49" s="90" t="s">
        <v>74</v>
      </c>
      <c r="G49" s="92">
        <v>1</v>
      </c>
      <c r="H49" s="101">
        <v>7.84</v>
      </c>
      <c r="I49" s="101">
        <v>0</v>
      </c>
      <c r="J49" s="101">
        <v>0</v>
      </c>
      <c r="K49" s="102">
        <f>H49-I49-J49</f>
        <v>7.84</v>
      </c>
      <c r="L49" s="94">
        <v>2.25</v>
      </c>
      <c r="M49" s="94" t="s">
        <v>139</v>
      </c>
      <c r="N49" s="95">
        <v>38</v>
      </c>
      <c r="O49" s="104">
        <v>6.5</v>
      </c>
      <c r="P49" s="108"/>
      <c r="Q49" s="106">
        <f>K49*IF(LEFT(F49,3)="10K",0.417*1.07,IF(LEFT(F49,3)="14K",0.585*1.05,IF(LEFT(F49,3)="18K",0.75*1.05,0)))</f>
        <v>6.1740000000000004</v>
      </c>
      <c r="R49" s="34">
        <f t="shared" ref="R49:R59" si="59">150/1*G49</f>
        <v>150</v>
      </c>
      <c r="S49" s="34"/>
      <c r="T49" s="34"/>
      <c r="U49" s="34"/>
      <c r="V49" s="34"/>
      <c r="W49" s="34"/>
      <c r="X49" s="34"/>
      <c r="Y49" s="34">
        <f t="shared" ref="Y49:Y59" si="60">K49*O49</f>
        <v>50.96</v>
      </c>
      <c r="Z49" s="27">
        <f t="shared" ref="Z49:Z59" si="61">2*K49</f>
        <v>15.68</v>
      </c>
      <c r="AA49" s="98">
        <f t="shared" ref="AA49:AA59" si="62">(SUM(R49:X49)+AE49)-Z49</f>
        <v>185.28</v>
      </c>
      <c r="AB49" s="98">
        <f t="shared" ref="AB49:AB59" si="63">Q49*$AB$13+P49*$AB$14</f>
        <v>444.52800000000002</v>
      </c>
      <c r="AC49" s="98">
        <f t="shared" ref="AC49" si="64">SUM(AA49:AB49)</f>
        <v>629.80799999999999</v>
      </c>
      <c r="AE49" s="27">
        <f t="shared" ref="AE49:AE59" si="65">IF(AD49&gt;0,AD49*K49,Y49)</f>
        <v>50.96</v>
      </c>
    </row>
    <row r="50" spans="1:31" s="27" customFormat="1" ht="28">
      <c r="A50" s="91">
        <v>3</v>
      </c>
      <c r="B50" s="93" t="s">
        <v>140</v>
      </c>
      <c r="C50" s="93"/>
      <c r="D50" s="90"/>
      <c r="E50" s="90"/>
      <c r="F50" s="90" t="s">
        <v>74</v>
      </c>
      <c r="G50" s="92">
        <v>1</v>
      </c>
      <c r="H50" s="101">
        <v>10.16</v>
      </c>
      <c r="I50" s="101">
        <v>0</v>
      </c>
      <c r="J50" s="101">
        <v>0</v>
      </c>
      <c r="K50" s="102">
        <f t="shared" ref="K50:K59" si="66">H50-I50-J50</f>
        <v>10.16</v>
      </c>
      <c r="L50" s="94">
        <v>2.95</v>
      </c>
      <c r="M50" s="94" t="s">
        <v>139</v>
      </c>
      <c r="N50" s="95">
        <v>32</v>
      </c>
      <c r="O50" s="104">
        <v>6.5</v>
      </c>
      <c r="P50" s="108"/>
      <c r="Q50" s="106">
        <f t="shared" ref="Q50:Q59" si="67">K50*IF(LEFT(F50,3)="10K",0.417*1.07,IF(LEFT(F50,3)="14K",0.585*1.05,IF(LEFT(F50,3)="18K",0.75*1.05,0)))</f>
        <v>8.0010000000000012</v>
      </c>
      <c r="R50" s="34">
        <f t="shared" si="59"/>
        <v>150</v>
      </c>
      <c r="S50" s="34"/>
      <c r="T50" s="34"/>
      <c r="U50" s="34"/>
      <c r="V50" s="34"/>
      <c r="W50" s="34"/>
      <c r="X50" s="34"/>
      <c r="Y50" s="34">
        <f t="shared" si="60"/>
        <v>66.040000000000006</v>
      </c>
      <c r="Z50" s="27">
        <f t="shared" si="61"/>
        <v>20.32</v>
      </c>
      <c r="AA50" s="98">
        <f t="shared" si="62"/>
        <v>195.72000000000003</v>
      </c>
      <c r="AB50" s="98">
        <f t="shared" si="63"/>
        <v>576.07200000000012</v>
      </c>
      <c r="AC50" s="98">
        <f t="shared" ref="AC50:AC59" si="68">SUM(AA50:AB50)</f>
        <v>771.79200000000014</v>
      </c>
      <c r="AE50" s="27">
        <f t="shared" si="65"/>
        <v>66.040000000000006</v>
      </c>
    </row>
    <row r="51" spans="1:31" s="27" customFormat="1" ht="28">
      <c r="A51" s="91">
        <v>4</v>
      </c>
      <c r="B51" s="90" t="s">
        <v>141</v>
      </c>
      <c r="C51" s="90"/>
      <c r="D51" s="90"/>
      <c r="E51" s="90"/>
      <c r="F51" s="90" t="s">
        <v>74</v>
      </c>
      <c r="G51" s="92">
        <v>1</v>
      </c>
      <c r="H51" s="101">
        <v>11.1</v>
      </c>
      <c r="I51" s="101">
        <v>0</v>
      </c>
      <c r="J51" s="101">
        <v>0</v>
      </c>
      <c r="K51" s="102">
        <f t="shared" si="66"/>
        <v>11.1</v>
      </c>
      <c r="L51" s="94">
        <v>3.3</v>
      </c>
      <c r="M51" s="94" t="s">
        <v>139</v>
      </c>
      <c r="N51" s="95">
        <v>29</v>
      </c>
      <c r="O51" s="104">
        <v>6.5</v>
      </c>
      <c r="P51" s="108"/>
      <c r="Q51" s="106">
        <f t="shared" si="67"/>
        <v>8.7412500000000009</v>
      </c>
      <c r="R51" s="34">
        <f t="shared" si="59"/>
        <v>150</v>
      </c>
      <c r="S51" s="34"/>
      <c r="T51" s="34"/>
      <c r="U51" s="34"/>
      <c r="V51" s="34"/>
      <c r="W51" s="34"/>
      <c r="X51" s="34"/>
      <c r="Y51" s="34">
        <f t="shared" si="60"/>
        <v>72.149999999999991</v>
      </c>
      <c r="Z51" s="27">
        <f t="shared" si="61"/>
        <v>22.2</v>
      </c>
      <c r="AA51" s="98">
        <f t="shared" si="62"/>
        <v>199.95</v>
      </c>
      <c r="AB51" s="98">
        <f t="shared" si="63"/>
        <v>629.37000000000012</v>
      </c>
      <c r="AC51" s="98">
        <f t="shared" si="68"/>
        <v>829.32000000000016</v>
      </c>
      <c r="AE51" s="27">
        <f t="shared" si="65"/>
        <v>72.149999999999991</v>
      </c>
    </row>
    <row r="52" spans="1:31" s="27" customFormat="1" ht="28">
      <c r="A52" s="91">
        <v>5</v>
      </c>
      <c r="B52" s="93" t="s">
        <v>142</v>
      </c>
      <c r="C52" s="93"/>
      <c r="D52" s="90"/>
      <c r="E52" s="90"/>
      <c r="F52" s="90" t="s">
        <v>74</v>
      </c>
      <c r="G52" s="92">
        <v>1</v>
      </c>
      <c r="H52" s="101">
        <v>11.81</v>
      </c>
      <c r="I52" s="101">
        <v>0</v>
      </c>
      <c r="J52" s="101">
        <v>0</v>
      </c>
      <c r="K52" s="102">
        <f t="shared" si="66"/>
        <v>11.81</v>
      </c>
      <c r="L52" s="94">
        <v>3.6</v>
      </c>
      <c r="M52" s="94" t="s">
        <v>139</v>
      </c>
      <c r="N52" s="95">
        <v>28</v>
      </c>
      <c r="O52" s="104">
        <v>6.5</v>
      </c>
      <c r="P52" s="108"/>
      <c r="Q52" s="106">
        <f t="shared" si="67"/>
        <v>9.3003750000000007</v>
      </c>
      <c r="R52" s="34">
        <f t="shared" si="59"/>
        <v>150</v>
      </c>
      <c r="S52" s="34"/>
      <c r="T52" s="34"/>
      <c r="U52" s="34"/>
      <c r="V52" s="34"/>
      <c r="W52" s="34"/>
      <c r="X52" s="34"/>
      <c r="Y52" s="34">
        <f t="shared" si="60"/>
        <v>76.765000000000001</v>
      </c>
      <c r="Z52" s="27">
        <f t="shared" si="61"/>
        <v>23.62</v>
      </c>
      <c r="AA52" s="98">
        <f t="shared" si="62"/>
        <v>203.14499999999998</v>
      </c>
      <c r="AB52" s="98">
        <f t="shared" si="63"/>
        <v>669.62700000000007</v>
      </c>
      <c r="AC52" s="98">
        <f t="shared" si="68"/>
        <v>872.77200000000005</v>
      </c>
      <c r="AE52" s="27">
        <f t="shared" si="65"/>
        <v>76.765000000000001</v>
      </c>
    </row>
    <row r="53" spans="1:31" s="27" customFormat="1" ht="28">
      <c r="A53" s="91">
        <v>6</v>
      </c>
      <c r="B53" s="93" t="s">
        <v>143</v>
      </c>
      <c r="C53" s="93"/>
      <c r="D53" s="90"/>
      <c r="E53" s="90"/>
      <c r="F53" s="90" t="s">
        <v>74</v>
      </c>
      <c r="G53" s="92">
        <v>1</v>
      </c>
      <c r="H53" s="101">
        <v>13.24</v>
      </c>
      <c r="I53" s="101">
        <v>0</v>
      </c>
      <c r="J53" s="101">
        <v>0</v>
      </c>
      <c r="K53" s="102">
        <f t="shared" si="66"/>
        <v>13.24</v>
      </c>
      <c r="L53" s="94">
        <v>3.9</v>
      </c>
      <c r="M53" s="94" t="s">
        <v>139</v>
      </c>
      <c r="N53" s="95">
        <v>26</v>
      </c>
      <c r="O53" s="104">
        <v>6.5</v>
      </c>
      <c r="P53" s="108"/>
      <c r="Q53" s="106">
        <f t="shared" si="67"/>
        <v>10.426500000000001</v>
      </c>
      <c r="R53" s="34">
        <f t="shared" si="59"/>
        <v>150</v>
      </c>
      <c r="S53" s="34"/>
      <c r="T53" s="34"/>
      <c r="U53" s="34"/>
      <c r="V53" s="34"/>
      <c r="W53" s="34"/>
      <c r="X53" s="34"/>
      <c r="Y53" s="34">
        <f t="shared" si="60"/>
        <v>86.06</v>
      </c>
      <c r="Z53" s="27">
        <f t="shared" si="61"/>
        <v>26.48</v>
      </c>
      <c r="AA53" s="98">
        <f t="shared" si="62"/>
        <v>209.58</v>
      </c>
      <c r="AB53" s="98">
        <f t="shared" si="63"/>
        <v>750.70800000000008</v>
      </c>
      <c r="AC53" s="98">
        <f t="shared" si="68"/>
        <v>960.28800000000012</v>
      </c>
      <c r="AE53" s="27">
        <f t="shared" si="65"/>
        <v>86.06</v>
      </c>
    </row>
    <row r="54" spans="1:31" s="27" customFormat="1" ht="28">
      <c r="A54" s="91">
        <v>7</v>
      </c>
      <c r="B54" s="93" t="s">
        <v>144</v>
      </c>
      <c r="C54" s="90"/>
      <c r="D54" s="90"/>
      <c r="E54" s="90"/>
      <c r="F54" s="90" t="s">
        <v>74</v>
      </c>
      <c r="G54" s="92">
        <v>1</v>
      </c>
      <c r="H54" s="101">
        <v>7.99</v>
      </c>
      <c r="I54" s="101">
        <v>0</v>
      </c>
      <c r="J54" s="101">
        <v>0</v>
      </c>
      <c r="K54" s="102">
        <f t="shared" si="66"/>
        <v>7.99</v>
      </c>
      <c r="L54" s="96">
        <v>2.25</v>
      </c>
      <c r="M54" s="94" t="s">
        <v>139</v>
      </c>
      <c r="N54" s="95">
        <v>39</v>
      </c>
      <c r="O54" s="104">
        <v>6.5</v>
      </c>
      <c r="P54" s="108"/>
      <c r="Q54" s="106">
        <f t="shared" si="67"/>
        <v>6.2921250000000013</v>
      </c>
      <c r="R54" s="34">
        <f t="shared" si="59"/>
        <v>150</v>
      </c>
      <c r="S54" s="34"/>
      <c r="T54" s="34"/>
      <c r="U54" s="34"/>
      <c r="V54" s="34"/>
      <c r="W54" s="34"/>
      <c r="X54" s="34"/>
      <c r="Y54" s="34">
        <f t="shared" si="60"/>
        <v>51.935000000000002</v>
      </c>
      <c r="Z54" s="27">
        <f t="shared" si="61"/>
        <v>15.98</v>
      </c>
      <c r="AA54" s="98">
        <f t="shared" si="62"/>
        <v>185.95500000000001</v>
      </c>
      <c r="AB54" s="98">
        <f t="shared" si="63"/>
        <v>453.03300000000007</v>
      </c>
      <c r="AC54" s="98">
        <f t="shared" si="68"/>
        <v>638.98800000000006</v>
      </c>
      <c r="AE54" s="27">
        <f t="shared" si="65"/>
        <v>51.935000000000002</v>
      </c>
    </row>
    <row r="55" spans="1:31" s="27" customFormat="1" ht="28">
      <c r="A55" s="91">
        <v>8</v>
      </c>
      <c r="B55" s="93" t="s">
        <v>145</v>
      </c>
      <c r="C55" s="90"/>
      <c r="D55" s="90"/>
      <c r="E55" s="90"/>
      <c r="F55" s="90" t="s">
        <v>74</v>
      </c>
      <c r="G55" s="92">
        <v>1</v>
      </c>
      <c r="H55" s="101">
        <v>9.6999999999999993</v>
      </c>
      <c r="I55" s="101">
        <v>0</v>
      </c>
      <c r="J55" s="101">
        <v>0</v>
      </c>
      <c r="K55" s="102">
        <f t="shared" si="66"/>
        <v>9.6999999999999993</v>
      </c>
      <c r="L55" s="96">
        <v>2.7</v>
      </c>
      <c r="M55" s="94" t="s">
        <v>139</v>
      </c>
      <c r="N55" s="95">
        <v>35</v>
      </c>
      <c r="O55" s="104">
        <v>6.5</v>
      </c>
      <c r="P55" s="108"/>
      <c r="Q55" s="106">
        <f t="shared" si="67"/>
        <v>7.6387499999999999</v>
      </c>
      <c r="R55" s="34">
        <f t="shared" si="59"/>
        <v>150</v>
      </c>
      <c r="S55" s="34"/>
      <c r="T55" s="34"/>
      <c r="U55" s="34"/>
      <c r="V55" s="34"/>
      <c r="W55" s="34"/>
      <c r="X55" s="34"/>
      <c r="Y55" s="34">
        <f t="shared" si="60"/>
        <v>63.05</v>
      </c>
      <c r="Z55" s="27">
        <f t="shared" si="61"/>
        <v>19.399999999999999</v>
      </c>
      <c r="AA55" s="98">
        <f t="shared" si="62"/>
        <v>193.65</v>
      </c>
      <c r="AB55" s="98">
        <f t="shared" si="63"/>
        <v>549.99</v>
      </c>
      <c r="AC55" s="98">
        <f t="shared" si="68"/>
        <v>743.64</v>
      </c>
      <c r="AE55" s="27">
        <f t="shared" si="65"/>
        <v>63.05</v>
      </c>
    </row>
    <row r="56" spans="1:31" s="27" customFormat="1" ht="28">
      <c r="A56" s="91">
        <v>9</v>
      </c>
      <c r="B56" s="93" t="s">
        <v>146</v>
      </c>
      <c r="C56" s="90"/>
      <c r="D56" s="90"/>
      <c r="E56" s="90"/>
      <c r="F56" s="90" t="s">
        <v>74</v>
      </c>
      <c r="G56" s="92">
        <v>1</v>
      </c>
      <c r="H56" s="101">
        <v>12.45</v>
      </c>
      <c r="I56" s="101">
        <v>0</v>
      </c>
      <c r="J56" s="101">
        <v>0</v>
      </c>
      <c r="K56" s="102">
        <f t="shared" si="66"/>
        <v>12.45</v>
      </c>
      <c r="L56" s="96">
        <v>2.95</v>
      </c>
      <c r="M56" s="94" t="s">
        <v>139</v>
      </c>
      <c r="N56" s="95">
        <v>33</v>
      </c>
      <c r="O56" s="104">
        <v>6.5</v>
      </c>
      <c r="P56" s="108"/>
      <c r="Q56" s="106">
        <f t="shared" si="67"/>
        <v>9.8043750000000003</v>
      </c>
      <c r="R56" s="34">
        <f t="shared" si="59"/>
        <v>150</v>
      </c>
      <c r="S56" s="34"/>
      <c r="T56" s="34"/>
      <c r="U56" s="34"/>
      <c r="V56" s="34"/>
      <c r="W56" s="34"/>
      <c r="X56" s="34"/>
      <c r="Y56" s="34">
        <f t="shared" si="60"/>
        <v>80.924999999999997</v>
      </c>
      <c r="Z56" s="27">
        <f t="shared" si="61"/>
        <v>24.9</v>
      </c>
      <c r="AA56" s="98">
        <f t="shared" si="62"/>
        <v>206.02500000000001</v>
      </c>
      <c r="AB56" s="98">
        <f t="shared" si="63"/>
        <v>705.91499999999996</v>
      </c>
      <c r="AC56" s="98">
        <f t="shared" si="68"/>
        <v>911.93999999999994</v>
      </c>
      <c r="AE56" s="27">
        <f t="shared" si="65"/>
        <v>80.924999999999997</v>
      </c>
    </row>
    <row r="57" spans="1:31" s="27" customFormat="1" ht="28">
      <c r="A57" s="91">
        <v>10</v>
      </c>
      <c r="B57" s="93" t="s">
        <v>147</v>
      </c>
      <c r="C57" s="90"/>
      <c r="D57" s="90"/>
      <c r="E57" s="90"/>
      <c r="F57" s="90" t="s">
        <v>74</v>
      </c>
      <c r="G57" s="92">
        <v>1</v>
      </c>
      <c r="H57" s="101">
        <v>12.66</v>
      </c>
      <c r="I57" s="101">
        <v>0</v>
      </c>
      <c r="J57" s="101">
        <v>0</v>
      </c>
      <c r="K57" s="102">
        <f t="shared" si="66"/>
        <v>12.66</v>
      </c>
      <c r="L57" s="96">
        <v>3.3</v>
      </c>
      <c r="M57" s="94" t="s">
        <v>139</v>
      </c>
      <c r="N57" s="95">
        <v>30</v>
      </c>
      <c r="O57" s="104">
        <v>6.5</v>
      </c>
      <c r="P57" s="108"/>
      <c r="Q57" s="106">
        <f t="shared" si="67"/>
        <v>9.9697500000000012</v>
      </c>
      <c r="R57" s="34">
        <f t="shared" si="59"/>
        <v>150</v>
      </c>
      <c r="S57" s="34"/>
      <c r="T57" s="34"/>
      <c r="U57" s="34"/>
      <c r="V57" s="34"/>
      <c r="W57" s="34"/>
      <c r="X57" s="34"/>
      <c r="Y57" s="34">
        <f t="shared" si="60"/>
        <v>82.29</v>
      </c>
      <c r="Z57" s="27">
        <f t="shared" si="61"/>
        <v>25.32</v>
      </c>
      <c r="AA57" s="98">
        <f t="shared" si="62"/>
        <v>206.97000000000003</v>
      </c>
      <c r="AB57" s="98">
        <f t="shared" si="63"/>
        <v>717.82200000000012</v>
      </c>
      <c r="AC57" s="98">
        <f t="shared" si="68"/>
        <v>924.79200000000014</v>
      </c>
      <c r="AE57" s="27">
        <f t="shared" si="65"/>
        <v>82.29</v>
      </c>
    </row>
    <row r="58" spans="1:31" s="27" customFormat="1" ht="28">
      <c r="A58" s="91">
        <v>11</v>
      </c>
      <c r="B58" s="93" t="s">
        <v>148</v>
      </c>
      <c r="C58" s="90"/>
      <c r="D58" s="90"/>
      <c r="E58" s="90"/>
      <c r="F58" s="90" t="s">
        <v>74</v>
      </c>
      <c r="G58" s="92">
        <v>1</v>
      </c>
      <c r="H58" s="101">
        <v>15.03</v>
      </c>
      <c r="I58" s="101">
        <v>0</v>
      </c>
      <c r="J58" s="101">
        <v>0</v>
      </c>
      <c r="K58" s="102">
        <f t="shared" si="66"/>
        <v>15.03</v>
      </c>
      <c r="L58" s="96">
        <v>3.6</v>
      </c>
      <c r="M58" s="94" t="s">
        <v>139</v>
      </c>
      <c r="N58" s="95">
        <v>28</v>
      </c>
      <c r="O58" s="104">
        <v>6.5</v>
      </c>
      <c r="P58" s="108"/>
      <c r="Q58" s="106">
        <f t="shared" si="67"/>
        <v>11.836125000000001</v>
      </c>
      <c r="R58" s="34">
        <f t="shared" si="59"/>
        <v>150</v>
      </c>
      <c r="S58" s="34"/>
      <c r="T58" s="34"/>
      <c r="U58" s="34"/>
      <c r="V58" s="34"/>
      <c r="W58" s="34"/>
      <c r="X58" s="34"/>
      <c r="Y58" s="34">
        <f t="shared" si="60"/>
        <v>97.694999999999993</v>
      </c>
      <c r="Z58" s="27">
        <f t="shared" si="61"/>
        <v>30.06</v>
      </c>
      <c r="AA58" s="98">
        <f t="shared" si="62"/>
        <v>217.63499999999999</v>
      </c>
      <c r="AB58" s="98">
        <f t="shared" si="63"/>
        <v>852.20100000000002</v>
      </c>
      <c r="AC58" s="98">
        <f t="shared" si="68"/>
        <v>1069.836</v>
      </c>
      <c r="AE58" s="27">
        <f t="shared" si="65"/>
        <v>97.694999999999993</v>
      </c>
    </row>
    <row r="59" spans="1:31" s="27" customFormat="1" ht="28.5" thickBot="1">
      <c r="A59" s="91">
        <v>12</v>
      </c>
      <c r="B59" s="93" t="s">
        <v>149</v>
      </c>
      <c r="C59" s="90"/>
      <c r="D59" s="93"/>
      <c r="E59" s="90"/>
      <c r="F59" s="90" t="s">
        <v>74</v>
      </c>
      <c r="G59" s="92">
        <v>1</v>
      </c>
      <c r="H59" s="101">
        <v>14.54</v>
      </c>
      <c r="I59" s="101">
        <v>0</v>
      </c>
      <c r="J59" s="101">
        <v>0</v>
      </c>
      <c r="K59" s="102">
        <f t="shared" si="66"/>
        <v>14.54</v>
      </c>
      <c r="L59" s="96">
        <v>3.9</v>
      </c>
      <c r="M59" s="94" t="s">
        <v>139</v>
      </c>
      <c r="N59" s="95">
        <v>26</v>
      </c>
      <c r="O59" s="104">
        <v>6.5</v>
      </c>
      <c r="P59" s="108"/>
      <c r="Q59" s="106">
        <f t="shared" si="67"/>
        <v>11.45025</v>
      </c>
      <c r="R59" s="34">
        <f t="shared" si="59"/>
        <v>150</v>
      </c>
      <c r="S59" s="34"/>
      <c r="T59" s="34"/>
      <c r="U59" s="34"/>
      <c r="V59" s="34"/>
      <c r="W59" s="34"/>
      <c r="X59" s="34"/>
      <c r="Y59" s="34">
        <f t="shared" si="60"/>
        <v>94.509999999999991</v>
      </c>
      <c r="Z59" s="27">
        <f t="shared" si="61"/>
        <v>29.08</v>
      </c>
      <c r="AA59" s="98">
        <f t="shared" si="62"/>
        <v>215.43</v>
      </c>
      <c r="AB59" s="98">
        <f t="shared" si="63"/>
        <v>824.41800000000001</v>
      </c>
      <c r="AC59" s="98">
        <f t="shared" si="68"/>
        <v>1039.848</v>
      </c>
      <c r="AE59" s="27">
        <f t="shared" si="65"/>
        <v>94.509999999999991</v>
      </c>
    </row>
    <row r="60" spans="1:31" s="28" customFormat="1" ht="15.9" customHeight="1">
      <c r="A60" s="83" t="s">
        <v>91</v>
      </c>
      <c r="B60" s="61"/>
      <c r="C60" s="61"/>
      <c r="D60" s="61"/>
      <c r="E60" s="61"/>
      <c r="F60" s="61"/>
      <c r="G60" s="62">
        <f>SUM(G49:G59)</f>
        <v>11</v>
      </c>
      <c r="H60" s="103"/>
      <c r="I60" s="103"/>
      <c r="J60" s="103"/>
      <c r="K60" s="103">
        <f>SUM(K49:K59)</f>
        <v>126.52000000000001</v>
      </c>
      <c r="L60" s="63"/>
      <c r="M60" s="63"/>
      <c r="N60" s="63"/>
      <c r="O60" s="64"/>
      <c r="P60" s="109">
        <f t="shared" ref="P60:Y60" si="69">SUM(P49:P59)</f>
        <v>0</v>
      </c>
      <c r="Q60" s="107">
        <f t="shared" si="69"/>
        <v>99.634500000000003</v>
      </c>
      <c r="R60" s="65">
        <f t="shared" si="69"/>
        <v>1650</v>
      </c>
      <c r="S60" s="65">
        <f t="shared" si="69"/>
        <v>0</v>
      </c>
      <c r="T60" s="65">
        <f t="shared" si="69"/>
        <v>0</v>
      </c>
      <c r="U60" s="65">
        <f t="shared" si="69"/>
        <v>0</v>
      </c>
      <c r="V60" s="65">
        <f t="shared" si="69"/>
        <v>0</v>
      </c>
      <c r="W60" s="65">
        <f t="shared" si="69"/>
        <v>0</v>
      </c>
      <c r="X60" s="65">
        <f t="shared" si="69"/>
        <v>0</v>
      </c>
      <c r="Y60" s="65">
        <f t="shared" si="69"/>
        <v>822.37999999999988</v>
      </c>
      <c r="AA60" s="99"/>
      <c r="AB60" s="99"/>
      <c r="AC60" s="99"/>
      <c r="AD60" s="99"/>
      <c r="AE60" s="99"/>
    </row>
    <row r="61" spans="1:31" ht="15.9" customHeight="1">
      <c r="A61" s="50" t="s">
        <v>72</v>
      </c>
      <c r="K61" s="45"/>
      <c r="L61" s="45"/>
      <c r="M61" s="45"/>
      <c r="N61" s="45"/>
      <c r="X61" s="46"/>
      <c r="Y61" s="80" t="s">
        <v>95</v>
      </c>
    </row>
    <row r="62" spans="1:31" s="89" customFormat="1" ht="42">
      <c r="A62" s="84" t="s">
        <v>4</v>
      </c>
      <c r="B62" s="85" t="s">
        <v>5</v>
      </c>
      <c r="C62" s="85" t="s">
        <v>23</v>
      </c>
      <c r="D62" s="85" t="s">
        <v>45</v>
      </c>
      <c r="E62" s="85" t="s">
        <v>46</v>
      </c>
      <c r="F62" s="85" t="s">
        <v>6</v>
      </c>
      <c r="G62" s="85" t="s">
        <v>7</v>
      </c>
      <c r="H62" s="86" t="s">
        <v>8</v>
      </c>
      <c r="I62" s="86" t="s">
        <v>47</v>
      </c>
      <c r="J62" s="86" t="s">
        <v>9</v>
      </c>
      <c r="K62" s="87" t="s">
        <v>14</v>
      </c>
      <c r="L62" s="87" t="s">
        <v>20</v>
      </c>
      <c r="M62" s="87" t="s">
        <v>22</v>
      </c>
      <c r="N62" s="87" t="s">
        <v>21</v>
      </c>
      <c r="O62" s="88" t="s">
        <v>10</v>
      </c>
      <c r="P62" s="88" t="s">
        <v>49</v>
      </c>
      <c r="Q62" s="105" t="s">
        <v>62</v>
      </c>
      <c r="R62" s="43" t="s">
        <v>50</v>
      </c>
      <c r="S62" s="43" t="s">
        <v>55</v>
      </c>
      <c r="T62" s="43" t="s">
        <v>69</v>
      </c>
      <c r="U62" s="43" t="s">
        <v>13</v>
      </c>
      <c r="V62" s="43" t="s">
        <v>52</v>
      </c>
      <c r="W62" s="43" t="s">
        <v>48</v>
      </c>
      <c r="X62" s="43" t="s">
        <v>15</v>
      </c>
      <c r="Y62" s="47" t="s">
        <v>12</v>
      </c>
    </row>
    <row r="63" spans="1:31" s="27" customFormat="1" ht="56.5" thickBot="1">
      <c r="A63" s="91" t="s">
        <v>150</v>
      </c>
      <c r="B63" s="93" t="s">
        <v>152</v>
      </c>
      <c r="C63" s="93" t="s">
        <v>153</v>
      </c>
      <c r="D63" s="90" t="s">
        <v>151</v>
      </c>
      <c r="E63" s="90" t="s">
        <v>154</v>
      </c>
      <c r="F63" s="90" t="s">
        <v>74</v>
      </c>
      <c r="G63" s="133">
        <v>2</v>
      </c>
      <c r="H63" s="134">
        <v>5.16</v>
      </c>
      <c r="I63" s="134">
        <v>0.2</v>
      </c>
      <c r="J63" s="134"/>
      <c r="K63" s="135">
        <f t="shared" ref="K63" si="70">H63-I63-J63</f>
        <v>4.96</v>
      </c>
      <c r="L63" s="94" t="s">
        <v>155</v>
      </c>
      <c r="M63" s="94" t="s">
        <v>156</v>
      </c>
      <c r="N63" s="95" t="s">
        <v>157</v>
      </c>
      <c r="O63" s="104">
        <f>7.5+2</f>
        <v>9.5</v>
      </c>
      <c r="P63" s="108">
        <v>0.96499999999999997</v>
      </c>
      <c r="Q63" s="106">
        <f t="shared" ref="Q63" si="71">K63*IF(LEFT(F63,3)="10K",0.417*1.07,IF(LEFT(F63,3)="14K",0.585*1.05,IF(LEFT(F63,3)="18K",0.75*1.05,0)))</f>
        <v>3.9060000000000006</v>
      </c>
      <c r="R63" s="34"/>
      <c r="S63" s="34"/>
      <c r="T63" s="34">
        <f>G63*0.02*(6+6+1)</f>
        <v>0.52</v>
      </c>
      <c r="U63" s="34"/>
      <c r="V63" s="34">
        <f>IF(RIGHT(F63,2)="WG",K63*$AA$4,IF(OR(RIGHT(F63,3)="WRG",RIGHT(F63,3)="WYG",RIGHT(F63,3)="WYR"),K63*$AA$4+3*G63,0))</f>
        <v>1.1903999999999999</v>
      </c>
      <c r="W63" s="34"/>
      <c r="X63" s="34">
        <f>G63*((6+6)*1+1*1.25)</f>
        <v>26.5</v>
      </c>
      <c r="Y63" s="34">
        <f t="shared" ref="Y63" si="72">K63*O63</f>
        <v>47.12</v>
      </c>
      <c r="Z63" s="27">
        <f>2*K63</f>
        <v>9.92</v>
      </c>
      <c r="AA63" s="98">
        <f>(SUM(R63:X63)+AE63)-Z63</f>
        <v>65.410399999999996</v>
      </c>
      <c r="AB63" s="98">
        <f>Q63*$AB$13+P63*$AB$14</f>
        <v>441.97205000000002</v>
      </c>
      <c r="AC63" s="98">
        <f t="shared" ref="AC63" si="73">SUM(AA63:AB63)</f>
        <v>507.38245000000001</v>
      </c>
      <c r="AE63" s="27">
        <f>IF(AD63&gt;0,AD63*K63,Y63)</f>
        <v>47.12</v>
      </c>
    </row>
    <row r="64" spans="1:31" s="28" customFormat="1" ht="15.9" customHeight="1">
      <c r="A64" s="83" t="s">
        <v>91</v>
      </c>
      <c r="B64" s="61"/>
      <c r="C64" s="61"/>
      <c r="D64" s="61"/>
      <c r="E64" s="61"/>
      <c r="F64" s="61"/>
      <c r="G64" s="136">
        <f>SUM(G63:G63)</f>
        <v>2</v>
      </c>
      <c r="H64" s="137"/>
      <c r="I64" s="137"/>
      <c r="J64" s="137"/>
      <c r="K64" s="137">
        <f>SUM(K63:K63)</f>
        <v>4.96</v>
      </c>
      <c r="L64" s="63"/>
      <c r="M64" s="63"/>
      <c r="N64" s="63"/>
      <c r="O64" s="64"/>
      <c r="P64" s="109">
        <f t="shared" ref="P64:Y64" si="74">SUM(P63:P63)</f>
        <v>0.96499999999999997</v>
      </c>
      <c r="Q64" s="107">
        <f t="shared" si="74"/>
        <v>3.9060000000000006</v>
      </c>
      <c r="R64" s="65">
        <f t="shared" si="74"/>
        <v>0</v>
      </c>
      <c r="S64" s="65">
        <f t="shared" si="74"/>
        <v>0</v>
      </c>
      <c r="T64" s="65">
        <f t="shared" si="74"/>
        <v>0.52</v>
      </c>
      <c r="U64" s="65">
        <f t="shared" si="74"/>
        <v>0</v>
      </c>
      <c r="V64" s="65">
        <f t="shared" si="74"/>
        <v>1.1903999999999999</v>
      </c>
      <c r="W64" s="65">
        <f t="shared" si="74"/>
        <v>0</v>
      </c>
      <c r="X64" s="65">
        <f t="shared" si="74"/>
        <v>26.5</v>
      </c>
      <c r="Y64" s="65">
        <f t="shared" si="74"/>
        <v>47.12</v>
      </c>
      <c r="AA64" s="99"/>
      <c r="AB64" s="99"/>
      <c r="AC64" s="99"/>
      <c r="AD64" s="99"/>
      <c r="AE64" s="99"/>
    </row>
    <row r="65" spans="1:31" ht="15.9" customHeight="1">
      <c r="A65" s="50" t="s">
        <v>72</v>
      </c>
      <c r="K65" s="45"/>
      <c r="L65" s="45"/>
      <c r="M65" s="45"/>
      <c r="N65" s="45"/>
      <c r="X65" s="46"/>
      <c r="Y65" s="80" t="s">
        <v>95</v>
      </c>
    </row>
    <row r="66" spans="1:31" s="89" customFormat="1" ht="42">
      <c r="A66" s="84" t="s">
        <v>4</v>
      </c>
      <c r="B66" s="85" t="s">
        <v>5</v>
      </c>
      <c r="C66" s="85" t="s">
        <v>23</v>
      </c>
      <c r="D66" s="85" t="s">
        <v>45</v>
      </c>
      <c r="E66" s="85" t="s">
        <v>46</v>
      </c>
      <c r="F66" s="85" t="s">
        <v>6</v>
      </c>
      <c r="G66" s="85" t="s">
        <v>7</v>
      </c>
      <c r="H66" s="86" t="s">
        <v>8</v>
      </c>
      <c r="I66" s="86" t="s">
        <v>47</v>
      </c>
      <c r="J66" s="86" t="s">
        <v>9</v>
      </c>
      <c r="K66" s="87" t="s">
        <v>14</v>
      </c>
      <c r="L66" s="87" t="s">
        <v>20</v>
      </c>
      <c r="M66" s="87" t="s">
        <v>22</v>
      </c>
      <c r="N66" s="87" t="s">
        <v>21</v>
      </c>
      <c r="O66" s="88" t="s">
        <v>10</v>
      </c>
      <c r="P66" s="88" t="s">
        <v>49</v>
      </c>
      <c r="Q66" s="105" t="s">
        <v>62</v>
      </c>
      <c r="R66" s="43" t="s">
        <v>50</v>
      </c>
      <c r="S66" s="43" t="s">
        <v>55</v>
      </c>
      <c r="T66" s="43" t="s">
        <v>69</v>
      </c>
      <c r="U66" s="43" t="s">
        <v>13</v>
      </c>
      <c r="V66" s="43" t="s">
        <v>52</v>
      </c>
      <c r="W66" s="43" t="s">
        <v>48</v>
      </c>
      <c r="X66" s="43" t="s">
        <v>15</v>
      </c>
      <c r="Y66" s="47" t="s">
        <v>12</v>
      </c>
    </row>
    <row r="67" spans="1:31" s="27" customFormat="1" ht="112">
      <c r="A67" s="91" t="s">
        <v>158</v>
      </c>
      <c r="B67" s="90" t="s">
        <v>159</v>
      </c>
      <c r="C67" s="90" t="s">
        <v>160</v>
      </c>
      <c r="D67" s="90" t="s">
        <v>161</v>
      </c>
      <c r="E67" s="90" t="s">
        <v>162</v>
      </c>
      <c r="F67" s="90" t="s">
        <v>74</v>
      </c>
      <c r="G67" s="92">
        <v>1</v>
      </c>
      <c r="H67" s="101">
        <v>23.81</v>
      </c>
      <c r="I67" s="101">
        <v>2.41</v>
      </c>
      <c r="J67" s="101">
        <v>0</v>
      </c>
      <c r="K67" s="102">
        <f>H67-I67-J67</f>
        <v>21.4</v>
      </c>
      <c r="L67" s="94" t="s">
        <v>163</v>
      </c>
      <c r="M67" s="94" t="s">
        <v>164</v>
      </c>
      <c r="N67" s="95" t="s">
        <v>165</v>
      </c>
      <c r="O67" s="104">
        <f>7.25+2</f>
        <v>9.25</v>
      </c>
      <c r="P67" s="108">
        <v>12.055</v>
      </c>
      <c r="Q67" s="106">
        <f>K67*IF(LEFT(F67,3)="10K",0.417*1.07,IF(LEFT(F67,3)="14K",0.585*1.05,IF(LEFT(F67,3)="18K",0.75*1.05,0)))</f>
        <v>16.852499999999999</v>
      </c>
      <c r="R67" s="34"/>
      <c r="S67" s="34"/>
      <c r="T67" s="34">
        <f>G67*0.02*(70+38+18+6+4+4+4+1)</f>
        <v>2.9</v>
      </c>
      <c r="U67" s="34"/>
      <c r="V67" s="34">
        <f t="shared" ref="V67:V72" si="75">IF(RIGHT(F67,2)="WG",K67*$AA$4,IF(OR(RIGHT(F67,3)="WRG",RIGHT(F67,3)="WYG",RIGHT(F67,3)="WYR"),K67*$AA$4+3*G67,0))</f>
        <v>5.1359999999999992</v>
      </c>
      <c r="W67" s="34"/>
      <c r="X67" s="34">
        <f>G67*(70*0.3+(38+18+6)*0.5+(4+4+4)*0.75+1*1.5)</f>
        <v>62.5</v>
      </c>
      <c r="Y67" s="34">
        <f t="shared" ref="Y67:Y72" si="76">K67*O67</f>
        <v>197.95</v>
      </c>
      <c r="Z67" s="27">
        <f t="shared" ref="Z67:Z72" si="77">2*K67</f>
        <v>42.8</v>
      </c>
      <c r="AA67" s="98">
        <f t="shared" ref="AA67:AA72" si="78">(SUM(R67:X67)+AE67)-Z67</f>
        <v>225.68599999999998</v>
      </c>
      <c r="AB67" s="98">
        <f t="shared" ref="AB67:AB72" si="79">Q67*$AB$13+P67*$AB$14</f>
        <v>3221.3813499999997</v>
      </c>
      <c r="AC67" s="98">
        <f t="shared" ref="AC67" si="80">SUM(AA67:AB67)</f>
        <v>3447.0673499999998</v>
      </c>
      <c r="AE67" s="27">
        <f t="shared" ref="AE67:AE72" si="81">IF(AD67&gt;0,AD67*K67,Y67)</f>
        <v>197.95</v>
      </c>
    </row>
    <row r="68" spans="1:31" s="27" customFormat="1" ht="28">
      <c r="A68" s="91">
        <v>2</v>
      </c>
      <c r="B68" s="93" t="s">
        <v>166</v>
      </c>
      <c r="C68" s="93" t="s">
        <v>167</v>
      </c>
      <c r="D68" s="93" t="s">
        <v>161</v>
      </c>
      <c r="E68" s="90" t="s">
        <v>168</v>
      </c>
      <c r="F68" s="90" t="s">
        <v>74</v>
      </c>
      <c r="G68" s="92">
        <v>1</v>
      </c>
      <c r="H68" s="101">
        <v>19.55</v>
      </c>
      <c r="I68" s="101">
        <v>0</v>
      </c>
      <c r="J68" s="101">
        <v>0</v>
      </c>
      <c r="K68" s="102">
        <f t="shared" ref="K68:K72" si="82">H68-I68-J68</f>
        <v>19.55</v>
      </c>
      <c r="L68" s="94">
        <v>2.8</v>
      </c>
      <c r="M68" s="94" t="s">
        <v>115</v>
      </c>
      <c r="N68" s="95">
        <v>139</v>
      </c>
      <c r="O68" s="104">
        <f>7.25+2</f>
        <v>9.25</v>
      </c>
      <c r="P68" s="108">
        <v>0</v>
      </c>
      <c r="Q68" s="106">
        <f t="shared" ref="Q68:Q72" si="83">K68*IF(LEFT(F68,3)="10K",0.417*1.07,IF(LEFT(F68,3)="14K",0.585*1.05,IF(LEFT(F68,3)="18K",0.75*1.05,0)))</f>
        <v>15.395625000000003</v>
      </c>
      <c r="R68" s="34"/>
      <c r="S68" s="34"/>
      <c r="T68" s="34">
        <f>G68*0.02*N68</f>
        <v>2.7800000000000002</v>
      </c>
      <c r="U68" s="34"/>
      <c r="V68" s="34">
        <f t="shared" si="75"/>
        <v>4.6920000000000002</v>
      </c>
      <c r="W68" s="34"/>
      <c r="X68" s="34">
        <f>G68*N68*0.5</f>
        <v>69.5</v>
      </c>
      <c r="Y68" s="34">
        <f t="shared" si="76"/>
        <v>180.83750000000001</v>
      </c>
      <c r="Z68" s="27">
        <f t="shared" si="77"/>
        <v>39.1</v>
      </c>
      <c r="AA68" s="98">
        <f t="shared" si="78"/>
        <v>218.70950000000002</v>
      </c>
      <c r="AB68" s="98">
        <f t="shared" si="79"/>
        <v>1108.4850000000001</v>
      </c>
      <c r="AC68" s="98">
        <f t="shared" ref="AC68:AC72" si="84">SUM(AA68:AB68)</f>
        <v>1327.1945000000001</v>
      </c>
      <c r="AE68" s="27">
        <f t="shared" si="81"/>
        <v>180.83750000000001</v>
      </c>
    </row>
    <row r="69" spans="1:31" s="27" customFormat="1" ht="28">
      <c r="A69" s="91">
        <v>3</v>
      </c>
      <c r="B69" s="93" t="s">
        <v>169</v>
      </c>
      <c r="C69" s="93" t="s">
        <v>170</v>
      </c>
      <c r="D69" s="90" t="s">
        <v>161</v>
      </c>
      <c r="E69" s="90" t="s">
        <v>171</v>
      </c>
      <c r="F69" s="90" t="s">
        <v>75</v>
      </c>
      <c r="G69" s="92">
        <v>1</v>
      </c>
      <c r="H69" s="101">
        <v>16.11</v>
      </c>
      <c r="I69" s="101">
        <v>0.38</v>
      </c>
      <c r="J69" s="101">
        <v>0</v>
      </c>
      <c r="K69" s="102">
        <f t="shared" si="82"/>
        <v>15.729999999999999</v>
      </c>
      <c r="L69" s="94">
        <v>1.4</v>
      </c>
      <c r="M69" s="94" t="s">
        <v>77</v>
      </c>
      <c r="N69" s="95">
        <v>166</v>
      </c>
      <c r="O69" s="104">
        <f>9.75+2</f>
        <v>11.75</v>
      </c>
      <c r="P69" s="108">
        <v>1.9</v>
      </c>
      <c r="Q69" s="106">
        <f t="shared" si="83"/>
        <v>12.387375</v>
      </c>
      <c r="R69" s="34"/>
      <c r="S69" s="34"/>
      <c r="T69" s="34">
        <f>G69*0.02*N69</f>
        <v>3.3200000000000003</v>
      </c>
      <c r="U69" s="34"/>
      <c r="V69" s="34">
        <f t="shared" si="75"/>
        <v>0</v>
      </c>
      <c r="W69" s="34"/>
      <c r="X69" s="34">
        <f>G69*N69*1</f>
        <v>166</v>
      </c>
      <c r="Y69" s="34">
        <f t="shared" si="76"/>
        <v>184.82749999999999</v>
      </c>
      <c r="Z69" s="27">
        <f t="shared" si="77"/>
        <v>31.459999999999997</v>
      </c>
      <c r="AA69" s="98">
        <f t="shared" si="78"/>
        <v>322.6875</v>
      </c>
      <c r="AB69" s="98">
        <f t="shared" si="79"/>
        <v>1208.374</v>
      </c>
      <c r="AC69" s="98">
        <f t="shared" si="84"/>
        <v>1531.0615</v>
      </c>
      <c r="AE69" s="27">
        <f t="shared" si="81"/>
        <v>184.82749999999999</v>
      </c>
    </row>
    <row r="70" spans="1:31" s="27" customFormat="1" ht="28">
      <c r="A70" s="91">
        <v>4</v>
      </c>
      <c r="B70" s="90" t="s">
        <v>172</v>
      </c>
      <c r="C70" s="90" t="s">
        <v>173</v>
      </c>
      <c r="D70" s="90" t="s">
        <v>161</v>
      </c>
      <c r="E70" s="90" t="s">
        <v>174</v>
      </c>
      <c r="F70" s="90" t="s">
        <v>74</v>
      </c>
      <c r="G70" s="92">
        <v>1</v>
      </c>
      <c r="H70" s="101">
        <v>20.49</v>
      </c>
      <c r="I70" s="101">
        <v>0.96</v>
      </c>
      <c r="J70" s="101">
        <v>0</v>
      </c>
      <c r="K70" s="102">
        <f t="shared" si="82"/>
        <v>19.529999999999998</v>
      </c>
      <c r="L70" s="94">
        <v>2.1</v>
      </c>
      <c r="M70" s="94" t="s">
        <v>76</v>
      </c>
      <c r="N70" s="95">
        <v>123</v>
      </c>
      <c r="O70" s="104">
        <f>7.25+2</f>
        <v>9.25</v>
      </c>
      <c r="P70" s="108">
        <v>4.7750000000000004</v>
      </c>
      <c r="Q70" s="106">
        <f t="shared" si="83"/>
        <v>15.379875</v>
      </c>
      <c r="R70" s="34"/>
      <c r="S70" s="34"/>
      <c r="T70" s="34">
        <f>G70*0.02*N70</f>
        <v>2.46</v>
      </c>
      <c r="U70" s="34"/>
      <c r="V70" s="34">
        <f t="shared" si="75"/>
        <v>4.6871999999999989</v>
      </c>
      <c r="W70" s="34"/>
      <c r="X70" s="34">
        <f>G70*N70*1</f>
        <v>123</v>
      </c>
      <c r="Y70" s="34">
        <f t="shared" si="76"/>
        <v>180.65249999999997</v>
      </c>
      <c r="Z70" s="27">
        <f t="shared" si="77"/>
        <v>39.059999999999995</v>
      </c>
      <c r="AA70" s="98">
        <f t="shared" si="78"/>
        <v>271.73969999999997</v>
      </c>
      <c r="AB70" s="98">
        <f t="shared" si="79"/>
        <v>1902.7227500000001</v>
      </c>
      <c r="AC70" s="98">
        <f t="shared" si="84"/>
        <v>2174.46245</v>
      </c>
      <c r="AE70" s="27">
        <f t="shared" si="81"/>
        <v>180.65249999999997</v>
      </c>
    </row>
    <row r="71" spans="1:31" s="27" customFormat="1" ht="28">
      <c r="A71" s="91">
        <v>5</v>
      </c>
      <c r="B71" s="93" t="s">
        <v>175</v>
      </c>
      <c r="C71" s="93" t="s">
        <v>176</v>
      </c>
      <c r="D71" s="90" t="s">
        <v>161</v>
      </c>
      <c r="E71" s="90" t="s">
        <v>177</v>
      </c>
      <c r="F71" s="90" t="s">
        <v>74</v>
      </c>
      <c r="G71" s="92">
        <v>1</v>
      </c>
      <c r="H71" s="101">
        <v>9.82</v>
      </c>
      <c r="I71" s="101">
        <v>0</v>
      </c>
      <c r="J71" s="101">
        <v>0</v>
      </c>
      <c r="K71" s="102">
        <f t="shared" si="82"/>
        <v>9.82</v>
      </c>
      <c r="L71" s="94">
        <v>3.9</v>
      </c>
      <c r="M71" s="94" t="s">
        <v>105</v>
      </c>
      <c r="N71" s="95">
        <v>35</v>
      </c>
      <c r="O71" s="104">
        <f>7.5+2</f>
        <v>9.5</v>
      </c>
      <c r="P71" s="108">
        <v>0</v>
      </c>
      <c r="Q71" s="106">
        <f t="shared" si="83"/>
        <v>7.7332500000000008</v>
      </c>
      <c r="R71" s="34"/>
      <c r="S71" s="34"/>
      <c r="T71" s="34">
        <f>G71*0.02*N71</f>
        <v>0.70000000000000007</v>
      </c>
      <c r="U71" s="34"/>
      <c r="V71" s="34">
        <f t="shared" si="75"/>
        <v>2.3567999999999998</v>
      </c>
      <c r="W71" s="34"/>
      <c r="X71" s="34">
        <f>G71*N71*1.25</f>
        <v>43.75</v>
      </c>
      <c r="Y71" s="34">
        <f t="shared" si="76"/>
        <v>93.29</v>
      </c>
      <c r="Z71" s="27">
        <f t="shared" si="77"/>
        <v>19.64</v>
      </c>
      <c r="AA71" s="98">
        <f t="shared" si="78"/>
        <v>120.4568</v>
      </c>
      <c r="AB71" s="98">
        <f t="shared" si="79"/>
        <v>556.7940000000001</v>
      </c>
      <c r="AC71" s="98">
        <f t="shared" si="84"/>
        <v>677.25080000000014</v>
      </c>
      <c r="AE71" s="27">
        <f t="shared" si="81"/>
        <v>93.29</v>
      </c>
    </row>
    <row r="72" spans="1:31" s="27" customFormat="1" ht="28.5" thickBot="1">
      <c r="A72" s="91">
        <v>6</v>
      </c>
      <c r="B72" s="93" t="s">
        <v>79</v>
      </c>
      <c r="C72" s="93" t="s">
        <v>82</v>
      </c>
      <c r="D72" s="90" t="s">
        <v>161</v>
      </c>
      <c r="E72" s="90" t="s">
        <v>85</v>
      </c>
      <c r="F72" s="90" t="s">
        <v>74</v>
      </c>
      <c r="G72" s="92">
        <v>1</v>
      </c>
      <c r="H72" s="101">
        <v>10.62</v>
      </c>
      <c r="I72" s="101">
        <v>1.39</v>
      </c>
      <c r="J72" s="101">
        <v>0</v>
      </c>
      <c r="K72" s="102">
        <f t="shared" si="82"/>
        <v>9.2299999999999986</v>
      </c>
      <c r="L72" s="94">
        <v>3.3</v>
      </c>
      <c r="M72" s="94" t="s">
        <v>88</v>
      </c>
      <c r="N72" s="95">
        <v>50</v>
      </c>
      <c r="O72" s="104">
        <f>7.5+2</f>
        <v>9.5</v>
      </c>
      <c r="P72" s="108">
        <v>6.9249999999999998</v>
      </c>
      <c r="Q72" s="106">
        <f t="shared" si="83"/>
        <v>7.2686250000000001</v>
      </c>
      <c r="R72" s="34"/>
      <c r="S72" s="34"/>
      <c r="T72" s="34">
        <f>G72*0.02*N72</f>
        <v>1</v>
      </c>
      <c r="U72" s="34"/>
      <c r="V72" s="34">
        <f t="shared" si="75"/>
        <v>2.2151999999999994</v>
      </c>
      <c r="W72" s="34"/>
      <c r="X72" s="34">
        <f>G72*N72*0.5</f>
        <v>25</v>
      </c>
      <c r="Y72" s="34">
        <f t="shared" si="76"/>
        <v>87.684999999999988</v>
      </c>
      <c r="Z72" s="27">
        <f t="shared" si="77"/>
        <v>18.459999999999997</v>
      </c>
      <c r="AA72" s="98">
        <f t="shared" si="78"/>
        <v>97.44019999999999</v>
      </c>
      <c r="AB72" s="98">
        <f t="shared" si="79"/>
        <v>1676.8382499999998</v>
      </c>
      <c r="AC72" s="98">
        <f t="shared" si="84"/>
        <v>1774.2784499999998</v>
      </c>
      <c r="AE72" s="27">
        <f t="shared" si="81"/>
        <v>87.684999999999988</v>
      </c>
    </row>
    <row r="73" spans="1:31" s="28" customFormat="1" ht="15.9" customHeight="1">
      <c r="A73" s="83" t="s">
        <v>91</v>
      </c>
      <c r="B73" s="61"/>
      <c r="C73" s="61"/>
      <c r="D73" s="61"/>
      <c r="E73" s="61"/>
      <c r="F73" s="61"/>
      <c r="G73" s="62">
        <f>SUM(G67:G72)</f>
        <v>6</v>
      </c>
      <c r="H73" s="103"/>
      <c r="I73" s="103"/>
      <c r="J73" s="103"/>
      <c r="K73" s="103">
        <f>SUM(K67:K72)</f>
        <v>95.26</v>
      </c>
      <c r="L73" s="63"/>
      <c r="M73" s="63"/>
      <c r="N73" s="63"/>
      <c r="O73" s="64"/>
      <c r="P73" s="109">
        <f t="shared" ref="P73:Y73" si="85">SUM(P67:P72)</f>
        <v>25.655000000000001</v>
      </c>
      <c r="Q73" s="107">
        <f t="shared" si="85"/>
        <v>75.017250000000004</v>
      </c>
      <c r="R73" s="65">
        <f t="shared" si="85"/>
        <v>0</v>
      </c>
      <c r="S73" s="65">
        <f t="shared" si="85"/>
        <v>0</v>
      </c>
      <c r="T73" s="65">
        <f t="shared" si="85"/>
        <v>13.16</v>
      </c>
      <c r="U73" s="65">
        <f t="shared" si="85"/>
        <v>0</v>
      </c>
      <c r="V73" s="65">
        <f t="shared" si="85"/>
        <v>19.087199999999999</v>
      </c>
      <c r="W73" s="65">
        <f t="shared" si="85"/>
        <v>0</v>
      </c>
      <c r="X73" s="65">
        <f t="shared" si="85"/>
        <v>489.75</v>
      </c>
      <c r="Y73" s="65">
        <f t="shared" si="85"/>
        <v>925.24249999999984</v>
      </c>
      <c r="AA73" s="99">
        <f>SUM(AA16:AA72)</f>
        <v>6186.2533000000003</v>
      </c>
      <c r="AB73" s="99">
        <f>SUM(AB16:AB72)</f>
        <v>27369.256590000008</v>
      </c>
      <c r="AC73" s="99">
        <f>SUM(AC16:AC72)</f>
        <v>33555.509890000001</v>
      </c>
      <c r="AD73" s="99"/>
      <c r="AE73" s="99">
        <f>SUM(AE16:AE72)</f>
        <v>3110.5024999999991</v>
      </c>
    </row>
    <row r="74" spans="1:31" s="28" customFormat="1" ht="15.9" customHeight="1">
      <c r="A74" s="123" t="s">
        <v>54</v>
      </c>
      <c r="B74" s="124"/>
      <c r="C74" s="124"/>
      <c r="D74" s="124"/>
      <c r="E74" s="124"/>
      <c r="F74" s="124"/>
      <c r="G74" s="125">
        <f>SUM(G73,G64,G60,G46,G42,G38,G34,G28,G22,G18)</f>
        <v>31</v>
      </c>
      <c r="H74" s="126"/>
      <c r="I74" s="126"/>
      <c r="J74" s="126"/>
      <c r="K74" s="126">
        <f>SUM(K73,K64,K60,K46,K42,K38,K34,K28,K22,K18)</f>
        <v>352.77000000000004</v>
      </c>
      <c r="L74" s="127"/>
      <c r="M74" s="127"/>
      <c r="N74" s="127"/>
      <c r="O74" s="128"/>
      <c r="P74" s="129">
        <f t="shared" ref="P74:Y74" si="86">SUM(P73,P64,P60,P46,P42,P38,P34,P28,P22,P18)</f>
        <v>47.115000000000002</v>
      </c>
      <c r="Q74" s="130">
        <f t="shared" si="86"/>
        <v>271.12932000000001</v>
      </c>
      <c r="R74" s="131">
        <f t="shared" si="86"/>
        <v>3000</v>
      </c>
      <c r="S74" s="131">
        <f t="shared" si="86"/>
        <v>0</v>
      </c>
      <c r="T74" s="131">
        <f t="shared" si="86"/>
        <v>21.1</v>
      </c>
      <c r="U74" s="131">
        <f t="shared" si="86"/>
        <v>15</v>
      </c>
      <c r="V74" s="131">
        <f t="shared" si="86"/>
        <v>39.340800000000002</v>
      </c>
      <c r="W74" s="131">
        <f t="shared" si="86"/>
        <v>0</v>
      </c>
      <c r="X74" s="131">
        <f t="shared" si="86"/>
        <v>705.85</v>
      </c>
      <c r="Y74" s="131">
        <f t="shared" si="86"/>
        <v>3110.5024999999996</v>
      </c>
      <c r="AA74" s="99"/>
      <c r="AB74" s="99"/>
      <c r="AC74" s="99"/>
      <c r="AD74" s="99"/>
      <c r="AE74" s="99"/>
    </row>
    <row r="75" spans="1:31" s="28" customFormat="1" ht="15.9" customHeight="1" thickBot="1">
      <c r="A75" s="66"/>
      <c r="B75" s="67"/>
      <c r="C75" s="67"/>
      <c r="D75" s="67"/>
      <c r="E75" s="67"/>
      <c r="F75" s="67"/>
      <c r="G75" s="67"/>
      <c r="H75" s="67"/>
      <c r="I75" s="67"/>
      <c r="J75" s="56"/>
      <c r="K75" s="57"/>
      <c r="L75" s="57"/>
      <c r="M75" s="57"/>
      <c r="N75" s="57"/>
      <c r="O75" s="58"/>
      <c r="P75" s="58"/>
      <c r="Q75" s="58"/>
      <c r="R75" s="59"/>
      <c r="S75" s="59"/>
      <c r="T75" s="59"/>
      <c r="U75" s="59"/>
      <c r="V75" s="59"/>
      <c r="W75" s="60"/>
      <c r="X75" s="68" t="s">
        <v>25</v>
      </c>
      <c r="Y75" s="60"/>
    </row>
    <row r="76" spans="1:31" s="28" customFormat="1" ht="18.5" thickTop="1">
      <c r="A76" s="44"/>
      <c r="B76" s="138"/>
      <c r="C76" s="138"/>
      <c r="D76" s="138"/>
      <c r="E76" s="138"/>
      <c r="F76" s="138"/>
      <c r="G76" s="138"/>
      <c r="H76" s="138"/>
      <c r="I76" s="23"/>
      <c r="J76" s="48"/>
      <c r="K76" s="25"/>
      <c r="L76" s="25"/>
      <c r="M76" s="25"/>
      <c r="N76" s="25"/>
      <c r="O76" s="26"/>
      <c r="P76" s="26"/>
      <c r="Q76" s="26"/>
      <c r="R76" s="49"/>
      <c r="S76" s="49"/>
      <c r="T76" s="49"/>
      <c r="U76" s="49"/>
      <c r="V76" s="49"/>
      <c r="X76" s="69" t="s">
        <v>16</v>
      </c>
      <c r="Y76" s="121">
        <f>SUM(R74:Y74)</f>
        <v>6891.7932999999994</v>
      </c>
    </row>
    <row r="77" spans="1:31" s="28" customFormat="1" ht="18">
      <c r="A77" s="97" t="s">
        <v>53</v>
      </c>
      <c r="B77" s="78"/>
      <c r="C77" s="78"/>
      <c r="D77" s="78"/>
      <c r="E77" s="78"/>
      <c r="F77" s="79"/>
      <c r="G77" s="79"/>
      <c r="H77" s="79"/>
      <c r="I77" s="23"/>
      <c r="J77" s="48"/>
      <c r="K77" s="25"/>
      <c r="L77" s="25"/>
      <c r="M77" s="25"/>
      <c r="N77" s="25"/>
      <c r="O77" s="26"/>
      <c r="P77" s="26"/>
      <c r="Q77" s="26"/>
      <c r="R77" s="49"/>
      <c r="S77" s="49"/>
      <c r="T77" s="49"/>
      <c r="U77" s="49"/>
      <c r="V77" s="49"/>
      <c r="X77" s="69" t="s">
        <v>17</v>
      </c>
      <c r="Y77" s="122"/>
    </row>
    <row r="78" spans="1:31" ht="15">
      <c r="A78" s="44"/>
      <c r="B78" s="36"/>
      <c r="C78" s="36"/>
      <c r="D78" s="36"/>
      <c r="E78" s="36"/>
      <c r="G78" s="22"/>
      <c r="H78" s="23"/>
      <c r="J78" s="48"/>
      <c r="K78" s="25"/>
      <c r="L78" s="25"/>
      <c r="M78" s="25"/>
      <c r="N78" s="25"/>
      <c r="O78" s="26"/>
      <c r="P78" s="26"/>
      <c r="Q78" s="26"/>
      <c r="W78" s="22"/>
      <c r="X78" s="69" t="s">
        <v>18</v>
      </c>
      <c r="Y78" s="122">
        <f>Y76-Y77</f>
        <v>6891.7932999999994</v>
      </c>
      <c r="AC78" s="100"/>
    </row>
    <row r="79" spans="1:31" ht="21" customHeight="1">
      <c r="A79" s="50" t="s">
        <v>64</v>
      </c>
      <c r="G79" s="22"/>
      <c r="H79" s="23"/>
      <c r="J79" s="48"/>
      <c r="K79" s="25"/>
      <c r="L79" s="25"/>
      <c r="M79" s="25"/>
      <c r="N79" s="25"/>
      <c r="O79" s="26"/>
      <c r="P79" s="26"/>
      <c r="Q79" s="26"/>
      <c r="W79" s="110"/>
      <c r="X79" s="110"/>
      <c r="Y79" s="120"/>
    </row>
    <row r="80" spans="1:31" ht="21" customHeight="1">
      <c r="A80" s="50" t="s">
        <v>63</v>
      </c>
      <c r="B80" s="111"/>
      <c r="C80" s="111"/>
      <c r="D80" s="111"/>
      <c r="E80" s="111"/>
      <c r="G80" s="22"/>
      <c r="H80" s="23"/>
      <c r="J80" s="48"/>
      <c r="K80" s="25"/>
      <c r="L80" s="25"/>
      <c r="M80" s="25"/>
      <c r="N80" s="25"/>
      <c r="O80" s="26"/>
      <c r="P80" s="26"/>
      <c r="Q80" s="26"/>
      <c r="W80" s="110"/>
      <c r="X80" s="110"/>
      <c r="Y80" s="112"/>
    </row>
    <row r="81" spans="1:25" ht="21" customHeight="1">
      <c r="A81" s="113" t="s">
        <v>65</v>
      </c>
      <c r="B81" s="111"/>
      <c r="C81" s="111"/>
      <c r="D81" s="111"/>
      <c r="E81" s="111"/>
      <c r="F81" s="114"/>
      <c r="G81" s="114"/>
      <c r="H81" s="114"/>
      <c r="I81" s="114"/>
      <c r="J81" s="115"/>
      <c r="K81" s="114"/>
      <c r="L81" s="114"/>
      <c r="M81" s="114"/>
      <c r="N81" s="114"/>
      <c r="O81" s="116"/>
      <c r="P81" s="116"/>
      <c r="Q81" s="116"/>
      <c r="R81" s="116"/>
      <c r="S81" s="116"/>
      <c r="T81" s="116"/>
      <c r="U81" s="116"/>
      <c r="V81" s="116"/>
      <c r="W81" s="22"/>
      <c r="X81" s="117"/>
      <c r="Y81" s="118"/>
    </row>
    <row r="82" spans="1:25" ht="21" customHeight="1">
      <c r="A82" s="113" t="s">
        <v>66</v>
      </c>
      <c r="B82" s="111"/>
      <c r="C82" s="111"/>
      <c r="D82" s="111"/>
      <c r="E82" s="111"/>
      <c r="F82" s="114"/>
      <c r="G82" s="114"/>
      <c r="H82" s="114"/>
      <c r="I82" s="114"/>
      <c r="J82" s="114"/>
      <c r="K82" s="114"/>
      <c r="L82" s="114"/>
      <c r="M82" s="114"/>
      <c r="N82" s="114"/>
      <c r="O82" s="116"/>
      <c r="P82" s="116"/>
      <c r="Q82" s="116"/>
      <c r="R82" s="116"/>
      <c r="S82" s="116"/>
      <c r="T82" s="116"/>
      <c r="U82" s="116"/>
      <c r="V82" s="116"/>
      <c r="W82" s="119"/>
      <c r="X82" s="119"/>
      <c r="Y82" s="114"/>
    </row>
    <row r="83" spans="1:25">
      <c r="A83" s="51"/>
      <c r="B83" s="37"/>
      <c r="C83" s="37"/>
      <c r="D83" s="37"/>
      <c r="E83" s="37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70" t="s">
        <v>11</v>
      </c>
      <c r="X83" s="30"/>
      <c r="Y83" s="33" t="s">
        <v>24</v>
      </c>
    </row>
    <row r="84" spans="1:25" s="31" customFormat="1" ht="12.75" customHeight="1">
      <c r="A84" s="52"/>
      <c r="B84" s="53"/>
      <c r="C84" s="53"/>
      <c r="D84" s="53"/>
      <c r="E84" s="53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5"/>
      <c r="X84" s="55"/>
      <c r="Y84" s="54"/>
    </row>
    <row r="85" spans="1:25" s="32" customFormat="1" ht="12.75" customHeight="1">
      <c r="A85" s="21"/>
      <c r="B85" s="21"/>
      <c r="C85" s="21"/>
      <c r="D85" s="21"/>
      <c r="E85" s="21"/>
      <c r="F85" s="21"/>
      <c r="G85" s="21"/>
      <c r="H85" s="22"/>
      <c r="I85" s="23"/>
      <c r="J85" s="23"/>
      <c r="K85" s="24"/>
      <c r="L85" s="24"/>
      <c r="M85" s="24"/>
      <c r="N85" s="24"/>
      <c r="O85" s="25"/>
      <c r="P85" s="25"/>
      <c r="Q85" s="25"/>
      <c r="R85" s="26"/>
      <c r="S85" s="26"/>
      <c r="T85" s="26"/>
      <c r="U85" s="26"/>
      <c r="V85" s="26"/>
      <c r="W85" s="26"/>
      <c r="X85" s="26"/>
      <c r="Y85" s="29"/>
    </row>
    <row r="86" spans="1:25" s="31" customFormat="1" ht="12.75" customHeight="1">
      <c r="A86" s="21"/>
      <c r="B86" s="21"/>
      <c r="C86" s="21"/>
      <c r="D86" s="21"/>
      <c r="E86" s="21"/>
      <c r="F86" s="21"/>
      <c r="G86" s="21"/>
      <c r="H86" s="22"/>
      <c r="I86" s="23"/>
      <c r="J86" s="23"/>
      <c r="K86" s="24"/>
      <c r="L86" s="24"/>
      <c r="M86" s="24"/>
      <c r="N86" s="24"/>
      <c r="O86" s="25"/>
      <c r="P86" s="25"/>
      <c r="Q86" s="25"/>
      <c r="R86" s="26"/>
      <c r="S86" s="26"/>
      <c r="T86" s="26"/>
      <c r="U86" s="26"/>
      <c r="V86" s="26"/>
      <c r="W86" s="26"/>
      <c r="X86" s="26"/>
      <c r="Y86" s="29"/>
    </row>
    <row r="87" spans="1:25" s="31" customFormat="1" ht="12.75" customHeight="1">
      <c r="A87" s="21"/>
      <c r="B87" s="21"/>
      <c r="C87" s="21"/>
      <c r="D87" s="21"/>
      <c r="E87" s="21"/>
      <c r="F87" s="21"/>
      <c r="G87" s="21"/>
      <c r="H87" s="22"/>
      <c r="I87" s="23"/>
      <c r="J87" s="23"/>
      <c r="K87" s="24"/>
      <c r="L87" s="24"/>
      <c r="M87" s="24"/>
      <c r="N87" s="24"/>
      <c r="O87" s="25"/>
      <c r="P87" s="25"/>
      <c r="Q87" s="25"/>
      <c r="R87" s="26"/>
      <c r="S87" s="26"/>
      <c r="T87" s="26"/>
      <c r="U87" s="26"/>
      <c r="V87" s="26"/>
      <c r="W87" s="26"/>
      <c r="X87" s="26"/>
      <c r="Y87" s="29"/>
    </row>
    <row r="88" spans="1:25" s="31" customFormat="1" ht="12.75" customHeight="1">
      <c r="A88" s="21"/>
      <c r="B88" s="21"/>
      <c r="C88" s="21"/>
      <c r="D88" s="21"/>
      <c r="E88" s="21"/>
      <c r="F88" s="21"/>
      <c r="G88" s="21"/>
      <c r="H88" s="22"/>
      <c r="I88" s="23"/>
      <c r="J88" s="23"/>
      <c r="K88" s="24"/>
      <c r="L88" s="24"/>
      <c r="M88" s="24"/>
      <c r="N88" s="24"/>
      <c r="O88" s="25"/>
      <c r="P88" s="25"/>
      <c r="Q88" s="25"/>
      <c r="R88" s="26"/>
      <c r="S88" s="26"/>
      <c r="T88" s="26"/>
      <c r="U88" s="26"/>
      <c r="V88" s="26"/>
      <c r="W88" s="26"/>
      <c r="X88" s="26"/>
      <c r="Y88" s="29"/>
    </row>
  </sheetData>
  <mergeCells count="4">
    <mergeCell ref="B76:H76"/>
    <mergeCell ref="A1:Y1"/>
    <mergeCell ref="A2:Y2"/>
    <mergeCell ref="A3:Y3"/>
  </mergeCells>
  <phoneticPr fontId="3" type="noConversion"/>
  <conditionalFormatting sqref="F63 F16:F17 F21 F31:F33 F49:F59 F37 F45">
    <cfRule type="containsText" dxfId="3" priority="10" operator="containsText" text="18K">
      <formula>NOT(ISERROR(SEARCH("18K",F16)))</formula>
    </cfRule>
  </conditionalFormatting>
  <conditionalFormatting sqref="F25:F27">
    <cfRule type="containsText" dxfId="2" priority="8" operator="containsText" text="18K">
      <formula>NOT(ISERROR(SEARCH("18K",F25)))</formula>
    </cfRule>
  </conditionalFormatting>
  <conditionalFormatting sqref="F41">
    <cfRule type="containsText" dxfId="1" priority="5" operator="containsText" text="18K">
      <formula>NOT(ISERROR(SEARCH("18K",F41)))</formula>
    </cfRule>
  </conditionalFormatting>
  <conditionalFormatting sqref="F67:F72">
    <cfRule type="containsText" dxfId="0" priority="1" operator="containsText" text="18K">
      <formula>NOT(ISERROR(SEARCH("18K",F67)))</formula>
    </cfRule>
  </conditionalFormatting>
  <pageMargins left="0" right="0" top="0.19685039370078741" bottom="0" header="0.31496062992125984" footer="0.31496062992125984"/>
  <pageSetup paperSize="9" scale="5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2025-05-08T13:06:56Z</dcterms:modified>
</cp:coreProperties>
</file>