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3020B405-CB25-4E5D-BDA3-80C020C4B112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  <sheet name="Sheet1" sheetId="2" r:id="rId2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PI!$A$1:$Z$140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9" i="1" l="1"/>
  <c r="R129" i="1"/>
  <c r="P129" i="1"/>
  <c r="G129" i="1"/>
  <c r="T128" i="1"/>
  <c r="Q128" i="1"/>
  <c r="N128" i="1"/>
  <c r="W128" i="1" s="1"/>
  <c r="K128" i="1"/>
  <c r="Z126" i="1"/>
  <c r="Y126" i="1"/>
  <c r="AA128" i="1" l="1"/>
  <c r="AE128" i="1"/>
  <c r="AC128" i="1" s="1"/>
  <c r="W129" i="1"/>
  <c r="Q129" i="1"/>
  <c r="Z128" i="1"/>
  <c r="Y128" i="1"/>
  <c r="T129" i="1"/>
  <c r="X128" i="1"/>
  <c r="AG128" i="1" s="1"/>
  <c r="U128" i="1"/>
  <c r="K129" i="1"/>
  <c r="S128" i="1"/>
  <c r="S129" i="1" s="1"/>
  <c r="AB128" i="1" l="1"/>
  <c r="AD128" i="1" s="1"/>
  <c r="Z129" i="1"/>
  <c r="U129" i="1"/>
  <c r="Y129" i="1"/>
  <c r="X129" i="1"/>
  <c r="V125" i="1" l="1"/>
  <c r="T125" i="1"/>
  <c r="R125" i="1"/>
  <c r="P125" i="1"/>
  <c r="G125" i="1"/>
  <c r="W124" i="1"/>
  <c r="U124" i="1"/>
  <c r="S124" i="1"/>
  <c r="Q124" i="1"/>
  <c r="K124" i="1"/>
  <c r="W123" i="1"/>
  <c r="S123" i="1"/>
  <c r="Q123" i="1"/>
  <c r="K123" i="1"/>
  <c r="Z121" i="1"/>
  <c r="Y121" i="1"/>
  <c r="AE123" i="1" l="1"/>
  <c r="AC123" i="1" s="1"/>
  <c r="AA123" i="1"/>
  <c r="AE124" i="1"/>
  <c r="AC124" i="1" s="1"/>
  <c r="AA124" i="1"/>
  <c r="S125" i="1"/>
  <c r="Q125" i="1"/>
  <c r="X124" i="1"/>
  <c r="AG124" i="1" s="1"/>
  <c r="AB124" i="1" s="1"/>
  <c r="Z123" i="1"/>
  <c r="Z124" i="1"/>
  <c r="W125" i="1"/>
  <c r="Y124" i="1"/>
  <c r="Y123" i="1"/>
  <c r="U123" i="1"/>
  <c r="U125" i="1" s="1"/>
  <c r="K125" i="1"/>
  <c r="X123" i="1"/>
  <c r="AG123" i="1" s="1"/>
  <c r="AB123" i="1" l="1"/>
  <c r="AD123" i="1" s="1"/>
  <c r="AD124" i="1"/>
  <c r="Y125" i="1"/>
  <c r="Z125" i="1"/>
  <c r="X125" i="1"/>
  <c r="V120" i="1" l="1"/>
  <c r="R120" i="1"/>
  <c r="P120" i="1"/>
  <c r="G120" i="1"/>
  <c r="W119" i="1"/>
  <c r="S119" i="1"/>
  <c r="Q119" i="1"/>
  <c r="K119" i="1"/>
  <c r="W118" i="1"/>
  <c r="U118" i="1"/>
  <c r="T118" i="1"/>
  <c r="S118" i="1"/>
  <c r="Q118" i="1"/>
  <c r="K118" i="1"/>
  <c r="W117" i="1"/>
  <c r="T117" i="1"/>
  <c r="S117" i="1"/>
  <c r="Q117" i="1"/>
  <c r="K117" i="1"/>
  <c r="X116" i="1"/>
  <c r="AG116" i="1" s="1"/>
  <c r="W116" i="1"/>
  <c r="U116" i="1"/>
  <c r="S116" i="1"/>
  <c r="Q116" i="1"/>
  <c r="K116" i="1"/>
  <c r="Z114" i="1"/>
  <c r="Y114" i="1"/>
  <c r="V113" i="1"/>
  <c r="T113" i="1"/>
  <c r="R113" i="1"/>
  <c r="P113" i="1"/>
  <c r="G113" i="1"/>
  <c r="W112" i="1"/>
  <c r="U112" i="1"/>
  <c r="S112" i="1"/>
  <c r="Q112" i="1"/>
  <c r="K112" i="1"/>
  <c r="W111" i="1"/>
  <c r="S111" i="1"/>
  <c r="Q111" i="1"/>
  <c r="K111" i="1"/>
  <c r="W110" i="1"/>
  <c r="S110" i="1"/>
  <c r="Q110" i="1"/>
  <c r="K110" i="1"/>
  <c r="W109" i="1"/>
  <c r="U109" i="1"/>
  <c r="S109" i="1"/>
  <c r="Q109" i="1"/>
  <c r="K109" i="1"/>
  <c r="W108" i="1"/>
  <c r="S108" i="1"/>
  <c r="Q108" i="1"/>
  <c r="K108" i="1"/>
  <c r="W107" i="1"/>
  <c r="U107" i="1"/>
  <c r="S107" i="1"/>
  <c r="Q107" i="1"/>
  <c r="K107" i="1"/>
  <c r="W106" i="1"/>
  <c r="S106" i="1"/>
  <c r="Q106" i="1"/>
  <c r="K106" i="1"/>
  <c r="W105" i="1"/>
  <c r="U105" i="1"/>
  <c r="S105" i="1"/>
  <c r="Q105" i="1"/>
  <c r="K105" i="1"/>
  <c r="W104" i="1"/>
  <c r="S104" i="1"/>
  <c r="Q104" i="1"/>
  <c r="K104" i="1"/>
  <c r="Z102" i="1"/>
  <c r="Y102" i="1"/>
  <c r="AA112" i="1" l="1"/>
  <c r="AE112" i="1"/>
  <c r="AC112" i="1" s="1"/>
  <c r="AE110" i="1"/>
  <c r="AC110" i="1" s="1"/>
  <c r="AA110" i="1"/>
  <c r="AA111" i="1"/>
  <c r="AE111" i="1"/>
  <c r="AC111" i="1" s="1"/>
  <c r="AA109" i="1"/>
  <c r="AE109" i="1"/>
  <c r="AC109" i="1" s="1"/>
  <c r="AE118" i="1"/>
  <c r="AC118" i="1" s="1"/>
  <c r="AA118" i="1"/>
  <c r="AA104" i="1"/>
  <c r="AE104" i="1"/>
  <c r="AC104" i="1" s="1"/>
  <c r="AA108" i="1"/>
  <c r="AE108" i="1"/>
  <c r="AC108" i="1" s="1"/>
  <c r="AE119" i="1"/>
  <c r="AC119" i="1" s="1"/>
  <c r="AA119" i="1"/>
  <c r="AA106" i="1"/>
  <c r="AE106" i="1"/>
  <c r="AC106" i="1" s="1"/>
  <c r="AA116" i="1"/>
  <c r="AB116" i="1" s="1"/>
  <c r="AE116" i="1"/>
  <c r="AC116" i="1" s="1"/>
  <c r="AE107" i="1"/>
  <c r="AC107" i="1" s="1"/>
  <c r="AA107" i="1"/>
  <c r="AE105" i="1"/>
  <c r="AC105" i="1" s="1"/>
  <c r="AA105" i="1"/>
  <c r="AA117" i="1"/>
  <c r="AE117" i="1"/>
  <c r="AC117" i="1" s="1"/>
  <c r="T120" i="1"/>
  <c r="X119" i="1"/>
  <c r="AG119" i="1" s="1"/>
  <c r="U111" i="1"/>
  <c r="X111" i="1"/>
  <c r="AG111" i="1" s="1"/>
  <c r="X112" i="1"/>
  <c r="AG112" i="1" s="1"/>
  <c r="AB112" i="1" s="1"/>
  <c r="AD112" i="1" s="1"/>
  <c r="X107" i="1"/>
  <c r="AG107" i="1" s="1"/>
  <c r="X108" i="1"/>
  <c r="AG108" i="1" s="1"/>
  <c r="U108" i="1"/>
  <c r="X104" i="1"/>
  <c r="AG104" i="1" s="1"/>
  <c r="U104" i="1"/>
  <c r="Z107" i="1"/>
  <c r="Z104" i="1"/>
  <c r="Z110" i="1"/>
  <c r="Z111" i="1"/>
  <c r="Z112" i="1"/>
  <c r="Z109" i="1"/>
  <c r="Z105" i="1"/>
  <c r="Z108" i="1"/>
  <c r="Z106" i="1"/>
  <c r="Y117" i="1"/>
  <c r="Y118" i="1"/>
  <c r="Y116" i="1"/>
  <c r="Y119" i="1"/>
  <c r="Y107" i="1"/>
  <c r="Y104" i="1"/>
  <c r="Y108" i="1"/>
  <c r="Y109" i="1"/>
  <c r="Y110" i="1"/>
  <c r="Y105" i="1"/>
  <c r="Y106" i="1"/>
  <c r="Y111" i="1"/>
  <c r="Y112" i="1"/>
  <c r="Z117" i="1"/>
  <c r="Z119" i="1"/>
  <c r="Z116" i="1"/>
  <c r="Z118" i="1"/>
  <c r="W120" i="1"/>
  <c r="X109" i="1"/>
  <c r="AG109" i="1" s="1"/>
  <c r="K120" i="1"/>
  <c r="S113" i="1"/>
  <c r="Q120" i="1"/>
  <c r="X110" i="1"/>
  <c r="AG110" i="1" s="1"/>
  <c r="U110" i="1"/>
  <c r="S120" i="1"/>
  <c r="K113" i="1"/>
  <c r="X105" i="1"/>
  <c r="AG105" i="1" s="1"/>
  <c r="Q113" i="1"/>
  <c r="U119" i="1"/>
  <c r="W113" i="1"/>
  <c r="X117" i="1"/>
  <c r="AG117" i="1" s="1"/>
  <c r="U117" i="1"/>
  <c r="X106" i="1"/>
  <c r="AG106" i="1" s="1"/>
  <c r="U106" i="1"/>
  <c r="X118" i="1"/>
  <c r="AG118" i="1" s="1"/>
  <c r="AB105" i="1" l="1"/>
  <c r="AD105" i="1" s="1"/>
  <c r="AB107" i="1"/>
  <c r="AD107" i="1" s="1"/>
  <c r="AB110" i="1"/>
  <c r="AD110" i="1" s="1"/>
  <c r="AB109" i="1"/>
  <c r="AD109" i="1" s="1"/>
  <c r="AB108" i="1"/>
  <c r="AD108" i="1" s="1"/>
  <c r="AB118" i="1"/>
  <c r="AD118" i="1" s="1"/>
  <c r="AD116" i="1"/>
  <c r="AB106" i="1"/>
  <c r="AD106" i="1" s="1"/>
  <c r="AB119" i="1"/>
  <c r="AD119" i="1" s="1"/>
  <c r="AB117" i="1"/>
  <c r="AD117" i="1" s="1"/>
  <c r="AB111" i="1"/>
  <c r="AD111" i="1" s="1"/>
  <c r="AB104" i="1"/>
  <c r="AD104" i="1" s="1"/>
  <c r="U113" i="1"/>
  <c r="Z120" i="1"/>
  <c r="Z113" i="1"/>
  <c r="U120" i="1"/>
  <c r="X120" i="1"/>
  <c r="X113" i="1"/>
  <c r="Y113" i="1"/>
  <c r="Z130" i="1" l="1"/>
  <c r="V101" i="1"/>
  <c r="T101" i="1"/>
  <c r="R101" i="1"/>
  <c r="P101" i="1"/>
  <c r="G101" i="1"/>
  <c r="X100" i="1"/>
  <c r="AG100" i="1" s="1"/>
  <c r="W100" i="1"/>
  <c r="S100" i="1"/>
  <c r="Q100" i="1"/>
  <c r="K100" i="1"/>
  <c r="Y98" i="1"/>
  <c r="Y100" i="1" l="1"/>
  <c r="AE100" i="1"/>
  <c r="AC100" i="1" s="1"/>
  <c r="AA100" i="1"/>
  <c r="Q101" i="1"/>
  <c r="S101" i="1"/>
  <c r="W101" i="1"/>
  <c r="U100" i="1"/>
  <c r="K101" i="1"/>
  <c r="AB100" i="1" l="1"/>
  <c r="AD100" i="1" s="1"/>
  <c r="X101" i="1"/>
  <c r="U101" i="1"/>
  <c r="V97" i="1" l="1"/>
  <c r="T97" i="1"/>
  <c r="R97" i="1"/>
  <c r="P97" i="1"/>
  <c r="G97" i="1"/>
  <c r="W96" i="1"/>
  <c r="S96" i="1"/>
  <c r="Q96" i="1"/>
  <c r="K96" i="1"/>
  <c r="Y94" i="1"/>
  <c r="Y96" i="1" s="1"/>
  <c r="V93" i="1"/>
  <c r="T93" i="1"/>
  <c r="R93" i="1"/>
  <c r="P93" i="1"/>
  <c r="G93" i="1"/>
  <c r="W92" i="1"/>
  <c r="S92" i="1"/>
  <c r="Q92" i="1"/>
  <c r="K92" i="1"/>
  <c r="W91" i="1"/>
  <c r="U91" i="1"/>
  <c r="S91" i="1"/>
  <c r="Q91" i="1"/>
  <c r="K91" i="1"/>
  <c r="Y89" i="1"/>
  <c r="AA96" i="1" l="1"/>
  <c r="AE96" i="1"/>
  <c r="AC96" i="1" s="1"/>
  <c r="AA92" i="1"/>
  <c r="AE92" i="1"/>
  <c r="AC92" i="1" s="1"/>
  <c r="AE91" i="1"/>
  <c r="AC91" i="1" s="1"/>
  <c r="AA91" i="1"/>
  <c r="Y91" i="1"/>
  <c r="Y92" i="1"/>
  <c r="S97" i="1"/>
  <c r="W93" i="1"/>
  <c r="Q97" i="1"/>
  <c r="W97" i="1"/>
  <c r="X91" i="1"/>
  <c r="AG91" i="1" s="1"/>
  <c r="K93" i="1"/>
  <c r="K97" i="1"/>
  <c r="X92" i="1"/>
  <c r="AG92" i="1" s="1"/>
  <c r="U92" i="1"/>
  <c r="X96" i="1"/>
  <c r="AG96" i="1" s="1"/>
  <c r="Q93" i="1"/>
  <c r="S93" i="1"/>
  <c r="AB96" i="1" l="1"/>
  <c r="AD96" i="1" s="1"/>
  <c r="AB92" i="1"/>
  <c r="AD92" i="1" s="1"/>
  <c r="AB91" i="1"/>
  <c r="AD91" i="1" s="1"/>
  <c r="X97" i="1"/>
  <c r="U93" i="1"/>
  <c r="U97" i="1"/>
  <c r="X93" i="1"/>
  <c r="V88" i="1" l="1"/>
  <c r="T88" i="1"/>
  <c r="R88" i="1"/>
  <c r="P88" i="1"/>
  <c r="G88" i="1"/>
  <c r="W87" i="1"/>
  <c r="U87" i="1"/>
  <c r="S87" i="1"/>
  <c r="Q87" i="1"/>
  <c r="K87" i="1"/>
  <c r="W86" i="1"/>
  <c r="S86" i="1"/>
  <c r="Q86" i="1"/>
  <c r="K86" i="1"/>
  <c r="Y84" i="1"/>
  <c r="AA86" i="1" l="1"/>
  <c r="AE86" i="1"/>
  <c r="AC86" i="1" s="1"/>
  <c r="Y87" i="1"/>
  <c r="Y86" i="1"/>
  <c r="AA87" i="1"/>
  <c r="AE87" i="1"/>
  <c r="AC87" i="1" s="1"/>
  <c r="Q88" i="1"/>
  <c r="W88" i="1"/>
  <c r="S88" i="1"/>
  <c r="K88" i="1"/>
  <c r="X87" i="1"/>
  <c r="AG87" i="1" s="1"/>
  <c r="X86" i="1"/>
  <c r="AG86" i="1" s="1"/>
  <c r="U86" i="1"/>
  <c r="AB87" i="1" l="1"/>
  <c r="AD87" i="1" s="1"/>
  <c r="AB86" i="1"/>
  <c r="AD86" i="1" s="1"/>
  <c r="U88" i="1"/>
  <c r="X88" i="1"/>
  <c r="V83" i="1" l="1"/>
  <c r="T83" i="1"/>
  <c r="R83" i="1"/>
  <c r="P83" i="1"/>
  <c r="G83" i="1"/>
  <c r="W82" i="1"/>
  <c r="U82" i="1"/>
  <c r="S82" i="1"/>
  <c r="Q82" i="1"/>
  <c r="K82" i="1"/>
  <c r="W81" i="1"/>
  <c r="S81" i="1"/>
  <c r="Q81" i="1"/>
  <c r="K81" i="1"/>
  <c r="W80" i="1"/>
  <c r="U80" i="1"/>
  <c r="S80" i="1"/>
  <c r="Q80" i="1"/>
  <c r="K80" i="1"/>
  <c r="W79" i="1"/>
  <c r="S79" i="1"/>
  <c r="Q79" i="1"/>
  <c r="K79" i="1"/>
  <c r="Y77" i="1"/>
  <c r="AA80" i="1" l="1"/>
  <c r="AE80" i="1"/>
  <c r="AC80" i="1" s="1"/>
  <c r="AE82" i="1"/>
  <c r="AC82" i="1" s="1"/>
  <c r="AA82" i="1"/>
  <c r="Y80" i="1"/>
  <c r="Y81" i="1"/>
  <c r="Y82" i="1"/>
  <c r="Y79" i="1"/>
  <c r="AA81" i="1"/>
  <c r="AE81" i="1"/>
  <c r="AC81" i="1" s="1"/>
  <c r="AA79" i="1"/>
  <c r="AE79" i="1"/>
  <c r="AC79" i="1" s="1"/>
  <c r="X82" i="1"/>
  <c r="AG82" i="1" s="1"/>
  <c r="Q83" i="1"/>
  <c r="U81" i="1"/>
  <c r="K83" i="1"/>
  <c r="S83" i="1"/>
  <c r="U79" i="1"/>
  <c r="X81" i="1"/>
  <c r="AG81" i="1" s="1"/>
  <c r="W83" i="1"/>
  <c r="X80" i="1"/>
  <c r="AG80" i="1" s="1"/>
  <c r="X79" i="1"/>
  <c r="AG79" i="1" s="1"/>
  <c r="AB82" i="1" l="1"/>
  <c r="AD82" i="1" s="1"/>
  <c r="AB81" i="1"/>
  <c r="AD81" i="1" s="1"/>
  <c r="AB79" i="1"/>
  <c r="AD79" i="1" s="1"/>
  <c r="AB80" i="1"/>
  <c r="AD80" i="1" s="1"/>
  <c r="X83" i="1"/>
  <c r="U83" i="1"/>
  <c r="V76" i="1" l="1"/>
  <c r="T76" i="1"/>
  <c r="R76" i="1"/>
  <c r="P76" i="1"/>
  <c r="G76" i="1"/>
  <c r="W75" i="1"/>
  <c r="S75" i="1"/>
  <c r="Q75" i="1"/>
  <c r="K75" i="1"/>
  <c r="Y73" i="1"/>
  <c r="Y75" i="1" s="1"/>
  <c r="AE75" i="1" l="1"/>
  <c r="AC75" i="1" s="1"/>
  <c r="AA75" i="1"/>
  <c r="W76" i="1"/>
  <c r="Q76" i="1"/>
  <c r="S76" i="1"/>
  <c r="X75" i="1"/>
  <c r="AG75" i="1" s="1"/>
  <c r="U75" i="1"/>
  <c r="K76" i="1"/>
  <c r="AB75" i="1" l="1"/>
  <c r="AD75" i="1" s="1"/>
  <c r="U76" i="1"/>
  <c r="X76" i="1"/>
  <c r="V72" i="1" l="1"/>
  <c r="T72" i="1"/>
  <c r="R72" i="1"/>
  <c r="P72" i="1"/>
  <c r="G72" i="1"/>
  <c r="W71" i="1"/>
  <c r="S71" i="1"/>
  <c r="Q71" i="1"/>
  <c r="K71" i="1"/>
  <c r="Y69" i="1"/>
  <c r="Y71" i="1" s="1"/>
  <c r="AA71" i="1" l="1"/>
  <c r="AE71" i="1"/>
  <c r="AC71" i="1" s="1"/>
  <c r="S72" i="1"/>
  <c r="Q72" i="1"/>
  <c r="W72" i="1"/>
  <c r="K72" i="1"/>
  <c r="X71" i="1"/>
  <c r="AG71" i="1" s="1"/>
  <c r="U71" i="1"/>
  <c r="AB71" i="1" l="1"/>
  <c r="AD71" i="1" s="1"/>
  <c r="U72" i="1"/>
  <c r="X72" i="1"/>
  <c r="V68" i="1" l="1"/>
  <c r="T68" i="1"/>
  <c r="R68" i="1"/>
  <c r="P68" i="1"/>
  <c r="G68" i="1"/>
  <c r="W67" i="1"/>
  <c r="S67" i="1"/>
  <c r="Q67" i="1"/>
  <c r="K67" i="1"/>
  <c r="W66" i="1"/>
  <c r="U66" i="1"/>
  <c r="S66" i="1"/>
  <c r="Q66" i="1"/>
  <c r="K66" i="1"/>
  <c r="W65" i="1"/>
  <c r="S65" i="1"/>
  <c r="Q65" i="1"/>
  <c r="K65" i="1"/>
  <c r="Y63" i="1"/>
  <c r="AE66" i="1" l="1"/>
  <c r="AC66" i="1" s="1"/>
  <c r="AA66" i="1"/>
  <c r="AA67" i="1"/>
  <c r="AE67" i="1"/>
  <c r="AC67" i="1" s="1"/>
  <c r="Y65" i="1"/>
  <c r="Y66" i="1"/>
  <c r="Y67" i="1"/>
  <c r="AA65" i="1"/>
  <c r="AE65" i="1"/>
  <c r="AC65" i="1" s="1"/>
  <c r="Q68" i="1"/>
  <c r="W68" i="1"/>
  <c r="S68" i="1"/>
  <c r="X67" i="1"/>
  <c r="AG67" i="1" s="1"/>
  <c r="U67" i="1"/>
  <c r="X65" i="1"/>
  <c r="AG65" i="1" s="1"/>
  <c r="U65" i="1"/>
  <c r="K68" i="1"/>
  <c r="X66" i="1"/>
  <c r="AG66" i="1" s="1"/>
  <c r="AB65" i="1" l="1"/>
  <c r="AD65" i="1" s="1"/>
  <c r="AB67" i="1"/>
  <c r="AD67" i="1" s="1"/>
  <c r="AB66" i="1"/>
  <c r="AD66" i="1" s="1"/>
  <c r="U68" i="1"/>
  <c r="X68" i="1"/>
  <c r="V62" i="1" l="1"/>
  <c r="T62" i="1"/>
  <c r="R62" i="1"/>
  <c r="P62" i="1"/>
  <c r="G62" i="1"/>
  <c r="W61" i="1"/>
  <c r="U61" i="1"/>
  <c r="S61" i="1"/>
  <c r="Q61" i="1"/>
  <c r="K61" i="1"/>
  <c r="W60" i="1"/>
  <c r="S60" i="1"/>
  <c r="Q60" i="1"/>
  <c r="K60" i="1"/>
  <c r="Y58" i="1"/>
  <c r="Y61" i="1" l="1"/>
  <c r="Y60" i="1"/>
  <c r="AA61" i="1"/>
  <c r="AE61" i="1"/>
  <c r="AC61" i="1" s="1"/>
  <c r="AE60" i="1"/>
  <c r="AC60" i="1" s="1"/>
  <c r="AA60" i="1"/>
  <c r="Q62" i="1"/>
  <c r="W62" i="1"/>
  <c r="S62" i="1"/>
  <c r="X61" i="1"/>
  <c r="AG61" i="1" s="1"/>
  <c r="X60" i="1"/>
  <c r="AG60" i="1" s="1"/>
  <c r="K62" i="1"/>
  <c r="U60" i="1"/>
  <c r="U62" i="1" s="1"/>
  <c r="AB60" i="1" l="1"/>
  <c r="AD60" i="1" s="1"/>
  <c r="AB61" i="1"/>
  <c r="AD61" i="1" s="1"/>
  <c r="X62" i="1"/>
  <c r="V57" i="1" l="1"/>
  <c r="T57" i="1"/>
  <c r="R57" i="1"/>
  <c r="P57" i="1"/>
  <c r="G57" i="1"/>
  <c r="W56" i="1"/>
  <c r="U56" i="1"/>
  <c r="S56" i="1"/>
  <c r="Q56" i="1"/>
  <c r="K56" i="1"/>
  <c r="Y54" i="1"/>
  <c r="Y56" i="1" s="1"/>
  <c r="AE56" i="1" l="1"/>
  <c r="AC56" i="1" s="1"/>
  <c r="AA56" i="1"/>
  <c r="S57" i="1"/>
  <c r="W57" i="1"/>
  <c r="Q57" i="1"/>
  <c r="K57" i="1"/>
  <c r="X56" i="1"/>
  <c r="AG56" i="1" s="1"/>
  <c r="AB56" i="1" l="1"/>
  <c r="AD56" i="1" s="1"/>
  <c r="U57" i="1"/>
  <c r="X57" i="1"/>
  <c r="V53" i="1" l="1"/>
  <c r="T53" i="1"/>
  <c r="R53" i="1"/>
  <c r="P53" i="1"/>
  <c r="G53" i="1"/>
  <c r="W52" i="1"/>
  <c r="U52" i="1"/>
  <c r="S52" i="1"/>
  <c r="Q52" i="1"/>
  <c r="K52" i="1"/>
  <c r="W51" i="1"/>
  <c r="S51" i="1"/>
  <c r="Q51" i="1"/>
  <c r="K51" i="1"/>
  <c r="Y49" i="1"/>
  <c r="AE52" i="1" l="1"/>
  <c r="AC52" i="1" s="1"/>
  <c r="AA52" i="1"/>
  <c r="Y52" i="1"/>
  <c r="Y51" i="1"/>
  <c r="AA51" i="1"/>
  <c r="AE51" i="1"/>
  <c r="AC51" i="1" s="1"/>
  <c r="W53" i="1"/>
  <c r="Q53" i="1"/>
  <c r="S53" i="1"/>
  <c r="X51" i="1"/>
  <c r="AG51" i="1" s="1"/>
  <c r="U51" i="1"/>
  <c r="K53" i="1"/>
  <c r="X52" i="1"/>
  <c r="AG52" i="1" s="1"/>
  <c r="AB52" i="1" l="1"/>
  <c r="AD52" i="1" s="1"/>
  <c r="AB51" i="1"/>
  <c r="AD51" i="1" s="1"/>
  <c r="X53" i="1"/>
  <c r="U53" i="1"/>
  <c r="V48" i="1" l="1"/>
  <c r="T48" i="1"/>
  <c r="R48" i="1"/>
  <c r="P48" i="1"/>
  <c r="G48" i="1"/>
  <c r="W47" i="1"/>
  <c r="U47" i="1"/>
  <c r="S47" i="1"/>
  <c r="Q47" i="1"/>
  <c r="K47" i="1"/>
  <c r="W46" i="1"/>
  <c r="S46" i="1"/>
  <c r="Q46" i="1"/>
  <c r="K46" i="1"/>
  <c r="W45" i="1"/>
  <c r="U45" i="1"/>
  <c r="S45" i="1"/>
  <c r="Q45" i="1"/>
  <c r="K45" i="1"/>
  <c r="W44" i="1"/>
  <c r="S44" i="1"/>
  <c r="Q44" i="1"/>
  <c r="K44" i="1"/>
  <c r="Y42" i="1"/>
  <c r="AE47" i="1" l="1"/>
  <c r="AC47" i="1" s="1"/>
  <c r="AA47" i="1"/>
  <c r="AE45" i="1"/>
  <c r="AC45" i="1" s="1"/>
  <c r="AA45" i="1"/>
  <c r="AA46" i="1"/>
  <c r="AE46" i="1"/>
  <c r="AC46" i="1" s="1"/>
  <c r="Y46" i="1"/>
  <c r="Y47" i="1"/>
  <c r="Y44" i="1"/>
  <c r="Y45" i="1"/>
  <c r="AA44" i="1"/>
  <c r="AE44" i="1"/>
  <c r="AC44" i="1" s="1"/>
  <c r="W48" i="1"/>
  <c r="S48" i="1"/>
  <c r="Q48" i="1"/>
  <c r="U44" i="1"/>
  <c r="K48" i="1"/>
  <c r="X44" i="1"/>
  <c r="AG44" i="1" s="1"/>
  <c r="X47" i="1"/>
  <c r="AG47" i="1" s="1"/>
  <c r="X45" i="1"/>
  <c r="AG45" i="1" s="1"/>
  <c r="X46" i="1"/>
  <c r="AG46" i="1" s="1"/>
  <c r="U46" i="1"/>
  <c r="AB46" i="1" l="1"/>
  <c r="AD46" i="1" s="1"/>
  <c r="AB44" i="1"/>
  <c r="AD44" i="1" s="1"/>
  <c r="AB47" i="1"/>
  <c r="AD47" i="1" s="1"/>
  <c r="AB45" i="1"/>
  <c r="AD45" i="1" s="1"/>
  <c r="X48" i="1"/>
  <c r="U48" i="1"/>
  <c r="V41" i="1" l="1"/>
  <c r="T41" i="1"/>
  <c r="R41" i="1"/>
  <c r="P41" i="1"/>
  <c r="G41" i="1"/>
  <c r="W40" i="1"/>
  <c r="S40" i="1"/>
  <c r="Q40" i="1"/>
  <c r="K40" i="1"/>
  <c r="W39" i="1"/>
  <c r="S39" i="1"/>
  <c r="Q39" i="1"/>
  <c r="K39" i="1"/>
  <c r="W38" i="1"/>
  <c r="S38" i="1"/>
  <c r="Q38" i="1"/>
  <c r="K38" i="1"/>
  <c r="Y36" i="1"/>
  <c r="AE38" i="1" l="1"/>
  <c r="AC38" i="1" s="1"/>
  <c r="AA38" i="1"/>
  <c r="AE40" i="1"/>
  <c r="AC40" i="1" s="1"/>
  <c r="AA40" i="1"/>
  <c r="Y38" i="1"/>
  <c r="Y39" i="1"/>
  <c r="Y40" i="1"/>
  <c r="AA39" i="1"/>
  <c r="AE39" i="1"/>
  <c r="AC39" i="1" s="1"/>
  <c r="X39" i="1"/>
  <c r="AG39" i="1" s="1"/>
  <c r="U39" i="1"/>
  <c r="Q41" i="1"/>
  <c r="S41" i="1"/>
  <c r="W41" i="1"/>
  <c r="U40" i="1"/>
  <c r="X40" i="1"/>
  <c r="AG40" i="1" s="1"/>
  <c r="K41" i="1"/>
  <c r="X38" i="1"/>
  <c r="AG38" i="1" s="1"/>
  <c r="U38" i="1"/>
  <c r="AB40" i="1" l="1"/>
  <c r="AD40" i="1" s="1"/>
  <c r="AB38" i="1"/>
  <c r="AD38" i="1" s="1"/>
  <c r="AB39" i="1"/>
  <c r="AD39" i="1" s="1"/>
  <c r="X41" i="1"/>
  <c r="U41" i="1"/>
  <c r="V35" i="1" l="1"/>
  <c r="T35" i="1"/>
  <c r="R35" i="1"/>
  <c r="P35" i="1"/>
  <c r="G35" i="1"/>
  <c r="W34" i="1"/>
  <c r="U34" i="1"/>
  <c r="S34" i="1"/>
  <c r="Q34" i="1"/>
  <c r="K34" i="1"/>
  <c r="W33" i="1"/>
  <c r="S33" i="1"/>
  <c r="Q33" i="1"/>
  <c r="K33" i="1"/>
  <c r="W32" i="1"/>
  <c r="U32" i="1"/>
  <c r="S32" i="1"/>
  <c r="Q32" i="1"/>
  <c r="K32" i="1"/>
  <c r="W31" i="1"/>
  <c r="S31" i="1"/>
  <c r="Q31" i="1"/>
  <c r="K31" i="1"/>
  <c r="Y29" i="1"/>
  <c r="AA34" i="1" l="1"/>
  <c r="AE34" i="1"/>
  <c r="AC34" i="1" s="1"/>
  <c r="AE33" i="1"/>
  <c r="AC33" i="1" s="1"/>
  <c r="AA33" i="1"/>
  <c r="AA32" i="1"/>
  <c r="AE32" i="1"/>
  <c r="AC32" i="1" s="1"/>
  <c r="Y32" i="1"/>
  <c r="Y34" i="1"/>
  <c r="Y33" i="1"/>
  <c r="Y31" i="1"/>
  <c r="AE31" i="1"/>
  <c r="AC31" i="1" s="1"/>
  <c r="AA31" i="1"/>
  <c r="W35" i="1"/>
  <c r="Q35" i="1"/>
  <c r="S35" i="1"/>
  <c r="X31" i="1"/>
  <c r="AG31" i="1" s="1"/>
  <c r="U31" i="1"/>
  <c r="K35" i="1"/>
  <c r="X34" i="1"/>
  <c r="AG34" i="1" s="1"/>
  <c r="X32" i="1"/>
  <c r="AG32" i="1" s="1"/>
  <c r="X33" i="1"/>
  <c r="AG33" i="1" s="1"/>
  <c r="U33" i="1"/>
  <c r="AB33" i="1" l="1"/>
  <c r="AD33" i="1" s="1"/>
  <c r="AB34" i="1"/>
  <c r="AD34" i="1" s="1"/>
  <c r="AB31" i="1"/>
  <c r="AD31" i="1" s="1"/>
  <c r="AB32" i="1"/>
  <c r="AD32" i="1" s="1"/>
  <c r="X35" i="1"/>
  <c r="U35" i="1"/>
  <c r="V28" i="1" l="1"/>
  <c r="T28" i="1"/>
  <c r="R28" i="1"/>
  <c r="P28" i="1"/>
  <c r="G28" i="1"/>
  <c r="W27" i="1"/>
  <c r="U27" i="1"/>
  <c r="S27" i="1"/>
  <c r="Q27" i="1"/>
  <c r="K27" i="1"/>
  <c r="W26" i="1"/>
  <c r="S26" i="1"/>
  <c r="Q26" i="1"/>
  <c r="K26" i="1"/>
  <c r="Y24" i="1"/>
  <c r="Y27" i="1" l="1"/>
  <c r="Y26" i="1"/>
  <c r="AA27" i="1"/>
  <c r="AE27" i="1"/>
  <c r="AC27" i="1" s="1"/>
  <c r="AE26" i="1"/>
  <c r="AC26" i="1" s="1"/>
  <c r="AA26" i="1"/>
  <c r="Q28" i="1"/>
  <c r="W28" i="1"/>
  <c r="S28" i="1"/>
  <c r="X27" i="1"/>
  <c r="AG27" i="1" s="1"/>
  <c r="X26" i="1"/>
  <c r="AG26" i="1" s="1"/>
  <c r="K28" i="1"/>
  <c r="U26" i="1"/>
  <c r="U28" i="1" s="1"/>
  <c r="AB26" i="1" l="1"/>
  <c r="AD26" i="1" s="1"/>
  <c r="AB27" i="1"/>
  <c r="AD27" i="1" s="1"/>
  <c r="X28" i="1"/>
  <c r="V23" i="1" l="1"/>
  <c r="T23" i="1"/>
  <c r="R23" i="1"/>
  <c r="P23" i="1"/>
  <c r="G23" i="1"/>
  <c r="W22" i="1"/>
  <c r="U22" i="1"/>
  <c r="S22" i="1"/>
  <c r="Q22" i="1"/>
  <c r="K22" i="1"/>
  <c r="W21" i="1"/>
  <c r="S21" i="1"/>
  <c r="Q21" i="1"/>
  <c r="K21" i="1"/>
  <c r="Y19" i="1"/>
  <c r="AA22" i="1" l="1"/>
  <c r="AE22" i="1"/>
  <c r="AC22" i="1" s="1"/>
  <c r="Y21" i="1"/>
  <c r="Y22" i="1"/>
  <c r="AE21" i="1"/>
  <c r="AC21" i="1" s="1"/>
  <c r="AA21" i="1"/>
  <c r="W23" i="1"/>
  <c r="Q23" i="1"/>
  <c r="S23" i="1"/>
  <c r="X22" i="1"/>
  <c r="AG22" i="1" s="1"/>
  <c r="X21" i="1"/>
  <c r="AG21" i="1" s="1"/>
  <c r="U21" i="1"/>
  <c r="K23" i="1"/>
  <c r="AB21" i="1" l="1"/>
  <c r="AD21" i="1" s="1"/>
  <c r="AB22" i="1"/>
  <c r="AD22" i="1" s="1"/>
  <c r="U23" i="1"/>
  <c r="X23" i="1"/>
  <c r="V18" i="1" l="1"/>
  <c r="V130" i="1" s="1"/>
  <c r="T18" i="1"/>
  <c r="T130" i="1" s="1"/>
  <c r="R18" i="1"/>
  <c r="R130" i="1" s="1"/>
  <c r="P18" i="1"/>
  <c r="P130" i="1" s="1"/>
  <c r="G18" i="1"/>
  <c r="G130" i="1" s="1"/>
  <c r="W17" i="1"/>
  <c r="U17" i="1"/>
  <c r="S17" i="1"/>
  <c r="Q17" i="1"/>
  <c r="K17" i="1"/>
  <c r="W16" i="1"/>
  <c r="S16" i="1"/>
  <c r="Q16" i="1"/>
  <c r="K16" i="1"/>
  <c r="Y14" i="1"/>
  <c r="Y16" i="1" l="1"/>
  <c r="Y17" i="1"/>
  <c r="AE16" i="1"/>
  <c r="AA16" i="1"/>
  <c r="AA17" i="1"/>
  <c r="AE17" i="1"/>
  <c r="AC17" i="1" s="1"/>
  <c r="U16" i="1"/>
  <c r="X16" i="1"/>
  <c r="AG16" i="1" s="1"/>
  <c r="K18" i="1"/>
  <c r="K130" i="1" s="1"/>
  <c r="S18" i="1"/>
  <c r="S130" i="1" s="1"/>
  <c r="X17" i="1"/>
  <c r="AG17" i="1" s="1"/>
  <c r="W18" i="1"/>
  <c r="W130" i="1" s="1"/>
  <c r="Q18" i="1"/>
  <c r="Q130" i="1" s="1"/>
  <c r="AE129" i="1" l="1"/>
  <c r="AC16" i="1"/>
  <c r="AC129" i="1" s="1"/>
  <c r="AG129" i="1"/>
  <c r="AB16" i="1"/>
  <c r="AB17" i="1"/>
  <c r="AD17" i="1" s="1"/>
  <c r="U18" i="1"/>
  <c r="U130" i="1" s="1"/>
  <c r="X18" i="1"/>
  <c r="X130" i="1" s="1"/>
  <c r="AD16" i="1" l="1"/>
  <c r="AD129" i="1" s="1"/>
  <c r="AB129" i="1"/>
  <c r="Y62" i="1"/>
  <c r="Y28" i="1"/>
  <c r="Y76" i="1"/>
  <c r="Y41" i="1"/>
  <c r="Y35" i="1"/>
  <c r="Y72" i="1"/>
  <c r="Y48" i="1"/>
  <c r="Y83" i="1"/>
  <c r="Y68" i="1"/>
  <c r="Y18" i="1"/>
  <c r="Y93" i="1"/>
  <c r="Y101" i="1"/>
  <c r="Y53" i="1"/>
  <c r="Y57" i="1"/>
  <c r="Y23" i="1"/>
  <c r="Y88" i="1"/>
  <c r="Y97" i="1" l="1"/>
  <c r="Y120" i="1" l="1"/>
  <c r="Y130" i="1" s="1"/>
  <c r="X132" i="1" l="1"/>
  <c r="X1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  <author>DINDA</author>
  </authors>
  <commentList>
    <comment ref="Q21" authorId="0" shapeId="0" xr:uid="{62C6B84D-DE20-4941-A822-E473615B3EE5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22" authorId="0" shapeId="0" xr:uid="{C8FC29AF-3FB5-4FE8-8909-AEF6ADF26DBA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26" authorId="0" shapeId="0" xr:uid="{79BC48FE-3DE8-4C42-BE9E-3650408F3BB0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27" authorId="0" shapeId="0" xr:uid="{FFA15477-E11E-49E4-9DEC-7DC113757DA3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31" authorId="0" shapeId="0" xr:uid="{5EC33EDF-5187-4428-B198-D6ED7AEA82D1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32" authorId="0" shapeId="0" xr:uid="{49CE6EA6-20DB-48BA-A306-DF5229E804AE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33" authorId="0" shapeId="0" xr:uid="{F5E56B6E-4DF0-4E2A-968A-5E7B96BF873B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34" authorId="0" shapeId="0" xr:uid="{91AE0D85-621D-4C7F-AD11-599201BF6447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38" authorId="0" shapeId="0" xr:uid="{5ECD8783-A493-4558-B418-3274EEAEBC2B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44" authorId="0" shapeId="0" xr:uid="{3493352C-4823-41C5-98F2-3F73E92C4508}">
      <text>
        <r>
          <rPr>
            <b/>
            <sz val="9"/>
            <color indexed="81"/>
            <rFont val="Tahoma"/>
            <family val="2"/>
          </rPr>
          <t xml:space="preserve">TAG COST
</t>
        </r>
      </text>
    </comment>
    <comment ref="Q45" authorId="0" shapeId="0" xr:uid="{3EE57C49-45DE-44C5-85A3-636F10096B00}">
      <text>
        <r>
          <rPr>
            <b/>
            <sz val="9"/>
            <color indexed="81"/>
            <rFont val="Tahoma"/>
            <family val="2"/>
          </rPr>
          <t xml:space="preserve">TAG COST
</t>
        </r>
      </text>
    </comment>
    <comment ref="Q46" authorId="0" shapeId="0" xr:uid="{F37A647A-8DE1-483C-9C43-D5612E7F85AB}">
      <text>
        <r>
          <rPr>
            <b/>
            <sz val="9"/>
            <color indexed="81"/>
            <rFont val="Tahoma"/>
            <family val="2"/>
          </rPr>
          <t xml:space="preserve">TAG COST
</t>
        </r>
      </text>
    </comment>
    <comment ref="Q47" authorId="0" shapeId="0" xr:uid="{0D061397-885E-46BF-B581-FA15FD7EB2C6}">
      <text>
        <r>
          <rPr>
            <b/>
            <sz val="9"/>
            <color indexed="81"/>
            <rFont val="Tahoma"/>
            <family val="2"/>
          </rPr>
          <t xml:space="preserve">TAG COST
</t>
        </r>
      </text>
    </comment>
    <comment ref="Q51" authorId="0" shapeId="0" xr:uid="{AB91B6B7-3A1F-4C55-BF26-9FC9E973B7F6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52" authorId="0" shapeId="0" xr:uid="{C8881317-1462-492F-A40E-5D05D2DEB838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56" authorId="0" shapeId="0" xr:uid="{20FF9BD7-E10A-46AE-A139-FAE6100E92B1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60" authorId="0" shapeId="0" xr:uid="{348B3582-30E8-45FB-800B-2882979ACE32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61" authorId="0" shapeId="0" xr:uid="{EA78CFB7-1681-4886-902F-7A43E601A42E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65" authorId="0" shapeId="0" xr:uid="{DCDD450E-A12F-4881-B780-51F91395ECD3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66" authorId="0" shapeId="0" xr:uid="{261F8A2D-CCF1-4991-AC50-60F25D6FACC6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67" authorId="0" shapeId="0" xr:uid="{5BC3D4E3-303C-4EC3-90AD-45920274FE10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71" authorId="0" shapeId="0" xr:uid="{28F809C3-6A46-4DB5-9F4E-B71E4D6118E6}">
      <text>
        <r>
          <rPr>
            <b/>
            <sz val="9"/>
            <color indexed="81"/>
            <rFont val="Tahoma"/>
            <family val="2"/>
          </rPr>
          <t xml:space="preserve">TAG </t>
        </r>
      </text>
    </comment>
    <comment ref="Q75" authorId="0" shapeId="0" xr:uid="{4B555E70-7FBC-41D9-AF0B-935C06FFA8EE}">
      <text>
        <r>
          <rPr>
            <b/>
            <sz val="9"/>
            <color indexed="81"/>
            <rFont val="Tahoma"/>
            <family val="2"/>
          </rPr>
          <t>TAG</t>
        </r>
      </text>
    </comment>
    <comment ref="Q79" authorId="0" shapeId="0" xr:uid="{307325C9-919F-4AC0-A54A-6DA2D2B17A89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80" authorId="0" shapeId="0" xr:uid="{0F5BC39F-251A-483B-BF46-32402682C7B2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81" authorId="0" shapeId="0" xr:uid="{3E6DB85F-DE20-4C70-AF07-08BA0D1A7089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82" authorId="0" shapeId="0" xr:uid="{86AEC242-1939-4D3F-9743-AE468AE84680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86" authorId="0" shapeId="0" xr:uid="{E0FF488D-14A8-45C3-9E10-34EE1A814F3E}">
      <text>
        <r>
          <rPr>
            <b/>
            <sz val="9"/>
            <color indexed="81"/>
            <rFont val="Tahoma"/>
            <family val="2"/>
          </rPr>
          <t>TAG</t>
        </r>
      </text>
    </comment>
    <comment ref="Q87" authorId="0" shapeId="0" xr:uid="{0BADAAF4-2E59-431C-9C5F-3AC41BBE8514}">
      <text>
        <r>
          <rPr>
            <b/>
            <sz val="9"/>
            <color indexed="81"/>
            <rFont val="Tahoma"/>
            <family val="2"/>
          </rPr>
          <t>TAG</t>
        </r>
      </text>
    </comment>
    <comment ref="Q100" authorId="1" shapeId="0" xr:uid="{F8CC835E-2B1C-4C3C-9D54-0760C86B00FE}">
      <text>
        <r>
          <rPr>
            <b/>
            <sz val="9"/>
            <color indexed="81"/>
            <rFont val="Tahoma"/>
            <family val="2"/>
          </rPr>
          <t>Tag Cost</t>
        </r>
      </text>
    </comment>
    <comment ref="Q123" authorId="0" shapeId="0" xr:uid="{D6195BDC-DBE5-4415-91A1-4F4C7B0AD95A}">
      <text>
        <r>
          <rPr>
            <b/>
            <sz val="9"/>
            <color indexed="81"/>
            <rFont val="Tahoma"/>
            <family val="2"/>
          </rPr>
          <t>POST &amp; CLUTCH
TAG COST</t>
        </r>
      </text>
    </comment>
    <comment ref="Q124" authorId="0" shapeId="0" xr:uid="{B16325FD-9464-4187-922C-3660C0624B89}">
      <text>
        <r>
          <rPr>
            <b/>
            <sz val="9"/>
            <color indexed="81"/>
            <rFont val="Tahoma"/>
            <family val="2"/>
          </rPr>
          <t>POST &amp; CLUTCH
TAG COST</t>
        </r>
      </text>
    </comment>
    <comment ref="Q128" authorId="0" shapeId="0" xr:uid="{CA4FC6D0-32CC-4B4D-BDA7-2A8A6B7930EC}">
      <text>
        <r>
          <rPr>
            <b/>
            <sz val="9"/>
            <color indexed="81"/>
            <rFont val="Tahoma"/>
            <family val="2"/>
          </rPr>
          <t>TAG COST</t>
        </r>
      </text>
    </comment>
  </commentList>
</comments>
</file>

<file path=xl/sharedStrings.xml><?xml version="1.0" encoding="utf-8"?>
<sst xmlns="http://schemas.openxmlformats.org/spreadsheetml/2006/main" count="868" uniqueCount="163">
  <si>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</si>
  <si>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</si>
  <si>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</si>
  <si>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</si>
  <si>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</si>
  <si>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</si>
  <si>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</si>
  <si>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</si>
  <si>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</si>
  <si>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</si>
  <si>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</si>
  <si>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</si>
  <si>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</si>
  <si>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</si>
  <si>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</si>
  <si>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</si>
  <si>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</si>
  <si>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</si>
  <si>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</si>
  <si>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</si>
  <si>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</si>
  <si>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</si>
  <si>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</si>
  <si>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</si>
  <si>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</si>
  <si>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</si>
  <si>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</si>
  <si>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</si>
  <si>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</si>
  <si>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</si>
  <si>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</si>
  <si>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</si>
  <si>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</si>
  <si>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</si>
  <si>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</si>
  <si>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</si>
  <si>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</si>
  <si>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</si>
  <si>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</si>
  <si>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</si>
  <si>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</si>
  <si>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</si>
  <si>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</si>
  <si>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</si>
  <si>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</si>
  <si>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</si>
  <si>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</si>
  <si>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</si>
  <si>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</si>
  <si>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</si>
  <si>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</si>
  <si>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</si>
  <si>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</si>
  <si>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</si>
  <si>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</si>
  <si>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material cost</t>
  </si>
  <si>
    <t>total</t>
  </si>
  <si>
    <t>gold price</t>
  </si>
  <si>
    <t>dia price</t>
  </si>
  <si>
    <t>24K Payment</t>
  </si>
  <si>
    <t>SUBTOTAL</t>
  </si>
  <si>
    <t>PO#</t>
  </si>
  <si>
    <t>old labor</t>
  </si>
  <si>
    <t>labor amount</t>
  </si>
  <si>
    <t>Dia Handling Service Fee</t>
  </si>
  <si>
    <t xml:space="preserve">Essential Lab Grown Diamonds Inc. </t>
  </si>
  <si>
    <t>PI ELI241212RB-2-14K-6</t>
  </si>
  <si>
    <t>K0218TN58 C4 17"</t>
  </si>
  <si>
    <t>14K WG</t>
  </si>
  <si>
    <t>14K YG</t>
  </si>
  <si>
    <t>1.45mm
1.90mm
2.25mm
2.55mm
2.75mm
3.05mm
3.70mm
4.25mm</t>
  </si>
  <si>
    <t>W
W
W
W
W
W
W
W</t>
  </si>
  <si>
    <t>218pcs
8pcs
6pcs
6pcs
6pcs
4pcs
2pcs
1pcs</t>
  </si>
  <si>
    <t>W</t>
  </si>
  <si>
    <t>Buyer Dia</t>
  </si>
  <si>
    <t>30th Dec London AM + 1%</t>
  </si>
  <si>
    <t>ELI241212RB-3-14K-5</t>
  </si>
  <si>
    <t>K0038R05 #6.5</t>
  </si>
  <si>
    <t>K0038R10 #6.5</t>
  </si>
  <si>
    <t>K0038R11 #6.5</t>
  </si>
  <si>
    <t>13th Jan London AM + 1%</t>
  </si>
  <si>
    <t>ELI250109DB-14K-5</t>
  </si>
  <si>
    <t>OV 5.00*3.00</t>
  </si>
  <si>
    <t>K0793TB17 C4 7"</t>
  </si>
  <si>
    <t>ELI250109DB-14K-6</t>
  </si>
  <si>
    <t>K02545TB11 C4 7"</t>
  </si>
  <si>
    <t>EM 4.30*3.00
OV 4.50*3.50
PS 5.0*3.0
PS 5.0*4.0
MQ 5.0*3.0
HT 4.0*4.0
CS 3.25*3.25</t>
  </si>
  <si>
    <t>W
W
W
W
W
W
W</t>
  </si>
  <si>
    <t>3pcs
3pcs
2pcs
1pcs
4pcs
4pcs
4pcs</t>
  </si>
  <si>
    <t>ELI250109DB-14K-7</t>
  </si>
  <si>
    <t>K02545TB12 C4 7"</t>
  </si>
  <si>
    <t>EM 6.0*4.0
OV 6.0*4.0
PS 6*4
MQ 8*4
HT 4.0*4.0
CS 3.25*3.25</t>
  </si>
  <si>
    <t>W
W
W
W
W
W</t>
  </si>
  <si>
    <t>3pcs
3pcs
3pcs
3pcs
2pcs
2pcs</t>
  </si>
  <si>
    <t>K02545TB13 C4 7"</t>
  </si>
  <si>
    <t>EM 7*5
OV 6.0*4.0
PS 6*4
MQ 8*4
HT 5.0*5.0
CS 4.9*4.9</t>
  </si>
  <si>
    <t>3pcs
3pcs
3pcs
2pcs
3pcs
3pcs</t>
  </si>
  <si>
    <t>ELI250109RB-14K-1</t>
  </si>
  <si>
    <t>OV 3.50*2.50</t>
  </si>
  <si>
    <t>K02547R01 #7</t>
  </si>
  <si>
    <t>OV 4.00*3.00</t>
  </si>
  <si>
    <t>K02547R02 #6.5</t>
  </si>
  <si>
    <t>K02547R02 #7</t>
  </si>
  <si>
    <t>ELI250109RB-14K-2</t>
  </si>
  <si>
    <t>K02547R03 #6.5</t>
  </si>
  <si>
    <t>OV 4.50*3.50</t>
  </si>
  <si>
    <t>K02547R04 #6.5</t>
  </si>
  <si>
    <t>OV 6.0*4.0</t>
  </si>
  <si>
    <t>ELI250109RB-14K-3</t>
  </si>
  <si>
    <t>K02547R05 #6.5</t>
  </si>
  <si>
    <t>OV 6.0*5.0</t>
  </si>
  <si>
    <t>ELI250109RB-14K-4</t>
  </si>
  <si>
    <t>K02548R05 #6.5</t>
  </si>
  <si>
    <t>EM 6.50*4.50</t>
  </si>
  <si>
    <t>ELI250109RB-14K-5</t>
  </si>
  <si>
    <t>K02544TN01 C4 17"</t>
  </si>
  <si>
    <t>EM 3.50*2.00
OV 3.60*2.70
PS 4.00*2.50
MQ 4.25*2.25
HT 3.50*3.50
CS 3.25*3.25</t>
  </si>
  <si>
    <t>6pcs
10pcs
5pcs
10pcs
5pcs
5pcs</t>
  </si>
  <si>
    <t>ELI250109RB-14K-6</t>
  </si>
  <si>
    <t>K02544TN02 C4 17"</t>
  </si>
  <si>
    <t>EM 4.30*3.00
OV 5.00*3.00
PS 5.0*3.0
MQ 6.0*3.0
HT 4.0*4.0
CS 3.25*3.25</t>
  </si>
  <si>
    <t>8pcs
8pcs
8pcs
8pcs
7pcs
7pcs</t>
  </si>
  <si>
    <t>K02544TN03 C4 17"</t>
  </si>
  <si>
    <t>EM 6.50*4.50
EM 6.0*4.0
OV 5.00*3.00
PS 5.0*3.0
MQ 6.0*3.0
HT 4.0*4.0
CS 4.9*4.9</t>
  </si>
  <si>
    <t>1pcs
6pcs
7pcs
8pcs
7pcs
8pcs
7pcs</t>
  </si>
  <si>
    <t>5th Feb London AM + 1%</t>
  </si>
  <si>
    <t>ELI250203RB-1A-14K-2</t>
  </si>
  <si>
    <t>K0272TB07 C4 7"</t>
  </si>
  <si>
    <t>ELI250203RB-1A-14K-3</t>
  </si>
  <si>
    <t>K01677E06</t>
  </si>
  <si>
    <t>ELI250203RB-2A-14K-1</t>
  </si>
  <si>
    <t>ELI250203RB-2A-14K-2</t>
  </si>
  <si>
    <t>5 Feb London AM + 1%</t>
  </si>
  <si>
    <t>ELI250203RB-1A-14K-5</t>
  </si>
  <si>
    <t>K0038R15 #6.5</t>
  </si>
  <si>
    <t>ELI250203RB-1A-14K-4</t>
  </si>
  <si>
    <t>K0038R03 #6.5</t>
  </si>
  <si>
    <t>ELI250203RB-1A-14K-7</t>
  </si>
  <si>
    <t>K0639N157 16"+2"+2"</t>
  </si>
  <si>
    <t>23 Apr London AM + 2%</t>
  </si>
  <si>
    <t>PO#</t>
    <phoneticPr fontId="11" type="noConversion"/>
  </si>
  <si>
    <t>IDD PO SERIAL#</t>
  </si>
  <si>
    <t>Tag Cost</t>
  </si>
  <si>
    <t>Current Gold &amp;
5% Cost</t>
  </si>
  <si>
    <t>nilai maklon</t>
  </si>
  <si>
    <t>ELI250415RB-14K-1</t>
  </si>
  <si>
    <t>K0639N165 16"+2"+2"</t>
  </si>
  <si>
    <t>$6.50/g+$2.00/st</t>
  </si>
  <si>
    <t>ELI250415RB-14K-2</t>
  </si>
  <si>
    <t>K0639N154 16"+2"+2"</t>
  </si>
  <si>
    <t>K0038B257 OV H 6.75"</t>
  </si>
  <si>
    <t>K5021E62 OV</t>
  </si>
  <si>
    <t>1st Apr London AM + 1%</t>
  </si>
  <si>
    <t>W
W
W</t>
  </si>
  <si>
    <t>ELI250328RB-14K</t>
  </si>
  <si>
    <t>K0894E03</t>
  </si>
  <si>
    <t>1.65mm
1.75mm
1.90mm</t>
  </si>
  <si>
    <t>12pcs
2pcs
24pcs</t>
  </si>
  <si>
    <t>3rd Apr London AM + 1%</t>
  </si>
  <si>
    <t>ELI250408RB-14K</t>
  </si>
  <si>
    <t>K0038B511 OV F 6"</t>
  </si>
  <si>
    <t>Gold &amp; 5%
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</si>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</sst>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  <numFmt numFmtId="177" formatCode="\$0.00&quot;/station&quot;"/>
    <numFmt numFmtId="178" formatCode="0.00\ &quot;g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86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68" fontId="13" fillId="6" borderId="13" xfId="0" applyNumberFormat="1" applyFont="1" applyFill="1" applyBorder="1" applyAlignment="1">
      <alignment horizontal="center" vertical="center" wrapText="1"/>
    </xf>
    <xf numFmtId="177" fontId="12" fillId="0" borderId="13" xfId="0" applyNumberFormat="1" applyFont="1" applyBorder="1" applyAlignment="1">
      <alignment horizontal="center" vertical="center"/>
    </xf>
    <xf numFmtId="171" fontId="13" fillId="5" borderId="13" xfId="0" applyNumberFormat="1" applyFont="1" applyFill="1" applyBorder="1" applyAlignment="1">
      <alignment horizontal="center" vertical="center"/>
    </xf>
    <xf numFmtId="165" fontId="6" fillId="0" borderId="6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169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24" xfId="0" applyFont="1" applyBorder="1" applyAlignment="1">
      <alignment horizontal="right" vertical="center"/>
    </xf>
    <xf numFmtId="0" fontId="10" fillId="0" borderId="1" xfId="1" applyFont="1" applyBorder="1" applyAlignment="1">
      <alignment vertical="center"/>
    </xf>
    <xf numFmtId="178" fontId="13" fillId="0" borderId="0" xfId="0" applyNumberFormat="1" applyFont="1" applyAlignment="1">
      <alignment vertical="center"/>
    </xf>
    <xf numFmtId="178" fontId="13" fillId="0" borderId="0" xfId="0" applyNumberFormat="1" applyFont="1" applyAlignment="1">
      <alignment horizontal="center" vertical="center"/>
    </xf>
    <xf numFmtId="175" fontId="13" fillId="0" borderId="0" xfId="0" applyNumberFormat="1" applyFont="1" applyAlignment="1">
      <alignment vertical="center"/>
    </xf>
    <xf numFmtId="178" fontId="15" fillId="4" borderId="12" xfId="0" applyNumberFormat="1" applyFont="1" applyFill="1" applyBorder="1" applyAlignment="1">
      <alignment horizontal="center" vertical="center" wrapText="1"/>
    </xf>
    <xf numFmtId="175" fontId="15" fillId="4" borderId="12" xfId="0" applyNumberFormat="1" applyFont="1" applyFill="1" applyBorder="1" applyAlignment="1">
      <alignment horizontal="center" vertical="center" wrapText="1"/>
    </xf>
    <xf numFmtId="178" fontId="12" fillId="5" borderId="13" xfId="0" applyNumberFormat="1" applyFont="1" applyFill="1" applyBorder="1" applyAlignment="1">
      <alignment horizontal="center" vertical="center" wrapText="1"/>
    </xf>
    <xf numFmtId="178" fontId="13" fillId="5" borderId="13" xfId="0" applyNumberFormat="1" applyFont="1" applyFill="1" applyBorder="1" applyAlignment="1">
      <alignment horizontal="center" vertical="center"/>
    </xf>
    <xf numFmtId="178" fontId="13" fillId="5" borderId="20" xfId="0" applyNumberFormat="1" applyFont="1" applyFill="1" applyBorder="1" applyAlignment="1">
      <alignment horizontal="center" vertical="center"/>
    </xf>
    <xf numFmtId="175" fontId="17" fillId="0" borderId="20" xfId="0" applyNumberFormat="1" applyFont="1" applyBorder="1" applyAlignment="1">
      <alignment horizontal="center" vertical="center"/>
    </xf>
    <xf numFmtId="1" fontId="24" fillId="0" borderId="13" xfId="0" applyNumberFormat="1" applyFont="1" applyFill="1" applyBorder="1" applyAlignment="1">
      <alignment horizontal="center" vertical="center" shrinkToFit="1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" fontId="24" fillId="0" borderId="12" xfId="0" applyNumberFormat="1" applyFont="1" applyFill="1" applyBorder="1" applyAlignment="1">
      <alignment horizontal="center" vertical="center" shrinkToFit="1"/>
    </xf>
    <xf numFmtId="174" fontId="12" fillId="0" borderId="12" xfId="0" applyNumberFormat="1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178" fontId="12" fillId="0" borderId="13" xfId="0" applyNumberFormat="1" applyFont="1" applyFill="1" applyBorder="1" applyAlignment="1">
      <alignment horizontal="center" vertical="center" wrapText="1"/>
    </xf>
    <xf numFmtId="178" fontId="13" fillId="0" borderId="13" xfId="0" applyNumberFormat="1" applyFont="1" applyFill="1" applyBorder="1" applyAlignment="1">
      <alignment horizontal="center" vertical="center"/>
    </xf>
    <xf numFmtId="178" fontId="13" fillId="0" borderId="20" xfId="0" applyNumberFormat="1" applyFont="1" applyFill="1" applyBorder="1" applyAlignment="1">
      <alignment horizontal="center" vertical="center"/>
    </xf>
    <xf numFmtId="4" fontId="13" fillId="2" borderId="0" xfId="0" applyNumberFormat="1" applyFont="1" applyFill="1" applyAlignment="1">
      <alignment horizontal="left" vertical="center"/>
    </xf>
    <xf numFmtId="4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74" fontId="13" fillId="0" borderId="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3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144"/>
  <sheetViews>
    <sheetView showGridLines="0" tabSelected="1" view="pageBreakPreview" topLeftCell="P124" zoomScaleSheetLayoutView="100" workbookViewId="0">
      <selection activeCell="P130" sqref="P130"/>
    </sheetView>
  </sheetViews>
  <sheetFormatPr defaultColWidth="8.6328125" defaultRowHeight="14"/>
  <cols>
    <col min="1" max="1" width="21.54296875" style="21" customWidth="1"/>
    <col min="2" max="2" width="12.453125" style="21" customWidth="1"/>
    <col min="3" max="3" width="10.36328125" style="21" customWidth="1"/>
    <col min="4" max="4" width="17.453125" style="21" customWidth="1"/>
    <col min="5" max="5" width="12" style="21" customWidth="1"/>
    <col min="6" max="6" width="10" style="21" customWidth="1"/>
    <col min="7" max="7" width="6.90625" style="21" customWidth="1"/>
    <col min="8" max="8" width="10.36328125" style="22" customWidth="1"/>
    <col min="9" max="10" width="8.54296875" style="23" customWidth="1"/>
    <col min="11" max="11" width="11" style="24" customWidth="1"/>
    <col min="12" max="12" width="11.90625" style="24" customWidth="1"/>
    <col min="13" max="14" width="8.54296875" style="24" customWidth="1"/>
    <col min="15" max="15" width="11.90625" style="25" customWidth="1"/>
    <col min="16" max="16" width="12" style="25" customWidth="1"/>
    <col min="17" max="19" width="12.453125" style="26" customWidth="1"/>
    <col min="20" max="20" width="8.453125" style="26" customWidth="1"/>
    <col min="21" max="21" width="9.6328125" style="26" customWidth="1"/>
    <col min="22" max="22" width="9.08984375" style="26" customWidth="1"/>
    <col min="23" max="23" width="13.1796875" style="26" customWidth="1"/>
    <col min="24" max="24" width="13.453125" style="29" customWidth="1"/>
    <col min="25" max="25" width="14.54296875" style="22" customWidth="1"/>
    <col min="26" max="26" width="14.54296875" style="140" customWidth="1"/>
    <col min="27" max="27" width="11.36328125" style="22" customWidth="1"/>
    <col min="28" max="28" width="10.1796875" style="22" customWidth="1"/>
    <col min="29" max="29" width="11.6328125" style="22" customWidth="1"/>
    <col min="30" max="30" width="11.90625" style="22" customWidth="1"/>
    <col min="31" max="31" width="10.90625" style="22" customWidth="1"/>
    <col min="32" max="16384" width="8.6328125" style="22"/>
  </cols>
  <sheetData>
    <row r="1" spans="1:33" s="1" customFormat="1" ht="31.5" customHeight="1">
      <c r="A1" s="176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43"/>
    </row>
    <row r="2" spans="1:33" s="2" customFormat="1" ht="15.5">
      <c r="A2" s="178" t="s">
        <v>42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80"/>
      <c r="Z2" s="144"/>
    </row>
    <row r="3" spans="1:33" s="3" customFormat="1" ht="20">
      <c r="A3" s="181" t="s">
        <v>44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3"/>
      <c r="Z3" s="148"/>
    </row>
    <row r="4" spans="1:33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 t="s">
        <v>66</v>
      </c>
      <c r="O4" s="6"/>
      <c r="P4" s="6"/>
      <c r="Q4" s="6"/>
      <c r="R4" s="6"/>
      <c r="S4" s="6"/>
      <c r="T4" s="6"/>
      <c r="U4" s="6"/>
      <c r="V4" s="83"/>
      <c r="W4" s="6"/>
      <c r="X4" s="6"/>
      <c r="Y4" s="137"/>
      <c r="Z4" s="49"/>
      <c r="AA4" s="7">
        <v>0.24</v>
      </c>
    </row>
    <row r="5" spans="1:33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6"/>
      <c r="Z5" s="9"/>
    </row>
    <row r="6" spans="1:33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0"/>
      <c r="Z6" s="11"/>
    </row>
    <row r="7" spans="1:33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13"/>
      <c r="Z7" s="20"/>
    </row>
    <row r="8" spans="1:33" s="7" customFormat="1" ht="12" customHeight="1">
      <c r="A8" s="4" t="s">
        <v>1</v>
      </c>
      <c r="B8" s="46" t="s">
        <v>65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6"/>
      <c r="Z8" s="9"/>
    </row>
    <row r="9" spans="1:33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0"/>
      <c r="Z9" s="11"/>
    </row>
    <row r="10" spans="1:33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38"/>
      <c r="Z10" s="14"/>
    </row>
    <row r="11" spans="1:33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38"/>
      <c r="Z11" s="14"/>
    </row>
    <row r="12" spans="1:33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13"/>
      <c r="Z12" s="20"/>
    </row>
    <row r="13" spans="1:33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6"/>
      <c r="Z13" s="9"/>
      <c r="AB13" s="7" t="s">
        <v>57</v>
      </c>
      <c r="AC13" s="7">
        <v>72</v>
      </c>
    </row>
    <row r="14" spans="1:33" ht="15.9" customHeight="1">
      <c r="A14" s="56" t="s">
        <v>74</v>
      </c>
      <c r="K14" s="51"/>
      <c r="L14" s="51"/>
      <c r="M14" s="51"/>
      <c r="N14" s="51"/>
      <c r="W14" s="52"/>
      <c r="X14" s="91" t="s">
        <v>75</v>
      </c>
      <c r="Y14" s="101">
        <f>1.01*2610.3</f>
        <v>2636.4030000000002</v>
      </c>
      <c r="Z14" s="145"/>
      <c r="AA14" s="109"/>
      <c r="AB14" s="168" t="s">
        <v>58</v>
      </c>
      <c r="AC14" s="109">
        <v>167.18</v>
      </c>
      <c r="AD14" s="109"/>
      <c r="AE14" s="27"/>
      <c r="AF14" s="27"/>
      <c r="AG14" s="27"/>
    </row>
    <row r="15" spans="1:33" s="100" customFormat="1" ht="28">
      <c r="A15" s="95" t="s">
        <v>61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64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139" t="s">
        <v>21</v>
      </c>
      <c r="Z15" s="53"/>
      <c r="AA15" s="109"/>
      <c r="AB15" s="100" t="s">
        <v>144</v>
      </c>
      <c r="AC15" s="100" t="s">
        <v>55</v>
      </c>
      <c r="AD15" s="100" t="s">
        <v>56</v>
      </c>
      <c r="AE15" s="100" t="s">
        <v>59</v>
      </c>
      <c r="AF15" s="100" t="s">
        <v>62</v>
      </c>
      <c r="AG15" s="100" t="s">
        <v>63</v>
      </c>
    </row>
    <row r="16" spans="1:33" s="27" customFormat="1" ht="112">
      <c r="A16" s="103" t="s">
        <v>76</v>
      </c>
      <c r="B16" s="120" t="s">
        <v>67</v>
      </c>
      <c r="C16" s="121"/>
      <c r="D16" s="121"/>
      <c r="E16" s="120"/>
      <c r="F16" s="120" t="s">
        <v>68</v>
      </c>
      <c r="G16" s="122">
        <v>1</v>
      </c>
      <c r="H16" s="112">
        <v>13.64</v>
      </c>
      <c r="I16" s="123">
        <v>1.1599999999999999</v>
      </c>
      <c r="J16" s="123">
        <v>0</v>
      </c>
      <c r="K16" s="113">
        <f t="shared" ref="K16:K17" si="0">H16-I16-J16</f>
        <v>12.48</v>
      </c>
      <c r="L16" s="106" t="s">
        <v>70</v>
      </c>
      <c r="M16" s="106" t="s">
        <v>71</v>
      </c>
      <c r="N16" s="107" t="s">
        <v>72</v>
      </c>
      <c r="O16" s="115">
        <v>8</v>
      </c>
      <c r="P16" s="124">
        <v>5.8</v>
      </c>
      <c r="Q16" s="38">
        <f t="shared" ref="Q16:Q17" si="1">G16*0.5</f>
        <v>0.5</v>
      </c>
      <c r="R16" s="38"/>
      <c r="S16" s="38">
        <f>G16*0.035*(218+8+6+6+6+4+2+1)</f>
        <v>8.7850000000000001</v>
      </c>
      <c r="T16" s="38"/>
      <c r="U16" s="38">
        <f t="shared" ref="U16:U17" si="2">IF(RIGHT(F16,2)="WG",K16*$AA$4,IF(OR(RIGHT(F16,3)="WRG",RIGHT(F16,3)="WYG",RIGHT(F16,3)="WYR"),K16*$AA$4+3*G16,0))</f>
        <v>2.9952000000000001</v>
      </c>
      <c r="V16" s="38"/>
      <c r="W16" s="38">
        <f>G16*((218+8+6)*0.3+(6+6+4)*0.5+(2+1)*0.75)</f>
        <v>79.849999999999994</v>
      </c>
      <c r="X16" s="38">
        <f t="shared" ref="X16:X17" si="3">K16*O16</f>
        <v>99.84</v>
      </c>
      <c r="Y16" s="38">
        <f t="shared" ref="Y16:Y17" si="4">$Y$14/31.1035*K16*IF(LEFT(F16,3)="10K",0.417*1.07,IF(LEFT(F16,3)="14K",0.585*1.05,IF(LEFT(F16,3)="18K",0.75*1.05,0)))</f>
        <v>649.77393455784727</v>
      </c>
      <c r="Z16" s="116"/>
      <c r="AA16" s="109">
        <f t="shared" ref="AA16:AA17" si="5">2*K16</f>
        <v>24.96</v>
      </c>
      <c r="AB16" s="109">
        <f t="shared" ref="AB16:AB17" si="6">(SUM(Q16:W16)+AG16)-AA16</f>
        <v>167.0102</v>
      </c>
      <c r="AC16" s="109">
        <f t="shared" ref="AC16:AC17" si="7">AE16*$AC$13+P16*$AC$14</f>
        <v>1521.58448</v>
      </c>
      <c r="AD16" s="109">
        <f t="shared" ref="AD16:AD17" si="8">SUM(AB16:AC16)</f>
        <v>1688.5946799999999</v>
      </c>
      <c r="AE16" s="27">
        <f t="shared" ref="AE16:AE17" si="9">IF(LEFT(F16,3)="10K",(0.417*1.07*K16),IF(LEFT(F16,3)="14K",(0.585*1.05*K16),IF(LEFT(F16,3)="18K",(0.75*1.05*K16),0)))</f>
        <v>7.6658400000000002</v>
      </c>
      <c r="AG16" s="27">
        <f t="shared" ref="AG16:AG17" si="10">IF(AF16&gt;0,AF16*K16,X16)</f>
        <v>99.84</v>
      </c>
    </row>
    <row r="17" spans="1:33" s="27" customFormat="1" ht="112.5" thickBot="1">
      <c r="A17" s="119">
        <v>31</v>
      </c>
      <c r="B17" s="120" t="s">
        <v>67</v>
      </c>
      <c r="C17" s="121"/>
      <c r="D17" s="121"/>
      <c r="E17" s="120"/>
      <c r="F17" s="120" t="s">
        <v>69</v>
      </c>
      <c r="G17" s="122">
        <v>1</v>
      </c>
      <c r="H17" s="112">
        <v>13.85</v>
      </c>
      <c r="I17" s="123">
        <v>1.1599999999999999</v>
      </c>
      <c r="J17" s="123">
        <v>0</v>
      </c>
      <c r="K17" s="113">
        <f t="shared" si="0"/>
        <v>12.69</v>
      </c>
      <c r="L17" s="106" t="s">
        <v>70</v>
      </c>
      <c r="M17" s="106" t="s">
        <v>71</v>
      </c>
      <c r="N17" s="107" t="s">
        <v>72</v>
      </c>
      <c r="O17" s="115">
        <v>8</v>
      </c>
      <c r="P17" s="124">
        <v>5.78</v>
      </c>
      <c r="Q17" s="38">
        <f t="shared" si="1"/>
        <v>0.5</v>
      </c>
      <c r="R17" s="38"/>
      <c r="S17" s="38">
        <f>G17*0.035*(218+8+6+6+6+4+2+1)</f>
        <v>8.7850000000000001</v>
      </c>
      <c r="T17" s="38"/>
      <c r="U17" s="38">
        <f t="shared" si="2"/>
        <v>0</v>
      </c>
      <c r="V17" s="38"/>
      <c r="W17" s="38">
        <f>G17*((218+8+6)*0.3+(6+6+4)*0.5+(2+1)*0.75)</f>
        <v>79.849999999999994</v>
      </c>
      <c r="X17" s="38">
        <f t="shared" si="3"/>
        <v>101.52</v>
      </c>
      <c r="Y17" s="38">
        <f t="shared" si="4"/>
        <v>660.70763057204169</v>
      </c>
      <c r="Z17" s="116"/>
      <c r="AA17" s="109">
        <f t="shared" si="5"/>
        <v>25.38</v>
      </c>
      <c r="AB17" s="109">
        <f t="shared" si="6"/>
        <v>165.27499999999998</v>
      </c>
      <c r="AC17" s="109">
        <f t="shared" si="7"/>
        <v>1527.5283400000001</v>
      </c>
      <c r="AD17" s="109">
        <f t="shared" si="8"/>
        <v>1692.8033399999999</v>
      </c>
      <c r="AE17" s="27">
        <f t="shared" si="9"/>
        <v>7.7948324999999992</v>
      </c>
      <c r="AG17" s="27">
        <f t="shared" si="10"/>
        <v>101.52</v>
      </c>
    </row>
    <row r="18" spans="1:33" s="28" customFormat="1" ht="15.9" customHeight="1">
      <c r="A18" s="94" t="s">
        <v>60</v>
      </c>
      <c r="B18" s="72"/>
      <c r="C18" s="72"/>
      <c r="D18" s="72"/>
      <c r="E18" s="72"/>
      <c r="F18" s="72"/>
      <c r="G18" s="73">
        <f>SUM(G16:G17)</f>
        <v>2</v>
      </c>
      <c r="H18" s="114"/>
      <c r="I18" s="114"/>
      <c r="J18" s="114"/>
      <c r="K18" s="114">
        <f>SUM(K16:K17)</f>
        <v>25.17</v>
      </c>
      <c r="L18" s="74"/>
      <c r="M18" s="74"/>
      <c r="N18" s="74"/>
      <c r="O18" s="75"/>
      <c r="P18" s="125">
        <f t="shared" ref="P18:Y18" si="11">SUM(P16:P17)</f>
        <v>11.58</v>
      </c>
      <c r="Q18" s="76">
        <f t="shared" si="11"/>
        <v>1</v>
      </c>
      <c r="R18" s="76">
        <f t="shared" si="11"/>
        <v>0</v>
      </c>
      <c r="S18" s="76">
        <f t="shared" si="11"/>
        <v>17.57</v>
      </c>
      <c r="T18" s="76">
        <f t="shared" si="11"/>
        <v>0</v>
      </c>
      <c r="U18" s="76">
        <f t="shared" si="11"/>
        <v>2.9952000000000001</v>
      </c>
      <c r="V18" s="76">
        <f t="shared" si="11"/>
        <v>0</v>
      </c>
      <c r="W18" s="76">
        <f t="shared" si="11"/>
        <v>159.69999999999999</v>
      </c>
      <c r="X18" s="76">
        <f t="shared" si="11"/>
        <v>201.36</v>
      </c>
      <c r="Y18" s="76">
        <f t="shared" si="11"/>
        <v>1310.4815651298891</v>
      </c>
      <c r="Z18" s="117"/>
      <c r="AA18" s="109"/>
      <c r="AB18" s="109"/>
      <c r="AC18" s="109"/>
      <c r="AD18" s="109"/>
      <c r="AE18" s="27"/>
      <c r="AF18" s="27"/>
      <c r="AG18" s="27"/>
    </row>
    <row r="19" spans="1:33" ht="15.9" customHeight="1">
      <c r="A19" s="56" t="s">
        <v>74</v>
      </c>
      <c r="K19" s="51"/>
      <c r="L19" s="51"/>
      <c r="M19" s="51"/>
      <c r="N19" s="51"/>
      <c r="W19" s="52"/>
      <c r="X19" s="91" t="s">
        <v>80</v>
      </c>
      <c r="Y19" s="101">
        <f>1.01*2679.8</f>
        <v>2706.5980000000004</v>
      </c>
      <c r="Z19" s="145"/>
      <c r="AA19" s="109"/>
      <c r="AB19" s="109"/>
      <c r="AC19" s="109"/>
      <c r="AD19" s="109"/>
      <c r="AE19" s="27"/>
      <c r="AF19" s="27"/>
      <c r="AG19" s="27"/>
    </row>
    <row r="20" spans="1:33" s="100" customFormat="1" ht="28">
      <c r="A20" s="95" t="s">
        <v>61</v>
      </c>
      <c r="B20" s="96" t="s">
        <v>4</v>
      </c>
      <c r="C20" s="96" t="s">
        <v>23</v>
      </c>
      <c r="D20" s="96" t="s">
        <v>45</v>
      </c>
      <c r="E20" s="96" t="s">
        <v>46</v>
      </c>
      <c r="F20" s="96" t="s">
        <v>5</v>
      </c>
      <c r="G20" s="96" t="s">
        <v>6</v>
      </c>
      <c r="H20" s="97" t="s">
        <v>7</v>
      </c>
      <c r="I20" s="97" t="s">
        <v>47</v>
      </c>
      <c r="J20" s="97" t="s">
        <v>8</v>
      </c>
      <c r="K20" s="98" t="s">
        <v>13</v>
      </c>
      <c r="L20" s="98" t="s">
        <v>19</v>
      </c>
      <c r="M20" s="98" t="s">
        <v>22</v>
      </c>
      <c r="N20" s="98" t="s">
        <v>20</v>
      </c>
      <c r="O20" s="99" t="s">
        <v>9</v>
      </c>
      <c r="P20" s="99" t="s">
        <v>49</v>
      </c>
      <c r="Q20" s="48" t="s">
        <v>50</v>
      </c>
      <c r="R20" s="48" t="s">
        <v>54</v>
      </c>
      <c r="S20" s="48" t="s">
        <v>64</v>
      </c>
      <c r="T20" s="48" t="s">
        <v>12</v>
      </c>
      <c r="U20" s="48" t="s">
        <v>52</v>
      </c>
      <c r="V20" s="48" t="s">
        <v>48</v>
      </c>
      <c r="W20" s="48" t="s">
        <v>14</v>
      </c>
      <c r="X20" s="53" t="s">
        <v>11</v>
      </c>
      <c r="Y20" s="139" t="s">
        <v>21</v>
      </c>
      <c r="Z20" s="53"/>
      <c r="AA20" s="109"/>
      <c r="AB20" s="109"/>
      <c r="AC20" s="109"/>
      <c r="AD20" s="109"/>
      <c r="AE20" s="27"/>
      <c r="AF20" s="27"/>
      <c r="AG20" s="27"/>
    </row>
    <row r="21" spans="1:33" s="27" customFormat="1" ht="28">
      <c r="A21" s="103" t="s">
        <v>81</v>
      </c>
      <c r="B21" s="120" t="s">
        <v>83</v>
      </c>
      <c r="C21" s="121"/>
      <c r="D21" s="121"/>
      <c r="E21" s="120"/>
      <c r="F21" s="102" t="s">
        <v>68</v>
      </c>
      <c r="G21" s="161">
        <v>52</v>
      </c>
      <c r="H21" s="159">
        <v>824.37999999999977</v>
      </c>
      <c r="I21" s="162">
        <v>108.29999999999997</v>
      </c>
      <c r="J21" s="162"/>
      <c r="K21" s="160">
        <f t="shared" ref="K21:K22" si="12">H21-I21-J21</f>
        <v>716.07999999999981</v>
      </c>
      <c r="L21" s="106" t="s">
        <v>82</v>
      </c>
      <c r="M21" s="106" t="s">
        <v>73</v>
      </c>
      <c r="N21" s="134">
        <v>54</v>
      </c>
      <c r="O21" s="115">
        <v>6.5</v>
      </c>
      <c r="P21" s="124">
        <v>541.30000000000007</v>
      </c>
      <c r="Q21" s="38">
        <f>G21*0.5</f>
        <v>26</v>
      </c>
      <c r="R21" s="38"/>
      <c r="S21" s="38">
        <f t="shared" ref="S21:S22" si="13">G21*0.035*N21</f>
        <v>98.280000000000015</v>
      </c>
      <c r="T21" s="38"/>
      <c r="U21" s="38">
        <f t="shared" ref="U21:U22" si="14">IF(RIGHT(F21,2)="WG",K21*$AA$4,IF(OR(RIGHT(F21,3)="WRG",RIGHT(F21,3)="WYG",RIGHT(F21,3)="WYR"),K21*$AA$4+3*G21,0))</f>
        <v>171.85919999999996</v>
      </c>
      <c r="V21" s="38"/>
      <c r="W21" s="38">
        <f>G21*N21*3.75</f>
        <v>10530</v>
      </c>
      <c r="X21" s="38">
        <f t="shared" ref="X21:X22" si="15">K21*O21</f>
        <v>4654.5199999999986</v>
      </c>
      <c r="Y21" s="38">
        <f>$Y$19/31.1035*K21*IF(LEFT(F21,3)="10K",0.417*1.07,IF(LEFT(F21,3)="14K",0.585*1.05,IF(LEFT(F21,3)="18K",0.75*1.05,0)))</f>
        <v>38275.529198312724</v>
      </c>
      <c r="Z21" s="116"/>
      <c r="AA21" s="109">
        <f t="shared" ref="AA21:AA22" si="16">2*K21</f>
        <v>1432.1599999999996</v>
      </c>
      <c r="AB21" s="109">
        <f t="shared" ref="AB21:AB22" si="17">(SUM(Q21:W21)+AG21)-AA21</f>
        <v>14048.499199999998</v>
      </c>
      <c r="AC21" s="109">
        <f t="shared" ref="AC21:AC22" si="18">AE21*$AC$13+P21*$AC$14</f>
        <v>122163.88808</v>
      </c>
      <c r="AD21" s="109">
        <f t="shared" ref="AD21:AD22" si="19">SUM(AB21:AC21)</f>
        <v>136212.38728</v>
      </c>
      <c r="AE21" s="27">
        <f t="shared" ref="AE21:AE22" si="20">IF(LEFT(F21,3)="10K",(0.417*1.07*K21),IF(LEFT(F21,3)="14K",(0.585*1.05*K21),IF(LEFT(F21,3)="18K",(0.75*1.05*K21),0)))</f>
        <v>439.85213999999985</v>
      </c>
      <c r="AG21" s="27">
        <f t="shared" ref="AG21:AG56" si="21">IF(AF21&gt;0,AF21*K21,X21)</f>
        <v>4654.5199999999986</v>
      </c>
    </row>
    <row r="22" spans="1:33" s="27" customFormat="1" ht="28.5" thickBot="1">
      <c r="A22" s="119">
        <v>22</v>
      </c>
      <c r="B22" s="120" t="s">
        <v>83</v>
      </c>
      <c r="C22" s="121"/>
      <c r="D22" s="121"/>
      <c r="E22" s="120"/>
      <c r="F22" s="120" t="s">
        <v>69</v>
      </c>
      <c r="G22" s="161">
        <v>22</v>
      </c>
      <c r="H22" s="159">
        <v>351.64</v>
      </c>
      <c r="I22" s="162">
        <v>46.27</v>
      </c>
      <c r="J22" s="162"/>
      <c r="K22" s="160">
        <f t="shared" si="12"/>
        <v>305.37</v>
      </c>
      <c r="L22" s="106" t="s">
        <v>82</v>
      </c>
      <c r="M22" s="106" t="s">
        <v>73</v>
      </c>
      <c r="N22" s="134">
        <v>54</v>
      </c>
      <c r="O22" s="115">
        <v>6.5</v>
      </c>
      <c r="P22" s="124">
        <v>231.29000000000005</v>
      </c>
      <c r="Q22" s="38">
        <f>G22*0.5</f>
        <v>11</v>
      </c>
      <c r="R22" s="38"/>
      <c r="S22" s="38">
        <f t="shared" si="13"/>
        <v>41.58</v>
      </c>
      <c r="T22" s="38"/>
      <c r="U22" s="38">
        <f t="shared" si="14"/>
        <v>0</v>
      </c>
      <c r="V22" s="38"/>
      <c r="W22" s="38">
        <f>G22*N22*3.75</f>
        <v>4455</v>
      </c>
      <c r="X22" s="38">
        <f t="shared" si="15"/>
        <v>1984.905</v>
      </c>
      <c r="Y22" s="38">
        <f>$Y$19/31.1035*K22*IF(LEFT(F22,3)="10K",0.417*1.07,IF(LEFT(F22,3)="14K",0.585*1.05,IF(LEFT(F22,3)="18K",0.75*1.05,0)))</f>
        <v>16322.475633014132</v>
      </c>
      <c r="Z22" s="116"/>
      <c r="AA22" s="109">
        <f t="shared" si="16"/>
        <v>610.74</v>
      </c>
      <c r="AB22" s="109">
        <f t="shared" si="17"/>
        <v>5881.7449999999999</v>
      </c>
      <c r="AC22" s="109">
        <f t="shared" si="18"/>
        <v>52172.355820000012</v>
      </c>
      <c r="AD22" s="109">
        <f t="shared" si="19"/>
        <v>58054.100820000014</v>
      </c>
      <c r="AE22" s="27">
        <f t="shared" si="20"/>
        <v>187.5735225</v>
      </c>
      <c r="AG22" s="27">
        <f t="shared" si="21"/>
        <v>1984.905</v>
      </c>
    </row>
    <row r="23" spans="1:33" s="28" customFormat="1" ht="15.9" customHeight="1">
      <c r="A23" s="94" t="s">
        <v>60</v>
      </c>
      <c r="B23" s="72"/>
      <c r="C23" s="72"/>
      <c r="D23" s="72"/>
      <c r="E23" s="72"/>
      <c r="F23" s="72"/>
      <c r="G23" s="163">
        <f>SUM(G21:G22)</f>
        <v>74</v>
      </c>
      <c r="H23" s="164"/>
      <c r="I23" s="164"/>
      <c r="J23" s="164"/>
      <c r="K23" s="164">
        <f>SUM(K21:K22)</f>
        <v>1021.4499999999998</v>
      </c>
      <c r="L23" s="74"/>
      <c r="M23" s="74"/>
      <c r="N23" s="74"/>
      <c r="O23" s="75"/>
      <c r="P23" s="125">
        <f t="shared" ref="P23:Y23" si="22">SUM(P21:P22)</f>
        <v>772.59000000000015</v>
      </c>
      <c r="Q23" s="76">
        <f t="shared" si="22"/>
        <v>37</v>
      </c>
      <c r="R23" s="76">
        <f t="shared" si="22"/>
        <v>0</v>
      </c>
      <c r="S23" s="76">
        <f t="shared" si="22"/>
        <v>139.86000000000001</v>
      </c>
      <c r="T23" s="76">
        <f t="shared" si="22"/>
        <v>0</v>
      </c>
      <c r="U23" s="76">
        <f t="shared" si="22"/>
        <v>171.85919999999996</v>
      </c>
      <c r="V23" s="76">
        <f t="shared" si="22"/>
        <v>0</v>
      </c>
      <c r="W23" s="76">
        <f t="shared" si="22"/>
        <v>14985</v>
      </c>
      <c r="X23" s="76">
        <f t="shared" si="22"/>
        <v>6639.4249999999984</v>
      </c>
      <c r="Y23" s="76">
        <f t="shared" si="22"/>
        <v>54598.004831326856</v>
      </c>
      <c r="Z23" s="117"/>
      <c r="AA23" s="109"/>
      <c r="AB23" s="109"/>
      <c r="AC23" s="109"/>
      <c r="AD23" s="109"/>
      <c r="AE23" s="27"/>
      <c r="AF23" s="27"/>
      <c r="AG23" s="27"/>
    </row>
    <row r="24" spans="1:33" ht="15.9" customHeight="1">
      <c r="A24" s="56" t="s">
        <v>74</v>
      </c>
      <c r="K24" s="51"/>
      <c r="L24" s="51"/>
      <c r="M24" s="51"/>
      <c r="N24" s="51"/>
      <c r="W24" s="52"/>
      <c r="X24" s="91" t="s">
        <v>80</v>
      </c>
      <c r="Y24" s="101">
        <f>1.01*2679.8</f>
        <v>2706.5980000000004</v>
      </c>
      <c r="Z24" s="145"/>
      <c r="AA24" s="109"/>
      <c r="AB24" s="109"/>
      <c r="AC24" s="109"/>
      <c r="AD24" s="109"/>
      <c r="AE24" s="27"/>
      <c r="AF24" s="27"/>
      <c r="AG24" s="27"/>
    </row>
    <row r="25" spans="1:33" s="100" customFormat="1" ht="28">
      <c r="A25" s="95" t="s">
        <v>61</v>
      </c>
      <c r="B25" s="96" t="s">
        <v>4</v>
      </c>
      <c r="C25" s="96" t="s">
        <v>23</v>
      </c>
      <c r="D25" s="96" t="s">
        <v>45</v>
      </c>
      <c r="E25" s="96" t="s">
        <v>46</v>
      </c>
      <c r="F25" s="96" t="s">
        <v>5</v>
      </c>
      <c r="G25" s="96" t="s">
        <v>6</v>
      </c>
      <c r="H25" s="97" t="s">
        <v>7</v>
      </c>
      <c r="I25" s="97" t="s">
        <v>47</v>
      </c>
      <c r="J25" s="97" t="s">
        <v>8</v>
      </c>
      <c r="K25" s="98" t="s">
        <v>13</v>
      </c>
      <c r="L25" s="98" t="s">
        <v>19</v>
      </c>
      <c r="M25" s="98" t="s">
        <v>22</v>
      </c>
      <c r="N25" s="98" t="s">
        <v>20</v>
      </c>
      <c r="O25" s="99" t="s">
        <v>9</v>
      </c>
      <c r="P25" s="99" t="s">
        <v>49</v>
      </c>
      <c r="Q25" s="48" t="s">
        <v>50</v>
      </c>
      <c r="R25" s="48" t="s">
        <v>54</v>
      </c>
      <c r="S25" s="48" t="s">
        <v>64</v>
      </c>
      <c r="T25" s="48" t="s">
        <v>12</v>
      </c>
      <c r="U25" s="48" t="s">
        <v>52</v>
      </c>
      <c r="V25" s="48" t="s">
        <v>48</v>
      </c>
      <c r="W25" s="48" t="s">
        <v>14</v>
      </c>
      <c r="X25" s="53" t="s">
        <v>11</v>
      </c>
      <c r="Y25" s="139" t="s">
        <v>21</v>
      </c>
      <c r="Z25" s="53"/>
      <c r="AA25" s="109"/>
      <c r="AB25" s="109"/>
      <c r="AC25" s="109"/>
      <c r="AD25" s="109"/>
      <c r="AE25" s="27"/>
      <c r="AF25" s="27"/>
      <c r="AG25" s="27"/>
    </row>
    <row r="26" spans="1:33" s="27" customFormat="1" ht="126">
      <c r="A26" s="103" t="s">
        <v>84</v>
      </c>
      <c r="B26" s="102" t="s">
        <v>85</v>
      </c>
      <c r="C26" s="105"/>
      <c r="D26" s="105"/>
      <c r="E26" s="102"/>
      <c r="F26" s="102" t="s">
        <v>68</v>
      </c>
      <c r="G26" s="104">
        <v>40</v>
      </c>
      <c r="H26" s="112">
        <v>384.71999999999997</v>
      </c>
      <c r="I26" s="112">
        <v>36.269999999999989</v>
      </c>
      <c r="J26" s="112"/>
      <c r="K26" s="113">
        <f>H26-I26-J26</f>
        <v>348.45</v>
      </c>
      <c r="L26" s="106" t="s">
        <v>86</v>
      </c>
      <c r="M26" s="106" t="s">
        <v>87</v>
      </c>
      <c r="N26" s="107" t="s">
        <v>88</v>
      </c>
      <c r="O26" s="115">
        <v>7.5</v>
      </c>
      <c r="P26" s="124">
        <v>181.16000000000003</v>
      </c>
      <c r="Q26" s="38">
        <f>G26*0.5</f>
        <v>20</v>
      </c>
      <c r="R26" s="38"/>
      <c r="S26" s="38">
        <f>G26*0.035*(3+3+2+1+4+4+4)</f>
        <v>29.400000000000002</v>
      </c>
      <c r="T26" s="38"/>
      <c r="U26" s="38">
        <f t="shared" ref="U26:U27" si="23">IF(RIGHT(F26,2)="WG",K26*$AA$4,IF(OR(RIGHT(F26,3)="WRG",RIGHT(F26,3)="WYG",RIGHT(F26,3)="WYR"),K26*$AA$4+3*G26,0))</f>
        <v>83.628</v>
      </c>
      <c r="V26" s="38"/>
      <c r="W26" s="38">
        <f>G26*(3*2+3*3.75+2*3.5+1*3.5+4*3.5+4*2.5+4*1.5)</f>
        <v>2310</v>
      </c>
      <c r="X26" s="38">
        <f t="shared" ref="X26:X27" si="24">K26*O26</f>
        <v>2613.375</v>
      </c>
      <c r="Y26" s="38">
        <f>$Y$24/31.1035*K26*IF(LEFT(F26,3)="10K",0.417*1.07,IF(LEFT(F26,3)="14K",0.585*1.05,IF(LEFT(F26,3)="18K",0.75*1.05,0)))</f>
        <v>18625.164994347102</v>
      </c>
      <c r="Z26" s="116"/>
      <c r="AA26" s="109">
        <f t="shared" ref="AA26:AA27" si="25">2*K26</f>
        <v>696.9</v>
      </c>
      <c r="AB26" s="109">
        <f t="shared" ref="AB26:AB27" si="26">(SUM(Q26:W26)+AG26)-AA26</f>
        <v>4359.5030000000006</v>
      </c>
      <c r="AC26" s="109">
        <f t="shared" ref="AC26:AC27" si="27">AE26*$AC$13+P26*$AC$14</f>
        <v>45696.878500000006</v>
      </c>
      <c r="AD26" s="109">
        <f t="shared" ref="AD26:AD27" si="28">SUM(AB26:AC26)</f>
        <v>50056.381500000003</v>
      </c>
      <c r="AE26" s="27">
        <f t="shared" ref="AE26:AE27" si="29">IF(LEFT(F26,3)="10K",(0.417*1.07*K26),IF(LEFT(F26,3)="14K",(0.585*1.05*K26),IF(LEFT(F26,3)="18K",(0.75*1.05*K26),0)))</f>
        <v>214.03541249999998</v>
      </c>
      <c r="AG26" s="27">
        <f t="shared" si="21"/>
        <v>2613.375</v>
      </c>
    </row>
    <row r="27" spans="1:33" s="27" customFormat="1" ht="126.5" thickBot="1">
      <c r="A27" s="119">
        <v>26</v>
      </c>
      <c r="B27" s="102" t="s">
        <v>85</v>
      </c>
      <c r="C27" s="121"/>
      <c r="D27" s="121"/>
      <c r="E27" s="120"/>
      <c r="F27" s="120" t="s">
        <v>69</v>
      </c>
      <c r="G27" s="122">
        <v>10</v>
      </c>
      <c r="H27" s="112">
        <v>92.12</v>
      </c>
      <c r="I27" s="123">
        <v>9.25</v>
      </c>
      <c r="J27" s="123"/>
      <c r="K27" s="113">
        <f t="shared" ref="K27" si="30">H27-I27-J27</f>
        <v>82.87</v>
      </c>
      <c r="L27" s="106" t="s">
        <v>86</v>
      </c>
      <c r="M27" s="106" t="s">
        <v>87</v>
      </c>
      <c r="N27" s="107" t="s">
        <v>88</v>
      </c>
      <c r="O27" s="115">
        <v>7.5</v>
      </c>
      <c r="P27" s="124">
        <v>46.255000000000003</v>
      </c>
      <c r="Q27" s="38">
        <f>G27*0.5</f>
        <v>5</v>
      </c>
      <c r="R27" s="38"/>
      <c r="S27" s="38">
        <f>G27*0.035*(3+3+2+1+4+4+4)</f>
        <v>7.3500000000000005</v>
      </c>
      <c r="T27" s="38"/>
      <c r="U27" s="38">
        <f t="shared" si="23"/>
        <v>0</v>
      </c>
      <c r="V27" s="38"/>
      <c r="W27" s="38">
        <f>G27*(3*2+3*3.75+2*3.5+1*3.5+4*3.5+4*2.5+4*1.5)</f>
        <v>577.5</v>
      </c>
      <c r="X27" s="38">
        <f t="shared" si="24"/>
        <v>621.52500000000009</v>
      </c>
      <c r="Y27" s="38">
        <f>$Y$24/31.1035*K27*IF(LEFT(F27,3)="10K",0.417*1.07,IF(LEFT(F27,3)="14K",0.585*1.05,IF(LEFT(F27,3)="18K",0.75*1.05,0)))</f>
        <v>4429.5233837897667</v>
      </c>
      <c r="Z27" s="116"/>
      <c r="AA27" s="109">
        <f t="shared" si="25"/>
        <v>165.74</v>
      </c>
      <c r="AB27" s="109">
        <f t="shared" si="26"/>
        <v>1045.635</v>
      </c>
      <c r="AC27" s="109">
        <f t="shared" si="27"/>
        <v>11397.919520000001</v>
      </c>
      <c r="AD27" s="109">
        <f t="shared" si="28"/>
        <v>12443.554520000002</v>
      </c>
      <c r="AE27" s="27">
        <f t="shared" si="29"/>
        <v>50.902897500000002</v>
      </c>
      <c r="AG27" s="27">
        <f t="shared" si="21"/>
        <v>621.52500000000009</v>
      </c>
    </row>
    <row r="28" spans="1:33" s="28" customFormat="1" ht="15.9" customHeight="1">
      <c r="A28" s="94" t="s">
        <v>60</v>
      </c>
      <c r="B28" s="72"/>
      <c r="C28" s="72"/>
      <c r="D28" s="72"/>
      <c r="E28" s="72"/>
      <c r="F28" s="72"/>
      <c r="G28" s="73">
        <f>SUM(G26:G27)</f>
        <v>50</v>
      </c>
      <c r="H28" s="114"/>
      <c r="I28" s="114"/>
      <c r="J28" s="114"/>
      <c r="K28" s="114">
        <f>SUM(K26:K27)</f>
        <v>431.32</v>
      </c>
      <c r="L28" s="74"/>
      <c r="M28" s="74"/>
      <c r="N28" s="74"/>
      <c r="O28" s="75"/>
      <c r="P28" s="125">
        <f t="shared" ref="P28:Y28" si="31">SUM(P26:P27)</f>
        <v>227.41500000000002</v>
      </c>
      <c r="Q28" s="76">
        <f t="shared" si="31"/>
        <v>25</v>
      </c>
      <c r="R28" s="76">
        <f t="shared" si="31"/>
        <v>0</v>
      </c>
      <c r="S28" s="76">
        <f t="shared" si="31"/>
        <v>36.75</v>
      </c>
      <c r="T28" s="76">
        <f t="shared" si="31"/>
        <v>0</v>
      </c>
      <c r="U28" s="76">
        <f t="shared" si="31"/>
        <v>83.628</v>
      </c>
      <c r="V28" s="76">
        <f t="shared" si="31"/>
        <v>0</v>
      </c>
      <c r="W28" s="76">
        <f t="shared" si="31"/>
        <v>2887.5</v>
      </c>
      <c r="X28" s="76">
        <f t="shared" si="31"/>
        <v>3234.9</v>
      </c>
      <c r="Y28" s="76">
        <f t="shared" si="31"/>
        <v>23054.688378136867</v>
      </c>
      <c r="Z28" s="117"/>
      <c r="AA28" s="109"/>
      <c r="AB28" s="109"/>
      <c r="AC28" s="109"/>
      <c r="AD28" s="109"/>
      <c r="AE28" s="27"/>
      <c r="AF28" s="27"/>
      <c r="AG28" s="27"/>
    </row>
    <row r="29" spans="1:33" ht="15.9" customHeight="1">
      <c r="A29" s="56" t="s">
        <v>74</v>
      </c>
      <c r="K29" s="51"/>
      <c r="L29" s="51"/>
      <c r="M29" s="51"/>
      <c r="N29" s="51"/>
      <c r="W29" s="52"/>
      <c r="X29" s="91" t="s">
        <v>80</v>
      </c>
      <c r="Y29" s="101">
        <f>1.01*2679.8</f>
        <v>2706.5980000000004</v>
      </c>
      <c r="Z29" s="145"/>
      <c r="AA29" s="109"/>
      <c r="AB29" s="109"/>
      <c r="AC29" s="109"/>
      <c r="AD29" s="109"/>
      <c r="AE29" s="27"/>
      <c r="AF29" s="27"/>
      <c r="AG29" s="27"/>
    </row>
    <row r="30" spans="1:33" s="100" customFormat="1" ht="28">
      <c r="A30" s="95" t="s">
        <v>61</v>
      </c>
      <c r="B30" s="96" t="s">
        <v>4</v>
      </c>
      <c r="C30" s="96" t="s">
        <v>23</v>
      </c>
      <c r="D30" s="96" t="s">
        <v>45</v>
      </c>
      <c r="E30" s="96" t="s">
        <v>46</v>
      </c>
      <c r="F30" s="96" t="s">
        <v>5</v>
      </c>
      <c r="G30" s="96" t="s">
        <v>6</v>
      </c>
      <c r="H30" s="97" t="s">
        <v>7</v>
      </c>
      <c r="I30" s="97" t="s">
        <v>47</v>
      </c>
      <c r="J30" s="97" t="s">
        <v>8</v>
      </c>
      <c r="K30" s="98" t="s">
        <v>13</v>
      </c>
      <c r="L30" s="98" t="s">
        <v>19</v>
      </c>
      <c r="M30" s="98" t="s">
        <v>22</v>
      </c>
      <c r="N30" s="98" t="s">
        <v>20</v>
      </c>
      <c r="O30" s="99" t="s">
        <v>9</v>
      </c>
      <c r="P30" s="99" t="s">
        <v>49</v>
      </c>
      <c r="Q30" s="48" t="s">
        <v>50</v>
      </c>
      <c r="R30" s="48" t="s">
        <v>54</v>
      </c>
      <c r="S30" s="48" t="s">
        <v>64</v>
      </c>
      <c r="T30" s="48" t="s">
        <v>12</v>
      </c>
      <c r="U30" s="48" t="s">
        <v>52</v>
      </c>
      <c r="V30" s="48" t="s">
        <v>48</v>
      </c>
      <c r="W30" s="48" t="s">
        <v>14</v>
      </c>
      <c r="X30" s="53" t="s">
        <v>11</v>
      </c>
      <c r="Y30" s="139" t="s">
        <v>21</v>
      </c>
      <c r="Z30" s="53"/>
      <c r="AA30" s="109"/>
      <c r="AB30" s="109"/>
      <c r="AC30" s="109"/>
      <c r="AD30" s="109"/>
      <c r="AE30" s="27"/>
      <c r="AF30" s="27"/>
      <c r="AG30" s="27"/>
    </row>
    <row r="31" spans="1:33" s="27" customFormat="1" ht="84">
      <c r="A31" s="103" t="s">
        <v>89</v>
      </c>
      <c r="B31" s="120" t="s">
        <v>90</v>
      </c>
      <c r="C31" s="105"/>
      <c r="D31" s="105"/>
      <c r="E31" s="102"/>
      <c r="F31" s="102" t="s">
        <v>68</v>
      </c>
      <c r="G31" s="104">
        <v>22</v>
      </c>
      <c r="H31" s="112">
        <v>245.98000000000002</v>
      </c>
      <c r="I31" s="112">
        <v>29.640000000000004</v>
      </c>
      <c r="J31" s="112"/>
      <c r="K31" s="113">
        <f>H31-I31-J31</f>
        <v>216.34</v>
      </c>
      <c r="L31" s="106" t="s">
        <v>91</v>
      </c>
      <c r="M31" s="106" t="s">
        <v>92</v>
      </c>
      <c r="N31" s="107" t="s">
        <v>93</v>
      </c>
      <c r="O31" s="115">
        <v>7.5</v>
      </c>
      <c r="P31" s="124">
        <v>148.07500000000002</v>
      </c>
      <c r="Q31" s="38">
        <f>G31*0.5</f>
        <v>11</v>
      </c>
      <c r="R31" s="38"/>
      <c r="S31" s="38">
        <f>G31*0.035*(3+3+3+3+2+2)</f>
        <v>12.32</v>
      </c>
      <c r="T31" s="38"/>
      <c r="U31" s="38">
        <f t="shared" ref="U31:U34" si="32">IF(RIGHT(F31,2)="WG",K31*$AA$4,IF(OR(RIGHT(F31,3)="WRG",RIGHT(F31,3)="WYG",RIGHT(F31,3)="WYR"),K31*$AA$4+3*G31,0))</f>
        <v>51.921599999999998</v>
      </c>
      <c r="V31" s="38"/>
      <c r="W31" s="38">
        <f>G31*(3*5+3*4+3*3.75+3*4.5+2*2.5+2*1.5)</f>
        <v>1314.5</v>
      </c>
      <c r="X31" s="38">
        <f t="shared" ref="X31:X34" si="33">K31*O31</f>
        <v>1622.55</v>
      </c>
      <c r="Y31" s="38">
        <f>$Y$29/31.1035*K31*IF(LEFT(F31,3)="10K",0.417*1.07,IF(LEFT(F31,3)="14K",0.585*1.05,IF(LEFT(F31,3)="18K",0.75*1.05,0)))</f>
        <v>11563.691189200896</v>
      </c>
      <c r="Z31" s="116"/>
      <c r="AA31" s="109">
        <f t="shared" ref="AA31:AA34" si="34">2*K31</f>
        <v>432.68</v>
      </c>
      <c r="AB31" s="109">
        <f t="shared" ref="AB31:AB34" si="35">(SUM(Q31:W31)+AG31)-AA31</f>
        <v>2579.6116000000002</v>
      </c>
      <c r="AC31" s="109">
        <f t="shared" ref="AC31:AC34" si="36">AE31*$AC$13+P31*$AC$14</f>
        <v>34323.031340000001</v>
      </c>
      <c r="AD31" s="109">
        <f t="shared" ref="AD31:AD34" si="37">SUM(AB31:AC31)</f>
        <v>36902.642940000005</v>
      </c>
      <c r="AE31" s="27">
        <f t="shared" ref="AE31:AE34" si="38">IF(LEFT(F31,3)="10K",(0.417*1.07*K31),IF(LEFT(F31,3)="14K",(0.585*1.05*K31),IF(LEFT(F31,3)="18K",(0.75*1.05*K31),0)))</f>
        <v>132.88684499999999</v>
      </c>
      <c r="AG31" s="27">
        <f t="shared" si="21"/>
        <v>1622.55</v>
      </c>
    </row>
    <row r="32" spans="1:33" s="27" customFormat="1" ht="84">
      <c r="A32" s="119">
        <v>27</v>
      </c>
      <c r="B32" s="120" t="s">
        <v>90</v>
      </c>
      <c r="C32" s="121"/>
      <c r="D32" s="121"/>
      <c r="E32" s="120"/>
      <c r="F32" s="120" t="s">
        <v>69</v>
      </c>
      <c r="G32" s="122">
        <v>15</v>
      </c>
      <c r="H32" s="112">
        <v>167.26</v>
      </c>
      <c r="I32" s="123">
        <v>20.3</v>
      </c>
      <c r="J32" s="123"/>
      <c r="K32" s="113">
        <f t="shared" ref="K32:K34" si="39">H32-I32-J32</f>
        <v>146.95999999999998</v>
      </c>
      <c r="L32" s="106" t="s">
        <v>91</v>
      </c>
      <c r="M32" s="106" t="s">
        <v>92</v>
      </c>
      <c r="N32" s="107" t="s">
        <v>93</v>
      </c>
      <c r="O32" s="115">
        <v>7.5</v>
      </c>
      <c r="P32" s="124">
        <v>101.47</v>
      </c>
      <c r="Q32" s="38">
        <f>G32*0.5</f>
        <v>7.5</v>
      </c>
      <c r="R32" s="38"/>
      <c r="S32" s="38">
        <f>G32*0.035*(3+3+3+3+2+2)</f>
        <v>8.4</v>
      </c>
      <c r="T32" s="38"/>
      <c r="U32" s="38">
        <f t="shared" si="32"/>
        <v>0</v>
      </c>
      <c r="V32" s="38"/>
      <c r="W32" s="38">
        <f>G32*(3*5+3*4+3*3.75+3*4.5+2*2.5+2*1.5)</f>
        <v>896.25</v>
      </c>
      <c r="X32" s="38">
        <f t="shared" si="33"/>
        <v>1102.1999999999998</v>
      </c>
      <c r="Y32" s="38">
        <f t="shared" ref="Y32:Y34" si="40">$Y$29/31.1035*K32*IF(LEFT(F32,3)="10K",0.417*1.07,IF(LEFT(F32,3)="14K",0.585*1.05,IF(LEFT(F32,3)="18K",0.75*1.05,0)))</f>
        <v>7855.228146274213</v>
      </c>
      <c r="Z32" s="116"/>
      <c r="AA32" s="109">
        <f t="shared" si="34"/>
        <v>293.91999999999996</v>
      </c>
      <c r="AB32" s="109">
        <f t="shared" si="35"/>
        <v>1720.4299999999998</v>
      </c>
      <c r="AC32" s="109">
        <f t="shared" si="36"/>
        <v>23463.207559999999</v>
      </c>
      <c r="AD32" s="109">
        <f t="shared" si="37"/>
        <v>25183.637559999999</v>
      </c>
      <c r="AE32" s="27">
        <f t="shared" si="38"/>
        <v>90.270179999999982</v>
      </c>
      <c r="AG32" s="27">
        <f t="shared" si="21"/>
        <v>1102.1999999999998</v>
      </c>
    </row>
    <row r="33" spans="1:33" s="27" customFormat="1" ht="84">
      <c r="A33" s="119">
        <v>28</v>
      </c>
      <c r="B33" s="120" t="s">
        <v>94</v>
      </c>
      <c r="C33" s="121"/>
      <c r="D33" s="121"/>
      <c r="E33" s="120"/>
      <c r="F33" s="102" t="s">
        <v>68</v>
      </c>
      <c r="G33" s="122">
        <v>11</v>
      </c>
      <c r="H33" s="112">
        <v>152.02000000000001</v>
      </c>
      <c r="I33" s="123">
        <v>22.610000000000003</v>
      </c>
      <c r="J33" s="123"/>
      <c r="K33" s="113">
        <f t="shared" si="39"/>
        <v>129.41</v>
      </c>
      <c r="L33" s="106" t="s">
        <v>95</v>
      </c>
      <c r="M33" s="106" t="s">
        <v>92</v>
      </c>
      <c r="N33" s="107" t="s">
        <v>96</v>
      </c>
      <c r="O33" s="115">
        <v>7.5</v>
      </c>
      <c r="P33" s="124">
        <v>113.01</v>
      </c>
      <c r="Q33" s="38">
        <f>G33*0.5</f>
        <v>5.5</v>
      </c>
      <c r="R33" s="38"/>
      <c r="S33" s="38">
        <f>G33*0.035*(3+3+3+2+3+3)</f>
        <v>6.5449999999999999</v>
      </c>
      <c r="T33" s="38"/>
      <c r="U33" s="38">
        <f t="shared" si="32"/>
        <v>31.058399999999999</v>
      </c>
      <c r="V33" s="38"/>
      <c r="W33" s="38">
        <f>G33*(3*5.5+3*4+3*3.75+2*4.5+3*2.5+3*3.5)</f>
        <v>734.25</v>
      </c>
      <c r="X33" s="38">
        <f t="shared" si="33"/>
        <v>970.57499999999993</v>
      </c>
      <c r="Y33" s="38">
        <f t="shared" si="40"/>
        <v>6917.1548340320223</v>
      </c>
      <c r="Z33" s="116"/>
      <c r="AA33" s="109">
        <f t="shared" si="34"/>
        <v>258.82</v>
      </c>
      <c r="AB33" s="109">
        <f t="shared" si="35"/>
        <v>1489.1083999999998</v>
      </c>
      <c r="AC33" s="109">
        <f t="shared" si="36"/>
        <v>24616.298459999998</v>
      </c>
      <c r="AD33" s="109">
        <f t="shared" si="37"/>
        <v>26105.406859999999</v>
      </c>
      <c r="AE33" s="27">
        <f t="shared" si="38"/>
        <v>79.490092499999989</v>
      </c>
      <c r="AG33" s="27">
        <f t="shared" si="21"/>
        <v>970.57499999999993</v>
      </c>
    </row>
    <row r="34" spans="1:33" s="27" customFormat="1" ht="84.5" thickBot="1">
      <c r="A34" s="119">
        <v>28</v>
      </c>
      <c r="B34" s="120" t="s">
        <v>94</v>
      </c>
      <c r="C34" s="121"/>
      <c r="D34" s="121"/>
      <c r="E34" s="120"/>
      <c r="F34" s="120" t="s">
        <v>69</v>
      </c>
      <c r="G34" s="122">
        <v>2</v>
      </c>
      <c r="H34" s="112">
        <v>27.52</v>
      </c>
      <c r="I34" s="123">
        <v>4.16</v>
      </c>
      <c r="J34" s="123"/>
      <c r="K34" s="113">
        <f t="shared" si="39"/>
        <v>23.36</v>
      </c>
      <c r="L34" s="106" t="s">
        <v>95</v>
      </c>
      <c r="M34" s="106" t="s">
        <v>92</v>
      </c>
      <c r="N34" s="107" t="s">
        <v>96</v>
      </c>
      <c r="O34" s="115">
        <v>7.5</v>
      </c>
      <c r="P34" s="124">
        <v>20.79</v>
      </c>
      <c r="Q34" s="38">
        <f>G34*0.5</f>
        <v>1</v>
      </c>
      <c r="R34" s="38"/>
      <c r="S34" s="38">
        <f>G34*0.035*(3+3+3+2+3+3)</f>
        <v>1.1900000000000002</v>
      </c>
      <c r="T34" s="38"/>
      <c r="U34" s="38">
        <f t="shared" si="32"/>
        <v>0</v>
      </c>
      <c r="V34" s="38"/>
      <c r="W34" s="38">
        <f>G34*(3*5.5+3*4+3*3.75+2*4.5+3*2.5+3*3.5)</f>
        <v>133.5</v>
      </c>
      <c r="X34" s="38">
        <f t="shared" si="33"/>
        <v>175.2</v>
      </c>
      <c r="Y34" s="38">
        <f t="shared" si="40"/>
        <v>1248.6263574916006</v>
      </c>
      <c r="Z34" s="116"/>
      <c r="AA34" s="109">
        <f t="shared" si="34"/>
        <v>46.72</v>
      </c>
      <c r="AB34" s="109">
        <f t="shared" si="35"/>
        <v>264.16999999999996</v>
      </c>
      <c r="AC34" s="109">
        <f t="shared" si="36"/>
        <v>4508.7915599999997</v>
      </c>
      <c r="AD34" s="109">
        <f t="shared" si="37"/>
        <v>4772.9615599999997</v>
      </c>
      <c r="AE34" s="27">
        <f t="shared" si="38"/>
        <v>14.348879999999999</v>
      </c>
      <c r="AG34" s="27">
        <f t="shared" si="21"/>
        <v>175.2</v>
      </c>
    </row>
    <row r="35" spans="1:33" s="28" customFormat="1" ht="15.9" customHeight="1">
      <c r="A35" s="94" t="s">
        <v>60</v>
      </c>
      <c r="B35" s="72"/>
      <c r="C35" s="72"/>
      <c r="D35" s="72"/>
      <c r="E35" s="72"/>
      <c r="F35" s="72"/>
      <c r="G35" s="73">
        <f>SUM(G31:G34)</f>
        <v>50</v>
      </c>
      <c r="H35" s="114"/>
      <c r="I35" s="114"/>
      <c r="J35" s="114"/>
      <c r="K35" s="114">
        <f>SUM(K31:K34)</f>
        <v>516.06999999999994</v>
      </c>
      <c r="L35" s="74"/>
      <c r="M35" s="74"/>
      <c r="N35" s="74"/>
      <c r="O35" s="75"/>
      <c r="P35" s="125">
        <f t="shared" ref="P35:Y35" si="41">SUM(P31:P34)</f>
        <v>383.34500000000003</v>
      </c>
      <c r="Q35" s="76">
        <f t="shared" si="41"/>
        <v>25</v>
      </c>
      <c r="R35" s="76">
        <f t="shared" si="41"/>
        <v>0</v>
      </c>
      <c r="S35" s="76">
        <f t="shared" si="41"/>
        <v>28.455000000000002</v>
      </c>
      <c r="T35" s="76">
        <f t="shared" si="41"/>
        <v>0</v>
      </c>
      <c r="U35" s="76">
        <f t="shared" si="41"/>
        <v>82.97999999999999</v>
      </c>
      <c r="V35" s="76">
        <f t="shared" si="41"/>
        <v>0</v>
      </c>
      <c r="W35" s="76">
        <f t="shared" si="41"/>
        <v>3078.5</v>
      </c>
      <c r="X35" s="76">
        <f t="shared" si="41"/>
        <v>3870.5249999999996</v>
      </c>
      <c r="Y35" s="76">
        <f t="shared" si="41"/>
        <v>27584.700526998731</v>
      </c>
      <c r="Z35" s="117"/>
      <c r="AA35" s="109"/>
      <c r="AB35" s="109"/>
      <c r="AC35" s="109"/>
      <c r="AD35" s="109"/>
      <c r="AE35" s="27"/>
      <c r="AF35" s="27"/>
      <c r="AG35" s="27"/>
    </row>
    <row r="36" spans="1:33" ht="15.9" customHeight="1">
      <c r="A36" s="56" t="s">
        <v>74</v>
      </c>
      <c r="K36" s="51"/>
      <c r="L36" s="51"/>
      <c r="M36" s="51"/>
      <c r="N36" s="51"/>
      <c r="W36" s="52"/>
      <c r="X36" s="91" t="s">
        <v>80</v>
      </c>
      <c r="Y36" s="101">
        <f>1.01*2679.8</f>
        <v>2706.5980000000004</v>
      </c>
      <c r="Z36" s="145"/>
      <c r="AA36" s="109"/>
      <c r="AB36" s="109"/>
      <c r="AC36" s="109"/>
      <c r="AD36" s="109"/>
      <c r="AE36" s="27"/>
      <c r="AF36" s="27"/>
      <c r="AG36" s="27"/>
    </row>
    <row r="37" spans="1:33" s="100" customFormat="1" ht="28">
      <c r="A37" s="95" t="s">
        <v>61</v>
      </c>
      <c r="B37" s="96" t="s">
        <v>4</v>
      </c>
      <c r="C37" s="96" t="s">
        <v>23</v>
      </c>
      <c r="D37" s="96" t="s">
        <v>45</v>
      </c>
      <c r="E37" s="96" t="s">
        <v>46</v>
      </c>
      <c r="F37" s="96" t="s">
        <v>5</v>
      </c>
      <c r="G37" s="96" t="s">
        <v>6</v>
      </c>
      <c r="H37" s="97" t="s">
        <v>7</v>
      </c>
      <c r="I37" s="97" t="s">
        <v>47</v>
      </c>
      <c r="J37" s="97" t="s">
        <v>8</v>
      </c>
      <c r="K37" s="98" t="s">
        <v>13</v>
      </c>
      <c r="L37" s="98" t="s">
        <v>19</v>
      </c>
      <c r="M37" s="98" t="s">
        <v>22</v>
      </c>
      <c r="N37" s="98" t="s">
        <v>20</v>
      </c>
      <c r="O37" s="99" t="s">
        <v>9</v>
      </c>
      <c r="P37" s="99" t="s">
        <v>49</v>
      </c>
      <c r="Q37" s="48" t="s">
        <v>50</v>
      </c>
      <c r="R37" s="48" t="s">
        <v>54</v>
      </c>
      <c r="S37" s="48" t="s">
        <v>64</v>
      </c>
      <c r="T37" s="48" t="s">
        <v>12</v>
      </c>
      <c r="U37" s="48" t="s">
        <v>52</v>
      </c>
      <c r="V37" s="48" t="s">
        <v>48</v>
      </c>
      <c r="W37" s="48" t="s">
        <v>14</v>
      </c>
      <c r="X37" s="53" t="s">
        <v>11</v>
      </c>
      <c r="Y37" s="139" t="s">
        <v>21</v>
      </c>
      <c r="Z37" s="53"/>
      <c r="AA37" s="109"/>
      <c r="AB37" s="109"/>
      <c r="AC37" s="109"/>
      <c r="AD37" s="109"/>
      <c r="AE37" s="27"/>
      <c r="AF37" s="27"/>
      <c r="AG37" s="27"/>
    </row>
    <row r="38" spans="1:33" s="27" customFormat="1" ht="28">
      <c r="A38" s="103" t="s">
        <v>97</v>
      </c>
      <c r="B38" s="120" t="s">
        <v>99</v>
      </c>
      <c r="C38" s="121"/>
      <c r="D38" s="121"/>
      <c r="E38" s="120"/>
      <c r="F38" s="102" t="s">
        <v>68</v>
      </c>
      <c r="G38" s="161">
        <v>1</v>
      </c>
      <c r="H38" s="159">
        <v>2.34</v>
      </c>
      <c r="I38" s="162">
        <v>0.43</v>
      </c>
      <c r="J38" s="162"/>
      <c r="K38" s="160">
        <f t="shared" ref="K38:K40" si="42">H38-I38-J38</f>
        <v>1.91</v>
      </c>
      <c r="L38" s="106" t="s">
        <v>98</v>
      </c>
      <c r="M38" s="106" t="s">
        <v>73</v>
      </c>
      <c r="N38" s="107">
        <v>24</v>
      </c>
      <c r="O38" s="115">
        <v>6.5</v>
      </c>
      <c r="P38" s="124">
        <v>2.14</v>
      </c>
      <c r="Q38" s="38">
        <f t="shared" ref="Q38:Q40" si="43">G38*0.5</f>
        <v>0.5</v>
      </c>
      <c r="R38" s="38"/>
      <c r="S38" s="38">
        <f t="shared" ref="S38:S40" si="44">G38*0.035*N38</f>
        <v>0.84000000000000008</v>
      </c>
      <c r="T38" s="38"/>
      <c r="U38" s="38">
        <f t="shared" ref="U38:U40" si="45">IF(RIGHT(F38,2)="WG",K38*$AA$4,IF(OR(RIGHT(F38,3)="WRG",RIGHT(F38,3)="WYG",RIGHT(F38,3)="WYR"),K38*$AA$4+3*G38,0))</f>
        <v>0.45839999999999997</v>
      </c>
      <c r="V38" s="38"/>
      <c r="W38" s="38">
        <f t="shared" ref="W38" si="46">G38*N38*2.5</f>
        <v>60</v>
      </c>
      <c r="X38" s="38">
        <f t="shared" ref="X38:X40" si="47">K38*O38</f>
        <v>12.414999999999999</v>
      </c>
      <c r="Y38" s="38">
        <f>$Y$36/31.1035*K38*IF(LEFT(F38,3)="10K",0.417*1.07,IF(LEFT(F38,3)="14K",0.585*1.05,IF(LEFT(F38,3)="18K",0.75*1.05,0)))</f>
        <v>102.09230919558892</v>
      </c>
      <c r="Z38" s="116"/>
      <c r="AA38" s="109">
        <f t="shared" ref="AA38:AA40" si="48">2*K38</f>
        <v>3.82</v>
      </c>
      <c r="AB38" s="109">
        <f t="shared" ref="AB38:AB40" si="49">(SUM(Q38:W38)+AG38)-AA38</f>
        <v>70.393400000000014</v>
      </c>
      <c r="AC38" s="109">
        <f t="shared" ref="AC38:AC40" si="50">AE38*$AC$13+P38*$AC$14</f>
        <v>442.23686000000004</v>
      </c>
      <c r="AD38" s="109">
        <f t="shared" ref="AD38:AD40" si="51">SUM(AB38:AC38)</f>
        <v>512.63026000000002</v>
      </c>
      <c r="AE38" s="27">
        <f t="shared" ref="AE38:AE40" si="52">IF(LEFT(F38,3)="10K",(0.417*1.07*K38),IF(LEFT(F38,3)="14K",(0.585*1.05*K38),IF(LEFT(F38,3)="18K",(0.75*1.05*K38),0)))</f>
        <v>1.1732174999999998</v>
      </c>
      <c r="AG38" s="27">
        <f t="shared" si="21"/>
        <v>12.414999999999999</v>
      </c>
    </row>
    <row r="39" spans="1:33" s="27" customFormat="1" ht="28">
      <c r="A39" s="119">
        <v>5</v>
      </c>
      <c r="B39" s="120" t="s">
        <v>101</v>
      </c>
      <c r="C39" s="121"/>
      <c r="D39" s="121"/>
      <c r="E39" s="120"/>
      <c r="F39" s="120" t="s">
        <v>68</v>
      </c>
      <c r="G39" s="161">
        <v>1</v>
      </c>
      <c r="H39" s="159">
        <v>2.67</v>
      </c>
      <c r="I39" s="162">
        <v>0.61</v>
      </c>
      <c r="J39" s="162"/>
      <c r="K39" s="160">
        <f t="shared" si="42"/>
        <v>2.06</v>
      </c>
      <c r="L39" s="106" t="s">
        <v>100</v>
      </c>
      <c r="M39" s="106" t="s">
        <v>73</v>
      </c>
      <c r="N39" s="107">
        <v>20</v>
      </c>
      <c r="O39" s="115">
        <v>6.5</v>
      </c>
      <c r="P39" s="124">
        <v>3.07</v>
      </c>
      <c r="Q39" s="38">
        <f t="shared" si="43"/>
        <v>0.5</v>
      </c>
      <c r="R39" s="38"/>
      <c r="S39" s="38">
        <f t="shared" si="44"/>
        <v>0.70000000000000007</v>
      </c>
      <c r="T39" s="38"/>
      <c r="U39" s="38">
        <f t="shared" si="45"/>
        <v>0.49440000000000001</v>
      </c>
      <c r="V39" s="38"/>
      <c r="W39" s="38">
        <f t="shared" ref="W39:W40" si="53">G39*N39*3.75</f>
        <v>75</v>
      </c>
      <c r="X39" s="38">
        <f t="shared" si="47"/>
        <v>13.39</v>
      </c>
      <c r="Y39" s="38">
        <f t="shared" ref="Y39:Y40" si="54">$Y$36/31.1035*K39*IF(LEFT(F39,3)="10K",0.417*1.07,IF(LEFT(F39,3)="14K",0.585*1.05,IF(LEFT(F39,3)="18K",0.75*1.05,0)))</f>
        <v>110.11002981304355</v>
      </c>
      <c r="Z39" s="116"/>
      <c r="AA39" s="109">
        <f t="shared" si="48"/>
        <v>4.12</v>
      </c>
      <c r="AB39" s="109">
        <f t="shared" si="49"/>
        <v>85.964399999999998</v>
      </c>
      <c r="AC39" s="109">
        <f t="shared" si="50"/>
        <v>604.34816000000001</v>
      </c>
      <c r="AD39" s="109">
        <f t="shared" si="51"/>
        <v>690.31255999999996</v>
      </c>
      <c r="AE39" s="27">
        <f t="shared" si="52"/>
        <v>1.265355</v>
      </c>
      <c r="AG39" s="27">
        <f t="shared" si="21"/>
        <v>13.39</v>
      </c>
    </row>
    <row r="40" spans="1:33" s="27" customFormat="1" ht="28.5" thickBot="1">
      <c r="A40" s="119">
        <v>6</v>
      </c>
      <c r="B40" s="120" t="s">
        <v>102</v>
      </c>
      <c r="C40" s="121"/>
      <c r="D40" s="121"/>
      <c r="E40" s="120"/>
      <c r="F40" s="120" t="s">
        <v>68</v>
      </c>
      <c r="G40" s="161">
        <v>1</v>
      </c>
      <c r="H40" s="159">
        <v>2.76</v>
      </c>
      <c r="I40" s="162">
        <v>0.57999999999999996</v>
      </c>
      <c r="J40" s="162"/>
      <c r="K40" s="160">
        <f t="shared" si="42"/>
        <v>2.1799999999999997</v>
      </c>
      <c r="L40" s="106" t="s">
        <v>100</v>
      </c>
      <c r="M40" s="106" t="s">
        <v>73</v>
      </c>
      <c r="N40" s="107">
        <v>20</v>
      </c>
      <c r="O40" s="115">
        <v>6.5</v>
      </c>
      <c r="P40" s="124">
        <v>2.8849999999999998</v>
      </c>
      <c r="Q40" s="38">
        <f t="shared" si="43"/>
        <v>0.5</v>
      </c>
      <c r="R40" s="38"/>
      <c r="S40" s="38">
        <f t="shared" si="44"/>
        <v>0.70000000000000007</v>
      </c>
      <c r="T40" s="38"/>
      <c r="U40" s="38">
        <f t="shared" si="45"/>
        <v>0.52319999999999989</v>
      </c>
      <c r="V40" s="38"/>
      <c r="W40" s="38">
        <f t="shared" si="53"/>
        <v>75</v>
      </c>
      <c r="X40" s="38">
        <f t="shared" si="47"/>
        <v>14.169999999999998</v>
      </c>
      <c r="Y40" s="38">
        <f t="shared" si="54"/>
        <v>116.52420630700725</v>
      </c>
      <c r="Z40" s="116"/>
      <c r="AA40" s="109">
        <f t="shared" si="48"/>
        <v>4.3599999999999994</v>
      </c>
      <c r="AB40" s="109">
        <f t="shared" si="49"/>
        <v>86.533200000000008</v>
      </c>
      <c r="AC40" s="109">
        <f t="shared" si="50"/>
        <v>578.72698000000003</v>
      </c>
      <c r="AD40" s="109">
        <f t="shared" si="51"/>
        <v>665.26017999999999</v>
      </c>
      <c r="AE40" s="27">
        <f t="shared" si="52"/>
        <v>1.3390649999999997</v>
      </c>
      <c r="AG40" s="27">
        <f t="shared" si="21"/>
        <v>14.169999999999998</v>
      </c>
    </row>
    <row r="41" spans="1:33" s="28" customFormat="1" ht="15.9" customHeight="1">
      <c r="A41" s="94" t="s">
        <v>60</v>
      </c>
      <c r="B41" s="72"/>
      <c r="C41" s="72"/>
      <c r="D41" s="72"/>
      <c r="E41" s="72"/>
      <c r="F41" s="72"/>
      <c r="G41" s="163">
        <f>SUM(G38:G40)</f>
        <v>3</v>
      </c>
      <c r="H41" s="164"/>
      <c r="I41" s="164"/>
      <c r="J41" s="164"/>
      <c r="K41" s="164">
        <f>SUM(K38:K40)</f>
        <v>6.1499999999999995</v>
      </c>
      <c r="L41" s="74"/>
      <c r="M41" s="74"/>
      <c r="N41" s="74"/>
      <c r="O41" s="75"/>
      <c r="P41" s="125">
        <f t="shared" ref="P41:Y41" si="55">SUM(P38:P40)</f>
        <v>8.0949999999999989</v>
      </c>
      <c r="Q41" s="76">
        <f t="shared" si="55"/>
        <v>1.5</v>
      </c>
      <c r="R41" s="76">
        <f t="shared" si="55"/>
        <v>0</v>
      </c>
      <c r="S41" s="76">
        <f t="shared" si="55"/>
        <v>2.2400000000000002</v>
      </c>
      <c r="T41" s="76">
        <f t="shared" si="55"/>
        <v>0</v>
      </c>
      <c r="U41" s="76">
        <f t="shared" si="55"/>
        <v>1.476</v>
      </c>
      <c r="V41" s="76">
        <f t="shared" si="55"/>
        <v>0</v>
      </c>
      <c r="W41" s="76">
        <f t="shared" si="55"/>
        <v>210</v>
      </c>
      <c r="X41" s="76">
        <f t="shared" si="55"/>
        <v>39.974999999999994</v>
      </c>
      <c r="Y41" s="76">
        <f t="shared" si="55"/>
        <v>328.72654531563973</v>
      </c>
      <c r="Z41" s="117"/>
      <c r="AA41" s="109"/>
      <c r="AB41" s="109"/>
      <c r="AC41" s="109"/>
      <c r="AD41" s="109"/>
      <c r="AE41" s="27"/>
      <c r="AF41" s="27"/>
      <c r="AG41" s="27"/>
    </row>
    <row r="42" spans="1:33" ht="15.9" customHeight="1">
      <c r="A42" s="56" t="s">
        <v>74</v>
      </c>
      <c r="K42" s="51"/>
      <c r="L42" s="51"/>
      <c r="M42" s="51"/>
      <c r="N42" s="51"/>
      <c r="W42" s="52"/>
      <c r="X42" s="91" t="s">
        <v>80</v>
      </c>
      <c r="Y42" s="101">
        <f>1.01*2679.8</f>
        <v>2706.5980000000004</v>
      </c>
      <c r="Z42" s="145"/>
      <c r="AA42" s="109"/>
      <c r="AB42" s="109"/>
      <c r="AC42" s="109"/>
      <c r="AD42" s="109"/>
      <c r="AE42" s="27"/>
      <c r="AF42" s="27"/>
      <c r="AG42" s="27"/>
    </row>
    <row r="43" spans="1:33" s="100" customFormat="1" ht="28">
      <c r="A43" s="95" t="s">
        <v>61</v>
      </c>
      <c r="B43" s="96" t="s">
        <v>4</v>
      </c>
      <c r="C43" s="96" t="s">
        <v>23</v>
      </c>
      <c r="D43" s="96" t="s">
        <v>45</v>
      </c>
      <c r="E43" s="96" t="s">
        <v>46</v>
      </c>
      <c r="F43" s="96" t="s">
        <v>5</v>
      </c>
      <c r="G43" s="96" t="s">
        <v>6</v>
      </c>
      <c r="H43" s="97" t="s">
        <v>7</v>
      </c>
      <c r="I43" s="97" t="s">
        <v>47</v>
      </c>
      <c r="J43" s="97" t="s">
        <v>8</v>
      </c>
      <c r="K43" s="98" t="s">
        <v>13</v>
      </c>
      <c r="L43" s="98" t="s">
        <v>19</v>
      </c>
      <c r="M43" s="98" t="s">
        <v>22</v>
      </c>
      <c r="N43" s="98" t="s">
        <v>20</v>
      </c>
      <c r="O43" s="99" t="s">
        <v>9</v>
      </c>
      <c r="P43" s="99" t="s">
        <v>49</v>
      </c>
      <c r="Q43" s="48" t="s">
        <v>50</v>
      </c>
      <c r="R43" s="48" t="s">
        <v>54</v>
      </c>
      <c r="S43" s="48" t="s">
        <v>64</v>
      </c>
      <c r="T43" s="48" t="s">
        <v>12</v>
      </c>
      <c r="U43" s="48" t="s">
        <v>52</v>
      </c>
      <c r="V43" s="48" t="s">
        <v>48</v>
      </c>
      <c r="W43" s="48" t="s">
        <v>14</v>
      </c>
      <c r="X43" s="53" t="s">
        <v>11</v>
      </c>
      <c r="Y43" s="139" t="s">
        <v>21</v>
      </c>
      <c r="Z43" s="53"/>
      <c r="AA43" s="109"/>
      <c r="AB43" s="109"/>
      <c r="AC43" s="109"/>
      <c r="AD43" s="109"/>
      <c r="AE43" s="27"/>
      <c r="AF43" s="27"/>
      <c r="AG43" s="27"/>
    </row>
    <row r="44" spans="1:33" s="27" customFormat="1" ht="28">
      <c r="A44" s="103" t="s">
        <v>103</v>
      </c>
      <c r="B44" s="120" t="s">
        <v>104</v>
      </c>
      <c r="C44" s="121"/>
      <c r="D44" s="121"/>
      <c r="E44" s="120"/>
      <c r="F44" s="102" t="s">
        <v>68</v>
      </c>
      <c r="G44" s="161">
        <v>10</v>
      </c>
      <c r="H44" s="159">
        <v>28.32</v>
      </c>
      <c r="I44" s="162">
        <v>2.41</v>
      </c>
      <c r="J44" s="162"/>
      <c r="K44" s="160">
        <f t="shared" ref="K44:K47" si="56">H44-I44-J44</f>
        <v>25.91</v>
      </c>
      <c r="L44" s="106" t="s">
        <v>105</v>
      </c>
      <c r="M44" s="106" t="s">
        <v>73</v>
      </c>
      <c r="N44" s="107">
        <v>5</v>
      </c>
      <c r="O44" s="115">
        <v>6.5</v>
      </c>
      <c r="P44" s="124">
        <v>11.98</v>
      </c>
      <c r="Q44" s="38">
        <f t="shared" ref="Q44:Q47" si="57">G44*0.5</f>
        <v>5</v>
      </c>
      <c r="R44" s="38"/>
      <c r="S44" s="38">
        <f t="shared" ref="S44:S47" si="58">G44*0.035*N44</f>
        <v>1.7500000000000002</v>
      </c>
      <c r="T44" s="38"/>
      <c r="U44" s="38">
        <f t="shared" ref="U44:U47" si="59">IF(RIGHT(F44,2)="WG",K44*$AA$4,IF(OR(RIGHT(F44,3)="WRG",RIGHT(F44,3)="WYG",RIGHT(F44,3)="WYR"),K44*$AA$4+3*G44,0))</f>
        <v>6.2183999999999999</v>
      </c>
      <c r="V44" s="38"/>
      <c r="W44" s="38">
        <f>G44*N44*3.75</f>
        <v>187.5</v>
      </c>
      <c r="X44" s="38">
        <f t="shared" ref="X44:X47" si="60">K44*O44</f>
        <v>168.41499999999999</v>
      </c>
      <c r="Y44" s="38">
        <f>$Y$42/31.1035*K44*IF(LEFT(F44,3)="10K",0.417*1.07,IF(LEFT(F44,3)="14K",0.585*1.05,IF(LEFT(F44,3)="18K",0.75*1.05,0)))</f>
        <v>1384.9276079883293</v>
      </c>
      <c r="Z44" s="116"/>
      <c r="AA44" s="109">
        <f t="shared" ref="AA44:AA47" si="61">2*K44</f>
        <v>51.82</v>
      </c>
      <c r="AB44" s="109">
        <f t="shared" ref="AB44:AB47" si="62">(SUM(Q44:W44)+AG44)-AA44</f>
        <v>317.0634</v>
      </c>
      <c r="AC44" s="109">
        <f t="shared" ref="AC44:AC47" si="63">AE44*$AC$13+P44*$AC$14</f>
        <v>3148.7120599999998</v>
      </c>
      <c r="AD44" s="109">
        <f t="shared" ref="AD44:AD47" si="64">SUM(AB44:AC44)</f>
        <v>3465.7754599999998</v>
      </c>
      <c r="AE44" s="27">
        <f t="shared" ref="AE44:AE47" si="65">IF(LEFT(F44,3)="10K",(0.417*1.07*K44),IF(LEFT(F44,3)="14K",(0.585*1.05*K44),IF(LEFT(F44,3)="18K",(0.75*1.05*K44),0)))</f>
        <v>15.915217499999999</v>
      </c>
      <c r="AG44" s="27">
        <f t="shared" si="21"/>
        <v>168.41499999999999</v>
      </c>
    </row>
    <row r="45" spans="1:33" s="27" customFormat="1" ht="28">
      <c r="A45" s="119">
        <v>13</v>
      </c>
      <c r="B45" s="120" t="s">
        <v>104</v>
      </c>
      <c r="C45" s="121"/>
      <c r="D45" s="121"/>
      <c r="E45" s="120"/>
      <c r="F45" s="120" t="s">
        <v>69</v>
      </c>
      <c r="G45" s="161">
        <v>7</v>
      </c>
      <c r="H45" s="159">
        <v>19.079999999999998</v>
      </c>
      <c r="I45" s="162">
        <v>1.67</v>
      </c>
      <c r="J45" s="162"/>
      <c r="K45" s="160">
        <f t="shared" si="56"/>
        <v>17.409999999999997</v>
      </c>
      <c r="L45" s="106" t="s">
        <v>105</v>
      </c>
      <c r="M45" s="106" t="s">
        <v>73</v>
      </c>
      <c r="N45" s="107">
        <v>5</v>
      </c>
      <c r="O45" s="115">
        <v>6.5</v>
      </c>
      <c r="P45" s="124">
        <v>8.2949999999999999</v>
      </c>
      <c r="Q45" s="38">
        <f t="shared" si="57"/>
        <v>3.5</v>
      </c>
      <c r="R45" s="38"/>
      <c r="S45" s="38">
        <f t="shared" si="58"/>
        <v>1.2250000000000001</v>
      </c>
      <c r="T45" s="38"/>
      <c r="U45" s="38">
        <f t="shared" si="59"/>
        <v>0</v>
      </c>
      <c r="V45" s="38"/>
      <c r="W45" s="38">
        <f>G45*N45*3.75</f>
        <v>131.25</v>
      </c>
      <c r="X45" s="38">
        <f t="shared" si="60"/>
        <v>113.16499999999998</v>
      </c>
      <c r="Y45" s="38">
        <f t="shared" ref="Y45:Y47" si="66">$Y$42/31.1035*K45*IF(LEFT(F45,3)="10K",0.417*1.07,IF(LEFT(F45,3)="14K",0.585*1.05,IF(LEFT(F45,3)="18K",0.75*1.05,0)))</f>
        <v>930.59010633256696</v>
      </c>
      <c r="Z45" s="116"/>
      <c r="AA45" s="109">
        <f t="shared" si="61"/>
        <v>34.819999999999993</v>
      </c>
      <c r="AB45" s="109">
        <f t="shared" si="62"/>
        <v>214.32</v>
      </c>
      <c r="AC45" s="109">
        <f t="shared" si="63"/>
        <v>2156.7327599999999</v>
      </c>
      <c r="AD45" s="109">
        <f t="shared" si="64"/>
        <v>2371.05276</v>
      </c>
      <c r="AE45" s="27">
        <f t="shared" si="65"/>
        <v>10.694092499999996</v>
      </c>
      <c r="AG45" s="27">
        <f t="shared" si="21"/>
        <v>113.16499999999998</v>
      </c>
    </row>
    <row r="46" spans="1:33" s="27" customFormat="1" ht="28">
      <c r="A46" s="119">
        <v>14</v>
      </c>
      <c r="B46" s="120" t="s">
        <v>106</v>
      </c>
      <c r="C46" s="121"/>
      <c r="D46" s="121"/>
      <c r="E46" s="120"/>
      <c r="F46" s="102" t="s">
        <v>68</v>
      </c>
      <c r="G46" s="161">
        <v>3</v>
      </c>
      <c r="H46" s="159">
        <v>9.73</v>
      </c>
      <c r="I46" s="162">
        <v>1.24</v>
      </c>
      <c r="J46" s="162"/>
      <c r="K46" s="160">
        <f t="shared" si="56"/>
        <v>8.49</v>
      </c>
      <c r="L46" s="106" t="s">
        <v>107</v>
      </c>
      <c r="M46" s="106" t="s">
        <v>73</v>
      </c>
      <c r="N46" s="107">
        <v>5</v>
      </c>
      <c r="O46" s="115">
        <v>6.5</v>
      </c>
      <c r="P46" s="124">
        <v>6.2249999999999996</v>
      </c>
      <c r="Q46" s="38">
        <f t="shared" si="57"/>
        <v>1.5</v>
      </c>
      <c r="R46" s="38"/>
      <c r="S46" s="38">
        <f t="shared" si="58"/>
        <v>0.52500000000000002</v>
      </c>
      <c r="T46" s="38"/>
      <c r="U46" s="38">
        <f t="shared" si="59"/>
        <v>2.0375999999999999</v>
      </c>
      <c r="V46" s="38"/>
      <c r="W46" s="38">
        <f>G46*N46*4</f>
        <v>60</v>
      </c>
      <c r="X46" s="38">
        <f t="shared" si="60"/>
        <v>55.185000000000002</v>
      </c>
      <c r="Y46" s="38">
        <f t="shared" si="66"/>
        <v>453.80298694793197</v>
      </c>
      <c r="Z46" s="116"/>
      <c r="AA46" s="109">
        <f t="shared" si="61"/>
        <v>16.98</v>
      </c>
      <c r="AB46" s="109">
        <f t="shared" si="62"/>
        <v>102.2676</v>
      </c>
      <c r="AC46" s="109">
        <f t="shared" si="63"/>
        <v>1416.1742400000001</v>
      </c>
      <c r="AD46" s="109">
        <f t="shared" si="64"/>
        <v>1518.44184</v>
      </c>
      <c r="AE46" s="27">
        <f t="shared" si="65"/>
        <v>5.2149824999999996</v>
      </c>
      <c r="AG46" s="27">
        <f t="shared" si="21"/>
        <v>55.185000000000002</v>
      </c>
    </row>
    <row r="47" spans="1:33" s="27" customFormat="1" ht="28.5" thickBot="1">
      <c r="A47" s="119">
        <v>14</v>
      </c>
      <c r="B47" s="120" t="s">
        <v>106</v>
      </c>
      <c r="C47" s="121"/>
      <c r="D47" s="121"/>
      <c r="E47" s="120"/>
      <c r="F47" s="120" t="s">
        <v>69</v>
      </c>
      <c r="G47" s="161">
        <v>1</v>
      </c>
      <c r="H47" s="159">
        <v>3.11</v>
      </c>
      <c r="I47" s="162">
        <v>0.41</v>
      </c>
      <c r="J47" s="162"/>
      <c r="K47" s="160">
        <f t="shared" si="56"/>
        <v>2.6999999999999997</v>
      </c>
      <c r="L47" s="106" t="s">
        <v>107</v>
      </c>
      <c r="M47" s="106" t="s">
        <v>73</v>
      </c>
      <c r="N47" s="107">
        <v>5</v>
      </c>
      <c r="O47" s="115">
        <v>6.5</v>
      </c>
      <c r="P47" s="124">
        <v>2.0649999999999999</v>
      </c>
      <c r="Q47" s="38">
        <f t="shared" si="57"/>
        <v>0.5</v>
      </c>
      <c r="R47" s="38"/>
      <c r="S47" s="38">
        <f t="shared" si="58"/>
        <v>0.17500000000000002</v>
      </c>
      <c r="T47" s="38"/>
      <c r="U47" s="38">
        <f t="shared" si="59"/>
        <v>0</v>
      </c>
      <c r="V47" s="38"/>
      <c r="W47" s="38">
        <f>G47*N47*4</f>
        <v>20</v>
      </c>
      <c r="X47" s="38">
        <f t="shared" si="60"/>
        <v>17.549999999999997</v>
      </c>
      <c r="Y47" s="38">
        <f t="shared" si="66"/>
        <v>144.31897111418328</v>
      </c>
      <c r="Z47" s="116"/>
      <c r="AA47" s="109">
        <f t="shared" si="61"/>
        <v>5.3999999999999995</v>
      </c>
      <c r="AB47" s="109">
        <f t="shared" si="62"/>
        <v>32.824999999999996</v>
      </c>
      <c r="AC47" s="109">
        <f t="shared" si="63"/>
        <v>464.63689999999997</v>
      </c>
      <c r="AD47" s="109">
        <f t="shared" si="64"/>
        <v>497.46189999999996</v>
      </c>
      <c r="AE47" s="27">
        <f t="shared" si="65"/>
        <v>1.6584749999999997</v>
      </c>
      <c r="AG47" s="27">
        <f t="shared" si="21"/>
        <v>17.549999999999997</v>
      </c>
    </row>
    <row r="48" spans="1:33" s="28" customFormat="1" ht="15.9" customHeight="1">
      <c r="A48" s="94" t="s">
        <v>60</v>
      </c>
      <c r="B48" s="72"/>
      <c r="C48" s="72"/>
      <c r="D48" s="72"/>
      <c r="E48" s="72"/>
      <c r="F48" s="72"/>
      <c r="G48" s="163">
        <f>SUM(G44:G47)</f>
        <v>21</v>
      </c>
      <c r="H48" s="164"/>
      <c r="I48" s="164"/>
      <c r="J48" s="164"/>
      <c r="K48" s="164">
        <f>SUM(K44:K47)</f>
        <v>54.51</v>
      </c>
      <c r="L48" s="74"/>
      <c r="M48" s="74"/>
      <c r="N48" s="74"/>
      <c r="O48" s="75"/>
      <c r="P48" s="125">
        <f t="shared" ref="P48:Y48" si="67">SUM(P44:P47)</f>
        <v>28.565000000000001</v>
      </c>
      <c r="Q48" s="76">
        <f t="shared" si="67"/>
        <v>10.5</v>
      </c>
      <c r="R48" s="76">
        <f t="shared" si="67"/>
        <v>0</v>
      </c>
      <c r="S48" s="76">
        <f t="shared" si="67"/>
        <v>3.6750000000000003</v>
      </c>
      <c r="T48" s="76">
        <f t="shared" si="67"/>
        <v>0</v>
      </c>
      <c r="U48" s="76">
        <f t="shared" si="67"/>
        <v>8.2560000000000002</v>
      </c>
      <c r="V48" s="76">
        <f t="shared" si="67"/>
        <v>0</v>
      </c>
      <c r="W48" s="76">
        <f t="shared" si="67"/>
        <v>398.75</v>
      </c>
      <c r="X48" s="76">
        <f t="shared" si="67"/>
        <v>354.315</v>
      </c>
      <c r="Y48" s="76">
        <f t="shared" si="67"/>
        <v>2913.6396723830112</v>
      </c>
      <c r="Z48" s="117"/>
      <c r="AA48" s="109"/>
      <c r="AB48" s="109"/>
      <c r="AC48" s="109"/>
      <c r="AD48" s="109"/>
      <c r="AE48" s="27"/>
      <c r="AF48" s="27"/>
      <c r="AG48" s="27"/>
    </row>
    <row r="49" spans="1:33" ht="15.9" customHeight="1">
      <c r="A49" s="56" t="s">
        <v>74</v>
      </c>
      <c r="K49" s="51"/>
      <c r="L49" s="51"/>
      <c r="M49" s="51"/>
      <c r="N49" s="51"/>
      <c r="W49" s="52"/>
      <c r="X49" s="91" t="s">
        <v>80</v>
      </c>
      <c r="Y49" s="101">
        <f>1.01*2679.8</f>
        <v>2706.5980000000004</v>
      </c>
      <c r="Z49" s="145"/>
      <c r="AA49" s="109"/>
      <c r="AB49" s="109"/>
      <c r="AC49" s="109"/>
      <c r="AD49" s="109"/>
      <c r="AE49" s="27"/>
      <c r="AF49" s="27"/>
      <c r="AG49" s="27"/>
    </row>
    <row r="50" spans="1:33" s="100" customFormat="1" ht="28">
      <c r="A50" s="95" t="s">
        <v>61</v>
      </c>
      <c r="B50" s="96" t="s">
        <v>4</v>
      </c>
      <c r="C50" s="96" t="s">
        <v>23</v>
      </c>
      <c r="D50" s="96" t="s">
        <v>45</v>
      </c>
      <c r="E50" s="96" t="s">
        <v>46</v>
      </c>
      <c r="F50" s="96" t="s">
        <v>5</v>
      </c>
      <c r="G50" s="96" t="s">
        <v>6</v>
      </c>
      <c r="H50" s="97" t="s">
        <v>7</v>
      </c>
      <c r="I50" s="97" t="s">
        <v>47</v>
      </c>
      <c r="J50" s="97" t="s">
        <v>8</v>
      </c>
      <c r="K50" s="98" t="s">
        <v>13</v>
      </c>
      <c r="L50" s="98" t="s">
        <v>19</v>
      </c>
      <c r="M50" s="98" t="s">
        <v>22</v>
      </c>
      <c r="N50" s="98" t="s">
        <v>20</v>
      </c>
      <c r="O50" s="99" t="s">
        <v>9</v>
      </c>
      <c r="P50" s="99" t="s">
        <v>49</v>
      </c>
      <c r="Q50" s="48" t="s">
        <v>50</v>
      </c>
      <c r="R50" s="48" t="s">
        <v>54</v>
      </c>
      <c r="S50" s="48" t="s">
        <v>64</v>
      </c>
      <c r="T50" s="48" t="s">
        <v>12</v>
      </c>
      <c r="U50" s="48" t="s">
        <v>52</v>
      </c>
      <c r="V50" s="48" t="s">
        <v>48</v>
      </c>
      <c r="W50" s="48" t="s">
        <v>14</v>
      </c>
      <c r="X50" s="53" t="s">
        <v>11</v>
      </c>
      <c r="Y50" s="139" t="s">
        <v>21</v>
      </c>
      <c r="Z50" s="53"/>
      <c r="AA50" s="109"/>
      <c r="AB50" s="109"/>
      <c r="AC50" s="109"/>
      <c r="AD50" s="109"/>
      <c r="AE50" s="27"/>
      <c r="AF50" s="27"/>
      <c r="AG50" s="27"/>
    </row>
    <row r="51" spans="1:33" s="27" customFormat="1" ht="28">
      <c r="A51" s="103" t="s">
        <v>108</v>
      </c>
      <c r="B51" s="102" t="s">
        <v>109</v>
      </c>
      <c r="C51" s="105"/>
      <c r="D51" s="105"/>
      <c r="E51" s="102"/>
      <c r="F51" s="102" t="s">
        <v>68</v>
      </c>
      <c r="G51" s="158">
        <v>9</v>
      </c>
      <c r="H51" s="159">
        <v>42.07</v>
      </c>
      <c r="I51" s="159">
        <v>5.7299999999999995</v>
      </c>
      <c r="J51" s="159"/>
      <c r="K51" s="160">
        <f>H51-I51-J51</f>
        <v>36.340000000000003</v>
      </c>
      <c r="L51" s="106" t="s">
        <v>110</v>
      </c>
      <c r="M51" s="106" t="s">
        <v>73</v>
      </c>
      <c r="N51" s="107">
        <v>5</v>
      </c>
      <c r="O51" s="115">
        <v>6.5</v>
      </c>
      <c r="P51" s="124">
        <v>28.625</v>
      </c>
      <c r="Q51" s="38">
        <f>G51*0.5</f>
        <v>4.5</v>
      </c>
      <c r="R51" s="38"/>
      <c r="S51" s="38">
        <f>G51*0.035*N51</f>
        <v>1.5750000000000002</v>
      </c>
      <c r="T51" s="38"/>
      <c r="U51" s="38">
        <f t="shared" ref="U51:U52" si="68">IF(RIGHT(F51,2)="WG",K51*$AA$4,IF(OR(RIGHT(F51,3)="WRG",RIGHT(F51,3)="WYG",RIGHT(F51,3)="WYR"),K51*$AA$4+3*G51,0))</f>
        <v>8.7216000000000005</v>
      </c>
      <c r="V51" s="38"/>
      <c r="W51" s="38">
        <f>G51*N51*4</f>
        <v>180</v>
      </c>
      <c r="X51" s="38">
        <f t="shared" ref="X51:X52" si="69">K51*O51</f>
        <v>236.21000000000004</v>
      </c>
      <c r="Y51" s="38">
        <f>$Y$49/31.1035*K51*IF(LEFT(F51,3)="10K",0.417*1.07,IF(LEFT(F51,3)="14K",0.585*1.05,IF(LEFT(F51,3)="18K",0.75*1.05,0)))</f>
        <v>1942.4264482553415</v>
      </c>
      <c r="Z51" s="116"/>
      <c r="AA51" s="109">
        <f t="shared" ref="AA51:AA52" si="70">2*K51</f>
        <v>72.680000000000007</v>
      </c>
      <c r="AB51" s="109">
        <f t="shared" ref="AB51:AB52" si="71">(SUM(Q51:W51)+AG51)-AA51</f>
        <v>358.32660000000004</v>
      </c>
      <c r="AC51" s="109">
        <f t="shared" ref="AC51:AC52" si="72">AE51*$AC$13+P51*$AC$14</f>
        <v>6392.7003400000003</v>
      </c>
      <c r="AD51" s="109">
        <f t="shared" ref="AD51:AD52" si="73">SUM(AB51:AC51)</f>
        <v>6751.0269400000006</v>
      </c>
      <c r="AE51" s="27">
        <f t="shared" ref="AE51:AE52" si="74">IF(LEFT(F51,3)="10K",(0.417*1.07*K51),IF(LEFT(F51,3)="14K",(0.585*1.05*K51),IF(LEFT(F51,3)="18K",(0.75*1.05*K51),0)))</f>
        <v>22.321845</v>
      </c>
      <c r="AG51" s="27">
        <f t="shared" si="21"/>
        <v>236.21000000000004</v>
      </c>
    </row>
    <row r="52" spans="1:33" s="27" customFormat="1" ht="28.5" thickBot="1">
      <c r="A52" s="119">
        <v>15</v>
      </c>
      <c r="B52" s="102" t="s">
        <v>109</v>
      </c>
      <c r="C52" s="121"/>
      <c r="D52" s="121"/>
      <c r="E52" s="120"/>
      <c r="F52" s="120" t="s">
        <v>69</v>
      </c>
      <c r="G52" s="161">
        <v>4</v>
      </c>
      <c r="H52" s="159">
        <v>18.439999999999998</v>
      </c>
      <c r="I52" s="162">
        <v>2.58</v>
      </c>
      <c r="J52" s="162"/>
      <c r="K52" s="160">
        <f t="shared" ref="K52" si="75">H52-I52-J52</f>
        <v>15.859999999999998</v>
      </c>
      <c r="L52" s="106" t="s">
        <v>110</v>
      </c>
      <c r="M52" s="106" t="s">
        <v>73</v>
      </c>
      <c r="N52" s="107">
        <v>5</v>
      </c>
      <c r="O52" s="115">
        <v>6.5</v>
      </c>
      <c r="P52" s="124">
        <v>12.920000000000002</v>
      </c>
      <c r="Q52" s="38">
        <f t="shared" ref="Q52" si="76">G52*0.5</f>
        <v>2</v>
      </c>
      <c r="R52" s="38"/>
      <c r="S52" s="38">
        <f t="shared" ref="S52" si="77">G52*0.035*N52</f>
        <v>0.70000000000000007</v>
      </c>
      <c r="T52" s="38"/>
      <c r="U52" s="38">
        <f t="shared" si="68"/>
        <v>0</v>
      </c>
      <c r="V52" s="38"/>
      <c r="W52" s="38">
        <f>G52*N52*4</f>
        <v>80</v>
      </c>
      <c r="X52" s="38">
        <f t="shared" si="69"/>
        <v>103.08999999999999</v>
      </c>
      <c r="Y52" s="38">
        <f>$Y$49/31.1035*K52*IF(LEFT(F52,3)="10K",0.417*1.07,IF(LEFT(F52,3)="14K",0.585*1.05,IF(LEFT(F52,3)="18K",0.75*1.05,0)))</f>
        <v>847.74032661886918</v>
      </c>
      <c r="Z52" s="116"/>
      <c r="AA52" s="109">
        <f t="shared" si="70"/>
        <v>31.719999999999995</v>
      </c>
      <c r="AB52" s="109">
        <f t="shared" si="71"/>
        <v>154.07</v>
      </c>
      <c r="AC52" s="109">
        <f t="shared" si="72"/>
        <v>2861.3899600000004</v>
      </c>
      <c r="AD52" s="109">
        <f t="shared" si="73"/>
        <v>3015.4599600000006</v>
      </c>
      <c r="AE52" s="27">
        <f t="shared" si="74"/>
        <v>9.7420049999999971</v>
      </c>
      <c r="AG52" s="27">
        <f t="shared" si="21"/>
        <v>103.08999999999999</v>
      </c>
    </row>
    <row r="53" spans="1:33" s="28" customFormat="1" ht="15.9" customHeight="1">
      <c r="A53" s="94" t="s">
        <v>60</v>
      </c>
      <c r="B53" s="72"/>
      <c r="C53" s="72"/>
      <c r="D53" s="72"/>
      <c r="E53" s="72"/>
      <c r="F53" s="72"/>
      <c r="G53" s="163">
        <f>SUM(G51:G52)</f>
        <v>13</v>
      </c>
      <c r="H53" s="164"/>
      <c r="I53" s="164"/>
      <c r="J53" s="164"/>
      <c r="K53" s="164">
        <f>SUM(K51:K52)</f>
        <v>52.2</v>
      </c>
      <c r="L53" s="74"/>
      <c r="M53" s="74"/>
      <c r="N53" s="74"/>
      <c r="O53" s="75"/>
      <c r="P53" s="125">
        <f t="shared" ref="P53:Y53" si="78">SUM(P51:P52)</f>
        <v>41.545000000000002</v>
      </c>
      <c r="Q53" s="76">
        <f t="shared" si="78"/>
        <v>6.5</v>
      </c>
      <c r="R53" s="76">
        <f t="shared" si="78"/>
        <v>0</v>
      </c>
      <c r="S53" s="76">
        <f t="shared" si="78"/>
        <v>2.2750000000000004</v>
      </c>
      <c r="T53" s="76">
        <f t="shared" si="78"/>
        <v>0</v>
      </c>
      <c r="U53" s="76">
        <f t="shared" si="78"/>
        <v>8.7216000000000005</v>
      </c>
      <c r="V53" s="76">
        <f t="shared" si="78"/>
        <v>0</v>
      </c>
      <c r="W53" s="76">
        <f t="shared" si="78"/>
        <v>260</v>
      </c>
      <c r="X53" s="76">
        <f t="shared" si="78"/>
        <v>339.3</v>
      </c>
      <c r="Y53" s="76">
        <f t="shared" si="78"/>
        <v>2790.1667748742107</v>
      </c>
      <c r="Z53" s="117"/>
      <c r="AA53" s="109"/>
      <c r="AB53" s="109"/>
      <c r="AC53" s="109"/>
      <c r="AD53" s="109"/>
      <c r="AE53" s="27"/>
      <c r="AF53" s="27"/>
      <c r="AG53" s="27"/>
    </row>
    <row r="54" spans="1:33" ht="15.9" customHeight="1">
      <c r="A54" s="56" t="s">
        <v>74</v>
      </c>
      <c r="K54" s="51"/>
      <c r="L54" s="51"/>
      <c r="M54" s="51"/>
      <c r="N54" s="51"/>
      <c r="W54" s="52"/>
      <c r="X54" s="91" t="s">
        <v>80</v>
      </c>
      <c r="Y54" s="101">
        <f>1.01*2679.8</f>
        <v>2706.5980000000004</v>
      </c>
      <c r="Z54" s="145"/>
      <c r="AA54" s="109"/>
      <c r="AB54" s="109"/>
      <c r="AC54" s="109"/>
      <c r="AD54" s="109"/>
      <c r="AE54" s="27"/>
      <c r="AF54" s="27"/>
      <c r="AG54" s="27"/>
    </row>
    <row r="55" spans="1:33" s="100" customFormat="1" ht="28">
      <c r="A55" s="95" t="s">
        <v>61</v>
      </c>
      <c r="B55" s="96" t="s">
        <v>4</v>
      </c>
      <c r="C55" s="96" t="s">
        <v>23</v>
      </c>
      <c r="D55" s="96" t="s">
        <v>45</v>
      </c>
      <c r="E55" s="96" t="s">
        <v>46</v>
      </c>
      <c r="F55" s="96" t="s">
        <v>5</v>
      </c>
      <c r="G55" s="96" t="s">
        <v>6</v>
      </c>
      <c r="H55" s="97" t="s">
        <v>7</v>
      </c>
      <c r="I55" s="97" t="s">
        <v>47</v>
      </c>
      <c r="J55" s="97" t="s">
        <v>8</v>
      </c>
      <c r="K55" s="98" t="s">
        <v>13</v>
      </c>
      <c r="L55" s="98" t="s">
        <v>19</v>
      </c>
      <c r="M55" s="98" t="s">
        <v>22</v>
      </c>
      <c r="N55" s="98" t="s">
        <v>20</v>
      </c>
      <c r="O55" s="99" t="s">
        <v>9</v>
      </c>
      <c r="P55" s="99" t="s">
        <v>49</v>
      </c>
      <c r="Q55" s="48" t="s">
        <v>50</v>
      </c>
      <c r="R55" s="48" t="s">
        <v>54</v>
      </c>
      <c r="S55" s="48" t="s">
        <v>64</v>
      </c>
      <c r="T55" s="48" t="s">
        <v>12</v>
      </c>
      <c r="U55" s="48" t="s">
        <v>52</v>
      </c>
      <c r="V55" s="48" t="s">
        <v>48</v>
      </c>
      <c r="W55" s="48" t="s">
        <v>14</v>
      </c>
      <c r="X55" s="53" t="s">
        <v>11</v>
      </c>
      <c r="Y55" s="139" t="s">
        <v>21</v>
      </c>
      <c r="Z55" s="53"/>
      <c r="AA55" s="109"/>
      <c r="AB55" s="109"/>
      <c r="AC55" s="109"/>
      <c r="AD55" s="109"/>
      <c r="AE55" s="27"/>
      <c r="AF55" s="27"/>
      <c r="AG55" s="27"/>
    </row>
    <row r="56" spans="1:33" s="27" customFormat="1" ht="28.5" thickBot="1">
      <c r="A56" s="103" t="s">
        <v>111</v>
      </c>
      <c r="B56" s="120" t="s">
        <v>112</v>
      </c>
      <c r="C56" s="121"/>
      <c r="D56" s="121"/>
      <c r="E56" s="120"/>
      <c r="F56" s="120" t="s">
        <v>69</v>
      </c>
      <c r="G56" s="161">
        <v>1</v>
      </c>
      <c r="H56" s="159">
        <v>6.65</v>
      </c>
      <c r="I56" s="162">
        <v>0.9</v>
      </c>
      <c r="J56" s="162"/>
      <c r="K56" s="160">
        <f t="shared" ref="K56" si="79">H56-I56-J56</f>
        <v>5.75</v>
      </c>
      <c r="L56" s="106" t="s">
        <v>113</v>
      </c>
      <c r="M56" s="106" t="s">
        <v>73</v>
      </c>
      <c r="N56" s="107">
        <v>5</v>
      </c>
      <c r="O56" s="115">
        <v>6.5</v>
      </c>
      <c r="P56" s="124">
        <v>4.4950000000000001</v>
      </c>
      <c r="Q56" s="38">
        <f t="shared" ref="Q56" si="80">G56*0.5</f>
        <v>0.5</v>
      </c>
      <c r="R56" s="38"/>
      <c r="S56" s="38">
        <f t="shared" ref="S56" si="81">G56*0.035*N56</f>
        <v>0.17500000000000002</v>
      </c>
      <c r="T56" s="38"/>
      <c r="U56" s="38">
        <f t="shared" ref="U56" si="82">IF(RIGHT(F56,2)="WG",K56*$AA$4,IF(OR(RIGHT(F56,3)="WRG",RIGHT(F56,3)="WYG",RIGHT(F56,3)="WYR"),K56*$AA$4+3*G56,0))</f>
        <v>0</v>
      </c>
      <c r="V56" s="38"/>
      <c r="W56" s="38">
        <f>G56*N56*5</f>
        <v>25</v>
      </c>
      <c r="X56" s="38">
        <f t="shared" ref="X56" si="83">K56*O56</f>
        <v>37.375</v>
      </c>
      <c r="Y56" s="38">
        <f>$Y$54/31.1035*K56*IF(LEFT(F56,3)="10K",0.417*1.07,IF(LEFT(F56,3)="14K",0.585*1.05,IF(LEFT(F56,3)="18K",0.75*1.05,0)))</f>
        <v>307.34595700242744</v>
      </c>
      <c r="Z56" s="116"/>
      <c r="AA56" s="109">
        <f t="shared" ref="AA56" si="84">2*K56</f>
        <v>11.5</v>
      </c>
      <c r="AB56" s="109">
        <f t="shared" ref="AB56" si="85">(SUM(Q56:W56)+AG56)-AA56</f>
        <v>51.55</v>
      </c>
      <c r="AC56" s="109">
        <f>AE56*$AC$13+P56*$AC$14</f>
        <v>1005.7736</v>
      </c>
      <c r="AD56" s="109">
        <f t="shared" ref="AD56" si="86">SUM(AB56:AC56)</f>
        <v>1057.3235999999999</v>
      </c>
      <c r="AE56" s="27">
        <f t="shared" ref="AE56" si="87">IF(LEFT(F56,3)="10K",(0.417*1.07*K56),IF(LEFT(F56,3)="14K",(0.585*1.05*K56),IF(LEFT(F56,3)="18K",(0.75*1.05*K56),0)))</f>
        <v>3.5319374999999997</v>
      </c>
      <c r="AG56" s="27">
        <f t="shared" si="21"/>
        <v>37.375</v>
      </c>
    </row>
    <row r="57" spans="1:33" s="28" customFormat="1" ht="15.9" customHeight="1">
      <c r="A57" s="94" t="s">
        <v>60</v>
      </c>
      <c r="B57" s="72"/>
      <c r="C57" s="72"/>
      <c r="D57" s="72"/>
      <c r="E57" s="72"/>
      <c r="F57" s="72"/>
      <c r="G57" s="163">
        <f>SUM(G56:G56)</f>
        <v>1</v>
      </c>
      <c r="H57" s="164"/>
      <c r="I57" s="164"/>
      <c r="J57" s="164"/>
      <c r="K57" s="164">
        <f>SUM(K56:K56)</f>
        <v>5.75</v>
      </c>
      <c r="L57" s="74"/>
      <c r="M57" s="74"/>
      <c r="N57" s="74"/>
      <c r="O57" s="75"/>
      <c r="P57" s="125">
        <f t="shared" ref="P57:Y57" si="88">SUM(P56:P56)</f>
        <v>4.4950000000000001</v>
      </c>
      <c r="Q57" s="76">
        <f t="shared" si="88"/>
        <v>0.5</v>
      </c>
      <c r="R57" s="76">
        <f t="shared" si="88"/>
        <v>0</v>
      </c>
      <c r="S57" s="76">
        <f t="shared" si="88"/>
        <v>0.17500000000000002</v>
      </c>
      <c r="T57" s="76">
        <f t="shared" si="88"/>
        <v>0</v>
      </c>
      <c r="U57" s="76">
        <f t="shared" si="88"/>
        <v>0</v>
      </c>
      <c r="V57" s="76">
        <f t="shared" si="88"/>
        <v>0</v>
      </c>
      <c r="W57" s="76">
        <f t="shared" si="88"/>
        <v>25</v>
      </c>
      <c r="X57" s="76">
        <f t="shared" si="88"/>
        <v>37.375</v>
      </c>
      <c r="Y57" s="76">
        <f t="shared" si="88"/>
        <v>307.34595700242744</v>
      </c>
      <c r="Z57" s="117"/>
      <c r="AA57" s="109"/>
      <c r="AB57" s="109"/>
      <c r="AC57" s="109"/>
      <c r="AD57" s="109"/>
      <c r="AE57" s="27"/>
      <c r="AF57" s="27"/>
      <c r="AG57" s="27"/>
    </row>
    <row r="58" spans="1:33" ht="15.9" customHeight="1">
      <c r="A58" s="56" t="s">
        <v>74</v>
      </c>
      <c r="K58" s="51"/>
      <c r="L58" s="51"/>
      <c r="M58" s="51"/>
      <c r="N58" s="51"/>
      <c r="W58" s="52"/>
      <c r="X58" s="91" t="s">
        <v>80</v>
      </c>
      <c r="Y58" s="101">
        <f>1.01*2679.8</f>
        <v>2706.5980000000004</v>
      </c>
      <c r="Z58" s="145"/>
      <c r="AA58" s="109"/>
      <c r="AB58" s="109"/>
      <c r="AC58" s="109"/>
      <c r="AD58" s="109"/>
      <c r="AE58" s="27"/>
      <c r="AF58" s="27"/>
      <c r="AG58" s="27"/>
    </row>
    <row r="59" spans="1:33" s="100" customFormat="1" ht="28">
      <c r="A59" s="95" t="s">
        <v>61</v>
      </c>
      <c r="B59" s="96" t="s">
        <v>4</v>
      </c>
      <c r="C59" s="96" t="s">
        <v>23</v>
      </c>
      <c r="D59" s="96" t="s">
        <v>45</v>
      </c>
      <c r="E59" s="96" t="s">
        <v>46</v>
      </c>
      <c r="F59" s="96" t="s">
        <v>5</v>
      </c>
      <c r="G59" s="96" t="s">
        <v>6</v>
      </c>
      <c r="H59" s="97" t="s">
        <v>7</v>
      </c>
      <c r="I59" s="97" t="s">
        <v>47</v>
      </c>
      <c r="J59" s="97" t="s">
        <v>8</v>
      </c>
      <c r="K59" s="98" t="s">
        <v>13</v>
      </c>
      <c r="L59" s="98" t="s">
        <v>19</v>
      </c>
      <c r="M59" s="98" t="s">
        <v>22</v>
      </c>
      <c r="N59" s="98" t="s">
        <v>20</v>
      </c>
      <c r="O59" s="99" t="s">
        <v>9</v>
      </c>
      <c r="P59" s="99" t="s">
        <v>49</v>
      </c>
      <c r="Q59" s="48" t="s">
        <v>50</v>
      </c>
      <c r="R59" s="48" t="s">
        <v>54</v>
      </c>
      <c r="S59" s="48" t="s">
        <v>64</v>
      </c>
      <c r="T59" s="48" t="s">
        <v>12</v>
      </c>
      <c r="U59" s="48" t="s">
        <v>52</v>
      </c>
      <c r="V59" s="48" t="s">
        <v>48</v>
      </c>
      <c r="W59" s="48" t="s">
        <v>14</v>
      </c>
      <c r="X59" s="53" t="s">
        <v>11</v>
      </c>
      <c r="Y59" s="139" t="s">
        <v>21</v>
      </c>
      <c r="Z59" s="53"/>
      <c r="AA59" s="109"/>
      <c r="AB59" s="109"/>
      <c r="AC59" s="109"/>
      <c r="AD59" s="109"/>
      <c r="AE59" s="27"/>
      <c r="AF59" s="27"/>
      <c r="AG59" s="27"/>
    </row>
    <row r="60" spans="1:33" s="27" customFormat="1" ht="140">
      <c r="A60" s="103" t="s">
        <v>114</v>
      </c>
      <c r="B60" s="102" t="s">
        <v>115</v>
      </c>
      <c r="C60" s="105"/>
      <c r="D60" s="105"/>
      <c r="E60" s="102"/>
      <c r="F60" s="102" t="s">
        <v>68</v>
      </c>
      <c r="G60" s="104">
        <v>6</v>
      </c>
      <c r="H60" s="112">
        <v>83.93</v>
      </c>
      <c r="I60" s="112">
        <v>5.68</v>
      </c>
      <c r="J60" s="112"/>
      <c r="K60" s="113">
        <f>H60-I60-J60</f>
        <v>78.25</v>
      </c>
      <c r="L60" s="106" t="s">
        <v>116</v>
      </c>
      <c r="M60" s="106" t="s">
        <v>92</v>
      </c>
      <c r="N60" s="107" t="s">
        <v>117</v>
      </c>
      <c r="O60" s="115">
        <v>7.5</v>
      </c>
      <c r="P60" s="124">
        <v>28.454999999999998</v>
      </c>
      <c r="Q60" s="38">
        <f>G60*0.5</f>
        <v>3</v>
      </c>
      <c r="R60" s="38"/>
      <c r="S60" s="38">
        <f>G60*0.035*(6+10+5+10+5+5)</f>
        <v>8.6100000000000012</v>
      </c>
      <c r="T60" s="38"/>
      <c r="U60" s="38">
        <f t="shared" ref="U60:U61" si="89">IF(RIGHT(F60,2)="WG",K60*$AA$4,IF(OR(RIGHT(F60,3)="WRG",RIGHT(F60,3)="WYG",RIGHT(F60,3)="WYR"),K60*$AA$4+3*G60,0))</f>
        <v>18.779999999999998</v>
      </c>
      <c r="V60" s="38"/>
      <c r="W60" s="38">
        <f>G60*(6*2+10*3.25+5*3.5+10*2+5*2.5+5*1.5)</f>
        <v>612</v>
      </c>
      <c r="X60" s="38">
        <f t="shared" ref="X60:X61" si="90">K60*O60</f>
        <v>586.875</v>
      </c>
      <c r="Y60" s="38">
        <f>$Y$58/31.1035*K60*IF(LEFT(F60,3)="10K",0.417*1.07,IF(LEFT(F60,3)="14K",0.585*1.05,IF(LEFT(F60,3)="18K",0.75*1.05,0)))</f>
        <v>4182.5775887721647</v>
      </c>
      <c r="Z60" s="116"/>
      <c r="AA60" s="109">
        <f t="shared" ref="AA60:AA61" si="91">2*K60</f>
        <v>156.5</v>
      </c>
      <c r="AB60" s="109">
        <f t="shared" ref="AB60:AB61" si="92">(SUM(Q60:W60)+AG60)-AA60</f>
        <v>1072.7649999999999</v>
      </c>
      <c r="AC60" s="109">
        <f t="shared" ref="AC60:AC61" si="93">AE60*$AC$13+P60*$AC$14</f>
        <v>8217.7914000000001</v>
      </c>
      <c r="AD60" s="109">
        <f t="shared" ref="AD60:AD61" si="94">SUM(AB60:AC60)</f>
        <v>9290.5563999999995</v>
      </c>
      <c r="AE60" s="27">
        <f t="shared" ref="AE60:AE61" si="95">IF(LEFT(F60,3)="10K",(0.417*1.07*K60),IF(LEFT(F60,3)="14K",(0.585*1.05*K60),IF(LEFT(F60,3)="18K",(0.75*1.05*K60),0)))</f>
        <v>48.065062499999996</v>
      </c>
      <c r="AG60" s="27">
        <f t="shared" ref="AG60:AG75" si="96">IF(AF60&gt;0,AF60*K60,X60)</f>
        <v>586.875</v>
      </c>
    </row>
    <row r="61" spans="1:33" s="27" customFormat="1" ht="140.5" thickBot="1">
      <c r="A61" s="119">
        <v>23</v>
      </c>
      <c r="B61" s="102" t="s">
        <v>115</v>
      </c>
      <c r="C61" s="121"/>
      <c r="D61" s="121"/>
      <c r="E61" s="120"/>
      <c r="F61" s="120" t="s">
        <v>69</v>
      </c>
      <c r="G61" s="122">
        <v>4</v>
      </c>
      <c r="H61" s="112">
        <v>53.47</v>
      </c>
      <c r="I61" s="123">
        <v>3.83</v>
      </c>
      <c r="J61" s="123"/>
      <c r="K61" s="113">
        <f t="shared" ref="K61" si="97">H61-I61-J61</f>
        <v>49.64</v>
      </c>
      <c r="L61" s="106" t="s">
        <v>116</v>
      </c>
      <c r="M61" s="106" t="s">
        <v>92</v>
      </c>
      <c r="N61" s="107" t="s">
        <v>117</v>
      </c>
      <c r="O61" s="115">
        <v>7.5</v>
      </c>
      <c r="P61" s="124">
        <v>19.115000000000002</v>
      </c>
      <c r="Q61" s="38">
        <f>G61*0.5</f>
        <v>2</v>
      </c>
      <c r="R61" s="38"/>
      <c r="S61" s="38">
        <f>G61*0.035*(6+10+5+10+5+5)</f>
        <v>5.74</v>
      </c>
      <c r="T61" s="38"/>
      <c r="U61" s="38">
        <f t="shared" si="89"/>
        <v>0</v>
      </c>
      <c r="V61" s="38"/>
      <c r="W61" s="38">
        <f>G61*(6*2+10*3.25+5*3.5+10*2+5*2.5+5*1.5)</f>
        <v>408</v>
      </c>
      <c r="X61" s="38">
        <f t="shared" si="90"/>
        <v>372.3</v>
      </c>
      <c r="Y61" s="38">
        <f>$Y$58/31.1035*K61*IF(LEFT(F61,3)="10K",0.417*1.07,IF(LEFT(F61,3)="14K",0.585*1.05,IF(LEFT(F61,3)="18K",0.75*1.05,0)))</f>
        <v>2653.3310096696518</v>
      </c>
      <c r="Z61" s="116"/>
      <c r="AA61" s="109">
        <f t="shared" si="91"/>
        <v>99.28</v>
      </c>
      <c r="AB61" s="109">
        <f t="shared" si="92"/>
        <v>688.76</v>
      </c>
      <c r="AC61" s="109">
        <f t="shared" si="93"/>
        <v>5391.0243399999999</v>
      </c>
      <c r="AD61" s="109">
        <f t="shared" si="94"/>
        <v>6079.7843400000002</v>
      </c>
      <c r="AE61" s="27">
        <f t="shared" si="95"/>
        <v>30.49137</v>
      </c>
      <c r="AG61" s="27">
        <f t="shared" si="96"/>
        <v>372.3</v>
      </c>
    </row>
    <row r="62" spans="1:33" s="28" customFormat="1" ht="15.9" customHeight="1">
      <c r="A62" s="94" t="s">
        <v>60</v>
      </c>
      <c r="B62" s="72"/>
      <c r="C62" s="72"/>
      <c r="D62" s="72"/>
      <c r="E62" s="72"/>
      <c r="F62" s="72"/>
      <c r="G62" s="73">
        <f>SUM(G60:G61)</f>
        <v>10</v>
      </c>
      <c r="H62" s="114"/>
      <c r="I62" s="114"/>
      <c r="J62" s="114"/>
      <c r="K62" s="114">
        <f>SUM(K60:K61)</f>
        <v>127.89</v>
      </c>
      <c r="L62" s="74"/>
      <c r="M62" s="74"/>
      <c r="N62" s="74"/>
      <c r="O62" s="75"/>
      <c r="P62" s="125">
        <f t="shared" ref="P62:Y62" si="98">SUM(P60:P61)</f>
        <v>47.57</v>
      </c>
      <c r="Q62" s="76">
        <f t="shared" si="98"/>
        <v>5</v>
      </c>
      <c r="R62" s="76">
        <f t="shared" si="98"/>
        <v>0</v>
      </c>
      <c r="S62" s="76">
        <f t="shared" si="98"/>
        <v>14.350000000000001</v>
      </c>
      <c r="T62" s="76">
        <f t="shared" si="98"/>
        <v>0</v>
      </c>
      <c r="U62" s="76">
        <f t="shared" si="98"/>
        <v>18.779999999999998</v>
      </c>
      <c r="V62" s="76">
        <f t="shared" si="98"/>
        <v>0</v>
      </c>
      <c r="W62" s="76">
        <f t="shared" si="98"/>
        <v>1020</v>
      </c>
      <c r="X62" s="76">
        <f t="shared" si="98"/>
        <v>959.17499999999995</v>
      </c>
      <c r="Y62" s="76">
        <f t="shared" si="98"/>
        <v>6835.9085984418161</v>
      </c>
      <c r="Z62" s="117"/>
      <c r="AA62" s="109"/>
      <c r="AB62" s="109"/>
      <c r="AC62" s="109"/>
      <c r="AD62" s="109"/>
      <c r="AE62" s="27"/>
      <c r="AF62" s="27"/>
      <c r="AG62" s="27"/>
    </row>
    <row r="63" spans="1:33" ht="15.9" customHeight="1">
      <c r="A63" s="56" t="s">
        <v>74</v>
      </c>
      <c r="K63" s="51"/>
      <c r="L63" s="51"/>
      <c r="M63" s="51"/>
      <c r="N63" s="51"/>
      <c r="W63" s="52"/>
      <c r="X63" s="91" t="s">
        <v>80</v>
      </c>
      <c r="Y63" s="101">
        <f>1.01*2679.8</f>
        <v>2706.5980000000004</v>
      </c>
      <c r="Z63" s="145"/>
      <c r="AA63" s="109"/>
      <c r="AB63" s="109"/>
      <c r="AC63" s="109"/>
      <c r="AD63" s="109"/>
      <c r="AE63" s="27"/>
      <c r="AF63" s="27"/>
      <c r="AG63" s="27"/>
    </row>
    <row r="64" spans="1:33" s="100" customFormat="1" ht="28">
      <c r="A64" s="95" t="s">
        <v>61</v>
      </c>
      <c r="B64" s="96" t="s">
        <v>4</v>
      </c>
      <c r="C64" s="96" t="s">
        <v>23</v>
      </c>
      <c r="D64" s="96" t="s">
        <v>45</v>
      </c>
      <c r="E64" s="96" t="s">
        <v>46</v>
      </c>
      <c r="F64" s="96" t="s">
        <v>5</v>
      </c>
      <c r="G64" s="96" t="s">
        <v>6</v>
      </c>
      <c r="H64" s="97" t="s">
        <v>7</v>
      </c>
      <c r="I64" s="97" t="s">
        <v>47</v>
      </c>
      <c r="J64" s="97" t="s">
        <v>8</v>
      </c>
      <c r="K64" s="98" t="s">
        <v>13</v>
      </c>
      <c r="L64" s="98" t="s">
        <v>19</v>
      </c>
      <c r="M64" s="98" t="s">
        <v>22</v>
      </c>
      <c r="N64" s="98" t="s">
        <v>20</v>
      </c>
      <c r="O64" s="99" t="s">
        <v>9</v>
      </c>
      <c r="P64" s="99" t="s">
        <v>49</v>
      </c>
      <c r="Q64" s="48" t="s">
        <v>50</v>
      </c>
      <c r="R64" s="48" t="s">
        <v>54</v>
      </c>
      <c r="S64" s="48" t="s">
        <v>64</v>
      </c>
      <c r="T64" s="48" t="s">
        <v>12</v>
      </c>
      <c r="U64" s="48" t="s">
        <v>52</v>
      </c>
      <c r="V64" s="48" t="s">
        <v>48</v>
      </c>
      <c r="W64" s="48" t="s">
        <v>14</v>
      </c>
      <c r="X64" s="53" t="s">
        <v>11</v>
      </c>
      <c r="Y64" s="139" t="s">
        <v>21</v>
      </c>
      <c r="Z64" s="53"/>
      <c r="AA64" s="109"/>
      <c r="AB64" s="109"/>
      <c r="AC64" s="109"/>
      <c r="AD64" s="109"/>
      <c r="AE64" s="27"/>
      <c r="AF64" s="27"/>
      <c r="AG64" s="27"/>
    </row>
    <row r="65" spans="1:33" s="27" customFormat="1" ht="112">
      <c r="A65" s="103" t="s">
        <v>118</v>
      </c>
      <c r="B65" s="120" t="s">
        <v>119</v>
      </c>
      <c r="C65" s="105"/>
      <c r="D65" s="105"/>
      <c r="E65" s="102"/>
      <c r="F65" s="102" t="s">
        <v>68</v>
      </c>
      <c r="G65" s="104">
        <v>30</v>
      </c>
      <c r="H65" s="112">
        <v>639.53999999999985</v>
      </c>
      <c r="I65" s="112">
        <v>58.389999999999993</v>
      </c>
      <c r="J65" s="112"/>
      <c r="K65" s="113">
        <f>H65-I65-J65</f>
        <v>581.14999999999986</v>
      </c>
      <c r="L65" s="106" t="s">
        <v>120</v>
      </c>
      <c r="M65" s="106" t="s">
        <v>92</v>
      </c>
      <c r="N65" s="107" t="s">
        <v>121</v>
      </c>
      <c r="O65" s="115">
        <v>7.5</v>
      </c>
      <c r="P65" s="124">
        <v>291.85000000000008</v>
      </c>
      <c r="Q65" s="38">
        <f>G65*0.5</f>
        <v>15</v>
      </c>
      <c r="R65" s="38"/>
      <c r="S65" s="38">
        <f>G65*0.035*(8+8+8+8+7+7)</f>
        <v>48.300000000000004</v>
      </c>
      <c r="T65" s="38"/>
      <c r="U65" s="38">
        <f t="shared" ref="U65:U67" si="99">IF(RIGHT(F65,2)="WG",K65*$AA$4,IF(OR(RIGHT(F65,3)="WRG",RIGHT(F65,3)="WYG",RIGHT(F65,3)="WYR"),K65*$AA$4+3*G65,0))</f>
        <v>139.47599999999997</v>
      </c>
      <c r="V65" s="38"/>
      <c r="W65" s="38">
        <f>G65*(8*2+8*3.75+8*3.5+8*3.75+7*2.5+7*1.5)</f>
        <v>3960</v>
      </c>
      <c r="X65" s="38">
        <f t="shared" ref="X65:X67" si="100">K65*O65</f>
        <v>4358.6249999999991</v>
      </c>
      <c r="Y65" s="38">
        <f>$Y$63/31.1035*K65*IF(LEFT(F65,3)="10K",0.417*1.07,IF(LEFT(F65,3)="14K",0.585*1.05,IF(LEFT(F65,3)="18K",0.75*1.05,0)))</f>
        <v>31063.322245558375</v>
      </c>
      <c r="Z65" s="116"/>
      <c r="AA65" s="109">
        <f t="shared" ref="AA65:AA92" si="101">2*K65</f>
        <v>1162.2999999999997</v>
      </c>
      <c r="AB65" s="109">
        <f t="shared" ref="AB65:AB92" si="102">(SUM(Q65:W65)+AG65)-AA65</f>
        <v>7359.1009999999987</v>
      </c>
      <c r="AC65" s="109">
        <f t="shared" ref="AC65:AC92" si="103">AE65*$AC$13+P65*$AC$14</f>
        <v>74493.422900000005</v>
      </c>
      <c r="AD65" s="109">
        <f t="shared" ref="AD65:AD92" si="104">SUM(AB65:AC65)</f>
        <v>81852.5239</v>
      </c>
      <c r="AE65" s="27">
        <f t="shared" ref="AE65:AE92" si="105">IF(LEFT(F65,3)="10K",(0.417*1.07*K65),IF(LEFT(F65,3)="14K",(0.585*1.05*K65),IF(LEFT(F65,3)="18K",(0.75*1.05*K65),0)))</f>
        <v>356.97138749999988</v>
      </c>
      <c r="AG65" s="27">
        <f t="shared" si="96"/>
        <v>4358.6249999999991</v>
      </c>
    </row>
    <row r="66" spans="1:33" s="27" customFormat="1" ht="112">
      <c r="A66" s="119">
        <v>24</v>
      </c>
      <c r="B66" s="120" t="s">
        <v>119</v>
      </c>
      <c r="C66" s="121"/>
      <c r="D66" s="121"/>
      <c r="E66" s="120"/>
      <c r="F66" s="120" t="s">
        <v>69</v>
      </c>
      <c r="G66" s="122">
        <v>4</v>
      </c>
      <c r="H66" s="112">
        <v>82.92</v>
      </c>
      <c r="I66" s="123">
        <v>7.81</v>
      </c>
      <c r="J66" s="123"/>
      <c r="K66" s="113">
        <f t="shared" ref="K66:K67" si="106">H66-I66-J66</f>
        <v>75.11</v>
      </c>
      <c r="L66" s="106" t="s">
        <v>120</v>
      </c>
      <c r="M66" s="106" t="s">
        <v>92</v>
      </c>
      <c r="N66" s="107" t="s">
        <v>121</v>
      </c>
      <c r="O66" s="115">
        <v>7.5</v>
      </c>
      <c r="P66" s="124">
        <v>39.07</v>
      </c>
      <c r="Q66" s="38">
        <f>G66*0.5</f>
        <v>2</v>
      </c>
      <c r="R66" s="38"/>
      <c r="S66" s="38">
        <f>G66*0.035*(8+8+8+8+7+7)</f>
        <v>6.44</v>
      </c>
      <c r="T66" s="38"/>
      <c r="U66" s="38">
        <f t="shared" si="99"/>
        <v>0</v>
      </c>
      <c r="V66" s="38"/>
      <c r="W66" s="38">
        <f>G66*(8*2+8*3.75+8*3.5+8*3.75+7*2.5+7*1.5)</f>
        <v>528</v>
      </c>
      <c r="X66" s="38">
        <f t="shared" si="100"/>
        <v>563.32500000000005</v>
      </c>
      <c r="Y66" s="38">
        <f t="shared" ref="Y66:Y67" si="107">$Y$63/31.1035*K66*IF(LEFT(F66,3)="10K",0.417*1.07,IF(LEFT(F66,3)="14K",0.585*1.05,IF(LEFT(F66,3)="18K",0.75*1.05,0)))</f>
        <v>4014.7399705134471</v>
      </c>
      <c r="Z66" s="116"/>
      <c r="AA66" s="109">
        <f t="shared" si="101"/>
        <v>150.22</v>
      </c>
      <c r="AB66" s="109">
        <f t="shared" si="102"/>
        <v>949.54500000000007</v>
      </c>
      <c r="AC66" s="109">
        <f t="shared" si="103"/>
        <v>9853.5374599999996</v>
      </c>
      <c r="AD66" s="109">
        <f t="shared" si="104"/>
        <v>10803.08246</v>
      </c>
      <c r="AE66" s="27">
        <f t="shared" si="105"/>
        <v>46.136317499999997</v>
      </c>
      <c r="AG66" s="27">
        <f t="shared" si="96"/>
        <v>563.32500000000005</v>
      </c>
    </row>
    <row r="67" spans="1:33" s="27" customFormat="1" ht="126.5" thickBot="1">
      <c r="A67" s="119">
        <v>25</v>
      </c>
      <c r="B67" s="120" t="s">
        <v>122</v>
      </c>
      <c r="C67" s="121"/>
      <c r="D67" s="121"/>
      <c r="E67" s="120"/>
      <c r="F67" s="102" t="s">
        <v>68</v>
      </c>
      <c r="G67" s="122">
        <v>1</v>
      </c>
      <c r="H67" s="112">
        <v>23.5</v>
      </c>
      <c r="I67" s="123">
        <v>3.15</v>
      </c>
      <c r="J67" s="123"/>
      <c r="K67" s="113">
        <f t="shared" si="106"/>
        <v>20.350000000000001</v>
      </c>
      <c r="L67" s="106" t="s">
        <v>123</v>
      </c>
      <c r="M67" s="106" t="s">
        <v>87</v>
      </c>
      <c r="N67" s="107" t="s">
        <v>124</v>
      </c>
      <c r="O67" s="115">
        <v>7.5</v>
      </c>
      <c r="P67" s="124">
        <v>15.744999999999999</v>
      </c>
      <c r="Q67" s="38">
        <f>G67*0.5</f>
        <v>0.5</v>
      </c>
      <c r="R67" s="38"/>
      <c r="S67" s="38">
        <f>G67*0.035*(1+6+7+8+7+8+7)</f>
        <v>1.54</v>
      </c>
      <c r="T67" s="38"/>
      <c r="U67" s="38">
        <f t="shared" si="99"/>
        <v>4.8840000000000003</v>
      </c>
      <c r="V67" s="38"/>
      <c r="W67" s="38">
        <f>G67*((1+6)*5+7*3.75+8*3.5+7*3.75+8*2.5+7*3.5)</f>
        <v>160</v>
      </c>
      <c r="X67" s="38">
        <f t="shared" si="100"/>
        <v>152.625</v>
      </c>
      <c r="Y67" s="38">
        <f t="shared" si="107"/>
        <v>1087.7374304346779</v>
      </c>
      <c r="Z67" s="116"/>
      <c r="AA67" s="109">
        <f t="shared" si="101"/>
        <v>40.700000000000003</v>
      </c>
      <c r="AB67" s="109">
        <f t="shared" si="102"/>
        <v>278.84899999999999</v>
      </c>
      <c r="AC67" s="109">
        <f t="shared" si="103"/>
        <v>3532.2482</v>
      </c>
      <c r="AD67" s="109">
        <f t="shared" si="104"/>
        <v>3811.0972000000002</v>
      </c>
      <c r="AE67" s="27">
        <f t="shared" si="105"/>
        <v>12.4999875</v>
      </c>
      <c r="AG67" s="27">
        <f t="shared" si="96"/>
        <v>152.625</v>
      </c>
    </row>
    <row r="68" spans="1:33" s="28" customFormat="1" ht="15.9" customHeight="1">
      <c r="A68" s="94" t="s">
        <v>60</v>
      </c>
      <c r="B68" s="72"/>
      <c r="C68" s="72"/>
      <c r="D68" s="72"/>
      <c r="E68" s="72"/>
      <c r="F68" s="72"/>
      <c r="G68" s="73">
        <f>SUM(G65:G67)</f>
        <v>35</v>
      </c>
      <c r="H68" s="114"/>
      <c r="I68" s="114"/>
      <c r="J68" s="114"/>
      <c r="K68" s="114">
        <f>SUM(K65:K67)</f>
        <v>676.6099999999999</v>
      </c>
      <c r="L68" s="74"/>
      <c r="M68" s="74"/>
      <c r="N68" s="74"/>
      <c r="O68" s="75"/>
      <c r="P68" s="125">
        <f t="shared" ref="P68:Y68" si="108">SUM(P65:P67)</f>
        <v>346.66500000000008</v>
      </c>
      <c r="Q68" s="76">
        <f t="shared" si="108"/>
        <v>17.5</v>
      </c>
      <c r="R68" s="76">
        <f t="shared" si="108"/>
        <v>0</v>
      </c>
      <c r="S68" s="76">
        <f t="shared" si="108"/>
        <v>56.28</v>
      </c>
      <c r="T68" s="76">
        <f t="shared" si="108"/>
        <v>0</v>
      </c>
      <c r="U68" s="76">
        <f t="shared" si="108"/>
        <v>144.35999999999996</v>
      </c>
      <c r="V68" s="76">
        <f t="shared" si="108"/>
        <v>0</v>
      </c>
      <c r="W68" s="76">
        <f t="shared" si="108"/>
        <v>4648</v>
      </c>
      <c r="X68" s="76">
        <f t="shared" si="108"/>
        <v>5074.5749999999989</v>
      </c>
      <c r="Y68" s="76">
        <f t="shared" si="108"/>
        <v>36165.799646506501</v>
      </c>
      <c r="Z68" s="117"/>
      <c r="AA68" s="109"/>
      <c r="AB68" s="109"/>
      <c r="AC68" s="109"/>
      <c r="AD68" s="109"/>
      <c r="AE68" s="27"/>
      <c r="AF68" s="27"/>
      <c r="AG68" s="27"/>
    </row>
    <row r="69" spans="1:33" ht="15.9" customHeight="1">
      <c r="A69" s="56" t="s">
        <v>74</v>
      </c>
      <c r="K69" s="51"/>
      <c r="L69" s="51"/>
      <c r="M69" s="51"/>
      <c r="N69" s="51"/>
      <c r="W69" s="52"/>
      <c r="X69" s="91" t="s">
        <v>125</v>
      </c>
      <c r="Y69" s="101">
        <f>1.01*2873.8</f>
        <v>2902.538</v>
      </c>
      <c r="Z69" s="145"/>
      <c r="AA69" s="109"/>
      <c r="AB69" s="109"/>
      <c r="AC69" s="109"/>
      <c r="AD69" s="109"/>
      <c r="AE69" s="27"/>
      <c r="AF69" s="27"/>
      <c r="AG69" s="27"/>
    </row>
    <row r="70" spans="1:33" s="100" customFormat="1" ht="28">
      <c r="A70" s="95" t="s">
        <v>61</v>
      </c>
      <c r="B70" s="96" t="s">
        <v>4</v>
      </c>
      <c r="C70" s="96" t="s">
        <v>23</v>
      </c>
      <c r="D70" s="96" t="s">
        <v>45</v>
      </c>
      <c r="E70" s="96" t="s">
        <v>46</v>
      </c>
      <c r="F70" s="96" t="s">
        <v>5</v>
      </c>
      <c r="G70" s="96" t="s">
        <v>6</v>
      </c>
      <c r="H70" s="97" t="s">
        <v>7</v>
      </c>
      <c r="I70" s="97" t="s">
        <v>47</v>
      </c>
      <c r="J70" s="97" t="s">
        <v>8</v>
      </c>
      <c r="K70" s="98" t="s">
        <v>13</v>
      </c>
      <c r="L70" s="98" t="s">
        <v>19</v>
      </c>
      <c r="M70" s="98" t="s">
        <v>22</v>
      </c>
      <c r="N70" s="98" t="s">
        <v>20</v>
      </c>
      <c r="O70" s="99" t="s">
        <v>9</v>
      </c>
      <c r="P70" s="99" t="s">
        <v>49</v>
      </c>
      <c r="Q70" s="48" t="s">
        <v>50</v>
      </c>
      <c r="R70" s="48" t="s">
        <v>54</v>
      </c>
      <c r="S70" s="48" t="s">
        <v>64</v>
      </c>
      <c r="T70" s="48" t="s">
        <v>12</v>
      </c>
      <c r="U70" s="48" t="s">
        <v>52</v>
      </c>
      <c r="V70" s="48" t="s">
        <v>48</v>
      </c>
      <c r="W70" s="48" t="s">
        <v>14</v>
      </c>
      <c r="X70" s="53" t="s">
        <v>11</v>
      </c>
      <c r="Y70" s="139" t="s">
        <v>21</v>
      </c>
      <c r="Z70" s="53"/>
      <c r="AA70" s="109"/>
      <c r="AB70" s="109"/>
      <c r="AC70" s="109"/>
      <c r="AD70" s="109"/>
      <c r="AE70" s="27"/>
      <c r="AF70" s="27"/>
      <c r="AG70" s="27"/>
    </row>
    <row r="71" spans="1:33" s="27" customFormat="1" ht="28.5" thickBot="1">
      <c r="A71" s="103" t="s">
        <v>126</v>
      </c>
      <c r="B71" s="120" t="s">
        <v>127</v>
      </c>
      <c r="C71" s="121"/>
      <c r="D71" s="121"/>
      <c r="E71" s="120"/>
      <c r="F71" s="102" t="s">
        <v>68</v>
      </c>
      <c r="G71" s="161">
        <v>2</v>
      </c>
      <c r="H71" s="159">
        <v>36.880000000000003</v>
      </c>
      <c r="I71" s="162">
        <v>4.29</v>
      </c>
      <c r="J71" s="162"/>
      <c r="K71" s="160">
        <f t="shared" ref="K71" si="109">H71-I71-J71</f>
        <v>32.590000000000003</v>
      </c>
      <c r="L71" s="106">
        <v>4.1500000000000004</v>
      </c>
      <c r="M71" s="106" t="s">
        <v>73</v>
      </c>
      <c r="N71" s="107">
        <v>38</v>
      </c>
      <c r="O71" s="115">
        <v>6.5</v>
      </c>
      <c r="P71" s="124">
        <v>21.445</v>
      </c>
      <c r="Q71" s="38">
        <f t="shared" ref="Q71" si="110">G71*0.5</f>
        <v>1</v>
      </c>
      <c r="R71" s="38"/>
      <c r="S71" s="38">
        <f t="shared" ref="S71" si="111">G71*0.035*N71</f>
        <v>2.66</v>
      </c>
      <c r="T71" s="38"/>
      <c r="U71" s="38">
        <f t="shared" ref="U71" si="112">IF(RIGHT(F71,2)="WG",K71*$AA$4,IF(OR(RIGHT(F71,3)="WRG",RIGHT(F71,3)="WYG",RIGHT(F71,3)="WYR"),K71*$AA$4+3*G71,0))</f>
        <v>7.8216000000000001</v>
      </c>
      <c r="V71" s="38"/>
      <c r="W71" s="38">
        <f>G71*N71*0.75</f>
        <v>57</v>
      </c>
      <c r="X71" s="38">
        <f t="shared" ref="X71" si="113">K71*O71</f>
        <v>211.83500000000004</v>
      </c>
      <c r="Y71" s="38">
        <f>$Y$69/31.1035*K71*IF(LEFT(F71,3)="10K",0.417*1.07,IF(LEFT(F71,3)="14K",0.585*1.05,IF(LEFT(F71,3)="18K",0.75*1.05,0)))</f>
        <v>1868.0916446134681</v>
      </c>
      <c r="Z71" s="116"/>
      <c r="AA71" s="109">
        <f t="shared" si="101"/>
        <v>65.180000000000007</v>
      </c>
      <c r="AB71" s="109">
        <f t="shared" si="102"/>
        <v>215.13660000000004</v>
      </c>
      <c r="AC71" s="109">
        <f t="shared" si="103"/>
        <v>5026.5004400000007</v>
      </c>
      <c r="AD71" s="109">
        <f t="shared" si="104"/>
        <v>5241.6370400000005</v>
      </c>
      <c r="AE71" s="27">
        <f t="shared" si="105"/>
        <v>20.018407500000002</v>
      </c>
      <c r="AG71" s="27">
        <f t="shared" si="96"/>
        <v>211.83500000000004</v>
      </c>
    </row>
    <row r="72" spans="1:33" s="28" customFormat="1" ht="15.9" customHeight="1">
      <c r="A72" s="94" t="s">
        <v>60</v>
      </c>
      <c r="B72" s="72"/>
      <c r="C72" s="72"/>
      <c r="D72" s="72"/>
      <c r="E72" s="72"/>
      <c r="F72" s="72"/>
      <c r="G72" s="163">
        <f>SUM(G71:G71)</f>
        <v>2</v>
      </c>
      <c r="H72" s="164"/>
      <c r="I72" s="164"/>
      <c r="J72" s="164"/>
      <c r="K72" s="164">
        <f>SUM(K71:K71)</f>
        <v>32.590000000000003</v>
      </c>
      <c r="L72" s="74"/>
      <c r="M72" s="74"/>
      <c r="N72" s="74"/>
      <c r="O72" s="75"/>
      <c r="P72" s="125">
        <f t="shared" ref="P72:Y72" si="114">SUM(P71:P71)</f>
        <v>21.445</v>
      </c>
      <c r="Q72" s="76">
        <f t="shared" si="114"/>
        <v>1</v>
      </c>
      <c r="R72" s="76">
        <f t="shared" si="114"/>
        <v>0</v>
      </c>
      <c r="S72" s="76">
        <f t="shared" si="114"/>
        <v>2.66</v>
      </c>
      <c r="T72" s="76">
        <f t="shared" si="114"/>
        <v>0</v>
      </c>
      <c r="U72" s="76">
        <f t="shared" si="114"/>
        <v>7.8216000000000001</v>
      </c>
      <c r="V72" s="76">
        <f t="shared" si="114"/>
        <v>0</v>
      </c>
      <c r="W72" s="76">
        <f t="shared" si="114"/>
        <v>57</v>
      </c>
      <c r="X72" s="76">
        <f t="shared" si="114"/>
        <v>211.83500000000004</v>
      </c>
      <c r="Y72" s="76">
        <f t="shared" si="114"/>
        <v>1868.0916446134681</v>
      </c>
      <c r="Z72" s="117"/>
      <c r="AA72" s="109"/>
      <c r="AB72" s="109"/>
      <c r="AC72" s="109"/>
      <c r="AD72" s="109"/>
      <c r="AE72" s="27"/>
      <c r="AF72" s="27"/>
      <c r="AG72" s="27"/>
    </row>
    <row r="73" spans="1:33" ht="15.9" customHeight="1">
      <c r="A73" s="56" t="s">
        <v>74</v>
      </c>
      <c r="K73" s="51"/>
      <c r="L73" s="51"/>
      <c r="M73" s="51"/>
      <c r="N73" s="51"/>
      <c r="W73" s="52"/>
      <c r="X73" s="91" t="s">
        <v>125</v>
      </c>
      <c r="Y73" s="101">
        <f>1.01*2873.8</f>
        <v>2902.538</v>
      </c>
      <c r="Z73" s="145"/>
      <c r="AA73" s="109"/>
      <c r="AB73" s="109"/>
      <c r="AC73" s="109"/>
      <c r="AD73" s="109"/>
      <c r="AE73" s="27"/>
      <c r="AF73" s="27"/>
      <c r="AG73" s="27"/>
    </row>
    <row r="74" spans="1:33" s="100" customFormat="1" ht="28">
      <c r="A74" s="95" t="s">
        <v>61</v>
      </c>
      <c r="B74" s="96" t="s">
        <v>4</v>
      </c>
      <c r="C74" s="96" t="s">
        <v>23</v>
      </c>
      <c r="D74" s="96" t="s">
        <v>45</v>
      </c>
      <c r="E74" s="96" t="s">
        <v>46</v>
      </c>
      <c r="F74" s="96" t="s">
        <v>5</v>
      </c>
      <c r="G74" s="96" t="s">
        <v>6</v>
      </c>
      <c r="H74" s="97" t="s">
        <v>7</v>
      </c>
      <c r="I74" s="97" t="s">
        <v>47</v>
      </c>
      <c r="J74" s="97" t="s">
        <v>8</v>
      </c>
      <c r="K74" s="98" t="s">
        <v>13</v>
      </c>
      <c r="L74" s="98" t="s">
        <v>19</v>
      </c>
      <c r="M74" s="98" t="s">
        <v>22</v>
      </c>
      <c r="N74" s="98" t="s">
        <v>20</v>
      </c>
      <c r="O74" s="99" t="s">
        <v>9</v>
      </c>
      <c r="P74" s="99" t="s">
        <v>49</v>
      </c>
      <c r="Q74" s="48" t="s">
        <v>50</v>
      </c>
      <c r="R74" s="48" t="s">
        <v>54</v>
      </c>
      <c r="S74" s="48" t="s">
        <v>64</v>
      </c>
      <c r="T74" s="48" t="s">
        <v>12</v>
      </c>
      <c r="U74" s="48" t="s">
        <v>52</v>
      </c>
      <c r="V74" s="48" t="s">
        <v>48</v>
      </c>
      <c r="W74" s="48" t="s">
        <v>14</v>
      </c>
      <c r="X74" s="53" t="s">
        <v>11</v>
      </c>
      <c r="Y74" s="139" t="s">
        <v>21</v>
      </c>
      <c r="Z74" s="53"/>
      <c r="AA74" s="109"/>
      <c r="AB74" s="109"/>
      <c r="AC74" s="109"/>
      <c r="AD74" s="109"/>
      <c r="AE74" s="27"/>
      <c r="AF74" s="27"/>
      <c r="AG74" s="27"/>
    </row>
    <row r="75" spans="1:33" s="27" customFormat="1" ht="14.5" thickBot="1">
      <c r="A75" s="103" t="s">
        <v>128</v>
      </c>
      <c r="B75" s="120" t="s">
        <v>129</v>
      </c>
      <c r="C75" s="121"/>
      <c r="D75" s="121"/>
      <c r="E75" s="120"/>
      <c r="F75" s="102" t="s">
        <v>68</v>
      </c>
      <c r="G75" s="161">
        <v>1</v>
      </c>
      <c r="H75" s="159">
        <v>9.69</v>
      </c>
      <c r="I75" s="162">
        <v>1.18</v>
      </c>
      <c r="J75" s="162"/>
      <c r="K75" s="160">
        <f t="shared" ref="K75" si="115">H75-I75-J75</f>
        <v>8.51</v>
      </c>
      <c r="L75" s="106">
        <v>3.5</v>
      </c>
      <c r="M75" s="106" t="s">
        <v>73</v>
      </c>
      <c r="N75" s="107">
        <v>34</v>
      </c>
      <c r="O75" s="115">
        <v>6.5</v>
      </c>
      <c r="P75" s="124">
        <v>5.915</v>
      </c>
      <c r="Q75" s="38">
        <f t="shared" ref="Q75" si="116">G75*0.5*2</f>
        <v>1</v>
      </c>
      <c r="R75" s="38"/>
      <c r="S75" s="38">
        <f t="shared" ref="S75" si="117">G75*0.035*N75</f>
        <v>1.1900000000000002</v>
      </c>
      <c r="T75" s="38"/>
      <c r="U75" s="38">
        <f t="shared" ref="U75" si="118">IF(RIGHT(F75,2)="WG",K75*$AA$4,IF(OR(RIGHT(F75,3)="WRG",RIGHT(F75,3)="WYG",RIGHT(F75,3)="WYR"),K75*$AA$4+3*G75,0))</f>
        <v>2.0423999999999998</v>
      </c>
      <c r="V75" s="38"/>
      <c r="W75" s="38">
        <f t="shared" ref="W75" si="119">G75*N75*0.75</f>
        <v>25.5</v>
      </c>
      <c r="X75" s="38">
        <f t="shared" ref="X75" si="120">K75*O75</f>
        <v>55.314999999999998</v>
      </c>
      <c r="Y75" s="38">
        <f>$Y$73/31.1035*K75*IF(LEFT(F75,3)="10K",0.417*1.07,IF(LEFT(F75,3)="14K",0.585*1.05,IF(LEFT(F75,3)="18K",0.75*1.05,0)))</f>
        <v>487.80177648544372</v>
      </c>
      <c r="Z75" s="116"/>
      <c r="AA75" s="109">
        <f t="shared" si="101"/>
        <v>17.02</v>
      </c>
      <c r="AB75" s="109">
        <f t="shared" si="102"/>
        <v>68.0274</v>
      </c>
      <c r="AC75" s="109">
        <f t="shared" si="103"/>
        <v>1365.23296</v>
      </c>
      <c r="AD75" s="109">
        <f t="shared" si="104"/>
        <v>1433.26036</v>
      </c>
      <c r="AE75" s="27">
        <f t="shared" si="105"/>
        <v>5.2272675</v>
      </c>
      <c r="AG75" s="27">
        <f t="shared" si="96"/>
        <v>55.314999999999998</v>
      </c>
    </row>
    <row r="76" spans="1:33" s="28" customFormat="1" ht="15.9" customHeight="1">
      <c r="A76" s="94" t="s">
        <v>60</v>
      </c>
      <c r="B76" s="72"/>
      <c r="C76" s="72"/>
      <c r="D76" s="72"/>
      <c r="E76" s="72"/>
      <c r="F76" s="72"/>
      <c r="G76" s="163">
        <f>SUM(G75:G75)</f>
        <v>1</v>
      </c>
      <c r="H76" s="164"/>
      <c r="I76" s="164"/>
      <c r="J76" s="164"/>
      <c r="K76" s="164">
        <f>SUM(K75:K75)</f>
        <v>8.51</v>
      </c>
      <c r="L76" s="74"/>
      <c r="M76" s="74"/>
      <c r="N76" s="74"/>
      <c r="O76" s="75"/>
      <c r="P76" s="125">
        <f t="shared" ref="P76:Y76" si="121">SUM(P75:P75)</f>
        <v>5.915</v>
      </c>
      <c r="Q76" s="76">
        <f t="shared" si="121"/>
        <v>1</v>
      </c>
      <c r="R76" s="76">
        <f t="shared" si="121"/>
        <v>0</v>
      </c>
      <c r="S76" s="76">
        <f t="shared" si="121"/>
        <v>1.1900000000000002</v>
      </c>
      <c r="T76" s="76">
        <f t="shared" si="121"/>
        <v>0</v>
      </c>
      <c r="U76" s="76">
        <f t="shared" si="121"/>
        <v>2.0423999999999998</v>
      </c>
      <c r="V76" s="76">
        <f t="shared" si="121"/>
        <v>0</v>
      </c>
      <c r="W76" s="76">
        <f t="shared" si="121"/>
        <v>25.5</v>
      </c>
      <c r="X76" s="76">
        <f t="shared" si="121"/>
        <v>55.314999999999998</v>
      </c>
      <c r="Y76" s="76">
        <f t="shared" si="121"/>
        <v>487.80177648544372</v>
      </c>
      <c r="Z76" s="117"/>
      <c r="AA76" s="109"/>
      <c r="AB76" s="109"/>
      <c r="AC76" s="109"/>
      <c r="AD76" s="109"/>
      <c r="AE76" s="27"/>
      <c r="AF76" s="27"/>
      <c r="AG76" s="27"/>
    </row>
    <row r="77" spans="1:33" ht="15.9" customHeight="1">
      <c r="A77" s="56" t="s">
        <v>74</v>
      </c>
      <c r="K77" s="51"/>
      <c r="L77" s="51"/>
      <c r="M77" s="51"/>
      <c r="N77" s="51"/>
      <c r="W77" s="52"/>
      <c r="X77" s="91" t="s">
        <v>125</v>
      </c>
      <c r="Y77" s="101">
        <f>1.01*2873.8</f>
        <v>2902.538</v>
      </c>
      <c r="Z77" s="145"/>
      <c r="AA77" s="109"/>
      <c r="AB77" s="109"/>
      <c r="AC77" s="109"/>
      <c r="AD77" s="109"/>
      <c r="AE77" s="27"/>
      <c r="AF77" s="27"/>
      <c r="AG77" s="27"/>
    </row>
    <row r="78" spans="1:33" s="100" customFormat="1" ht="28">
      <c r="A78" s="95" t="s">
        <v>61</v>
      </c>
      <c r="B78" s="96" t="s">
        <v>4</v>
      </c>
      <c r="C78" s="96" t="s">
        <v>23</v>
      </c>
      <c r="D78" s="96" t="s">
        <v>45</v>
      </c>
      <c r="E78" s="96" t="s">
        <v>46</v>
      </c>
      <c r="F78" s="96" t="s">
        <v>5</v>
      </c>
      <c r="G78" s="96" t="s">
        <v>6</v>
      </c>
      <c r="H78" s="97" t="s">
        <v>7</v>
      </c>
      <c r="I78" s="97" t="s">
        <v>47</v>
      </c>
      <c r="J78" s="97" t="s">
        <v>8</v>
      </c>
      <c r="K78" s="98" t="s">
        <v>13</v>
      </c>
      <c r="L78" s="98" t="s">
        <v>19</v>
      </c>
      <c r="M78" s="98" t="s">
        <v>22</v>
      </c>
      <c r="N78" s="98" t="s">
        <v>20</v>
      </c>
      <c r="O78" s="99" t="s">
        <v>9</v>
      </c>
      <c r="P78" s="99" t="s">
        <v>49</v>
      </c>
      <c r="Q78" s="48" t="s">
        <v>50</v>
      </c>
      <c r="R78" s="48" t="s">
        <v>54</v>
      </c>
      <c r="S78" s="48" t="s">
        <v>64</v>
      </c>
      <c r="T78" s="48" t="s">
        <v>12</v>
      </c>
      <c r="U78" s="48" t="s">
        <v>52</v>
      </c>
      <c r="V78" s="48" t="s">
        <v>48</v>
      </c>
      <c r="W78" s="48" t="s">
        <v>14</v>
      </c>
      <c r="X78" s="53" t="s">
        <v>11</v>
      </c>
      <c r="Y78" s="139" t="s">
        <v>21</v>
      </c>
      <c r="Z78" s="53"/>
      <c r="AA78" s="109"/>
      <c r="AB78" s="109"/>
      <c r="AC78" s="109"/>
      <c r="AD78" s="109"/>
      <c r="AE78" s="27"/>
      <c r="AF78" s="27"/>
      <c r="AG78" s="27"/>
    </row>
    <row r="79" spans="1:33" s="27" customFormat="1" ht="28">
      <c r="A79" s="103" t="s">
        <v>130</v>
      </c>
      <c r="B79" s="120" t="s">
        <v>104</v>
      </c>
      <c r="C79" s="121"/>
      <c r="D79" s="121"/>
      <c r="E79" s="120"/>
      <c r="F79" s="120" t="s">
        <v>68</v>
      </c>
      <c r="G79" s="161">
        <v>25</v>
      </c>
      <c r="H79" s="159">
        <v>70.250000000000014</v>
      </c>
      <c r="I79" s="162">
        <v>6.0200000000000022</v>
      </c>
      <c r="J79" s="162"/>
      <c r="K79" s="160">
        <f t="shared" ref="K79:K82" si="122">H79-I79-J79</f>
        <v>64.230000000000018</v>
      </c>
      <c r="L79" s="106" t="s">
        <v>105</v>
      </c>
      <c r="M79" s="106" t="s">
        <v>73</v>
      </c>
      <c r="N79" s="107">
        <v>5</v>
      </c>
      <c r="O79" s="115">
        <v>6.5</v>
      </c>
      <c r="P79" s="124">
        <v>30.045000000000009</v>
      </c>
      <c r="Q79" s="38">
        <f t="shared" ref="Q79:Q82" si="123">G79*0.5</f>
        <v>12.5</v>
      </c>
      <c r="R79" s="38"/>
      <c r="S79" s="38">
        <f t="shared" ref="S79:S82" si="124">G79*0.035*N79</f>
        <v>4.3750000000000009</v>
      </c>
      <c r="T79" s="38"/>
      <c r="U79" s="38">
        <f t="shared" ref="U79:U82" si="125">IF(RIGHT(F79,2)="WG",K79*$AA$4,IF(OR(RIGHT(F79,3)="WRG",RIGHT(F79,3)="WYG",RIGHT(F79,3)="WYR"),K79*$AA$4+3*G79,0))</f>
        <v>15.415200000000004</v>
      </c>
      <c r="V79" s="38"/>
      <c r="W79" s="38">
        <f>G79*N79*3.75</f>
        <v>468.75</v>
      </c>
      <c r="X79" s="38">
        <f t="shared" ref="X79:X82" si="126">K79*O79</f>
        <v>417.49500000000012</v>
      </c>
      <c r="Y79" s="38">
        <f>$Y$77/31.1035*K79*IF(LEFT(F79,3)="10K",0.417*1.07,IF(LEFT(F79,3)="14K",0.585*1.05,IF(LEFT(F79,3)="18K",0.75*1.05,0)))</f>
        <v>3681.7283318049426</v>
      </c>
      <c r="Z79" s="116"/>
      <c r="AA79" s="109">
        <f t="shared" si="101"/>
        <v>128.46000000000004</v>
      </c>
      <c r="AB79" s="109">
        <f t="shared" si="102"/>
        <v>790.07520000000011</v>
      </c>
      <c r="AC79" s="109">
        <f t="shared" si="103"/>
        <v>7863.5590800000027</v>
      </c>
      <c r="AD79" s="109">
        <f t="shared" si="104"/>
        <v>8653.634280000002</v>
      </c>
      <c r="AE79" s="27">
        <f t="shared" si="105"/>
        <v>39.453277500000006</v>
      </c>
      <c r="AG79" s="27">
        <f t="shared" ref="AG79:AG92" si="127">IF(AF79&gt;0,AF79*K79,X79)</f>
        <v>417.49500000000012</v>
      </c>
    </row>
    <row r="80" spans="1:33" s="27" customFormat="1" ht="28">
      <c r="A80" s="119">
        <v>9</v>
      </c>
      <c r="B80" s="120" t="s">
        <v>104</v>
      </c>
      <c r="C80" s="121"/>
      <c r="D80" s="121"/>
      <c r="E80" s="120"/>
      <c r="F80" s="120" t="s">
        <v>69</v>
      </c>
      <c r="G80" s="161">
        <v>13</v>
      </c>
      <c r="H80" s="159">
        <v>35.510000000000005</v>
      </c>
      <c r="I80" s="162">
        <v>3.1000000000000005</v>
      </c>
      <c r="J80" s="162"/>
      <c r="K80" s="160">
        <f t="shared" si="122"/>
        <v>32.410000000000004</v>
      </c>
      <c r="L80" s="106" t="s">
        <v>105</v>
      </c>
      <c r="M80" s="106" t="s">
        <v>73</v>
      </c>
      <c r="N80" s="107">
        <v>5</v>
      </c>
      <c r="O80" s="115">
        <v>6.5</v>
      </c>
      <c r="P80" s="124">
        <v>15.38</v>
      </c>
      <c r="Q80" s="38">
        <f t="shared" si="123"/>
        <v>6.5</v>
      </c>
      <c r="R80" s="38"/>
      <c r="S80" s="38">
        <f t="shared" si="124"/>
        <v>2.2750000000000004</v>
      </c>
      <c r="T80" s="38"/>
      <c r="U80" s="38">
        <f t="shared" si="125"/>
        <v>0</v>
      </c>
      <c r="V80" s="38"/>
      <c r="W80" s="38">
        <f>G80*N80*3.75</f>
        <v>243.75</v>
      </c>
      <c r="X80" s="38">
        <f t="shared" si="126"/>
        <v>210.66500000000002</v>
      </c>
      <c r="Y80" s="38">
        <f t="shared" ref="Y80:Y82" si="128">$Y$77/31.1035*K80*IF(LEFT(F80,3)="10K",0.417*1.07,IF(LEFT(F80,3)="14K",0.585*1.05,IF(LEFT(F80,3)="18K",0.75*1.05,0)))</f>
        <v>1857.7738632071953</v>
      </c>
      <c r="Z80" s="116"/>
      <c r="AA80" s="109">
        <f t="shared" si="101"/>
        <v>64.820000000000007</v>
      </c>
      <c r="AB80" s="109">
        <f t="shared" si="102"/>
        <v>398.37000000000006</v>
      </c>
      <c r="AC80" s="109">
        <f t="shared" si="103"/>
        <v>4004.5930600000006</v>
      </c>
      <c r="AD80" s="109">
        <f t="shared" si="104"/>
        <v>4402.963060000001</v>
      </c>
      <c r="AE80" s="27">
        <f t="shared" si="105"/>
        <v>19.907842500000001</v>
      </c>
      <c r="AG80" s="27">
        <f t="shared" si="127"/>
        <v>210.66500000000002</v>
      </c>
    </row>
    <row r="81" spans="1:33" s="27" customFormat="1" ht="28">
      <c r="A81" s="119">
        <v>10</v>
      </c>
      <c r="B81" s="120" t="s">
        <v>106</v>
      </c>
      <c r="C81" s="121"/>
      <c r="D81" s="121"/>
      <c r="E81" s="120"/>
      <c r="F81" s="120" t="s">
        <v>68</v>
      </c>
      <c r="G81" s="161">
        <v>14</v>
      </c>
      <c r="H81" s="159">
        <v>44.19</v>
      </c>
      <c r="I81" s="162">
        <v>5.86</v>
      </c>
      <c r="J81" s="162"/>
      <c r="K81" s="160">
        <f t="shared" si="122"/>
        <v>38.33</v>
      </c>
      <c r="L81" s="106" t="s">
        <v>107</v>
      </c>
      <c r="M81" s="106" t="s">
        <v>73</v>
      </c>
      <c r="N81" s="107">
        <v>5</v>
      </c>
      <c r="O81" s="115">
        <v>6.5</v>
      </c>
      <c r="P81" s="124">
        <v>29.195</v>
      </c>
      <c r="Q81" s="38">
        <f t="shared" si="123"/>
        <v>7</v>
      </c>
      <c r="R81" s="38"/>
      <c r="S81" s="38">
        <f t="shared" si="124"/>
        <v>2.4500000000000002</v>
      </c>
      <c r="T81" s="38"/>
      <c r="U81" s="38">
        <f t="shared" si="125"/>
        <v>9.1991999999999994</v>
      </c>
      <c r="V81" s="38"/>
      <c r="W81" s="38">
        <f>G81*N81*4</f>
        <v>280</v>
      </c>
      <c r="X81" s="38">
        <f t="shared" si="126"/>
        <v>249.14499999999998</v>
      </c>
      <c r="Y81" s="38">
        <f t="shared" si="128"/>
        <v>2197.1142294579386</v>
      </c>
      <c r="Z81" s="116"/>
      <c r="AA81" s="109">
        <f t="shared" si="101"/>
        <v>76.66</v>
      </c>
      <c r="AB81" s="109">
        <f t="shared" si="102"/>
        <v>471.13420000000008</v>
      </c>
      <c r="AC81" s="109">
        <f t="shared" si="103"/>
        <v>6576.0026799999996</v>
      </c>
      <c r="AD81" s="109">
        <f t="shared" si="104"/>
        <v>7047.13688</v>
      </c>
      <c r="AE81" s="27">
        <f t="shared" si="105"/>
        <v>23.544202499999997</v>
      </c>
      <c r="AG81" s="27">
        <f t="shared" si="127"/>
        <v>249.14499999999998</v>
      </c>
    </row>
    <row r="82" spans="1:33" s="27" customFormat="1" ht="28.5" thickBot="1">
      <c r="A82" s="119">
        <v>10</v>
      </c>
      <c r="B82" s="120" t="s">
        <v>106</v>
      </c>
      <c r="C82" s="121"/>
      <c r="D82" s="121"/>
      <c r="E82" s="120"/>
      <c r="F82" s="120" t="s">
        <v>69</v>
      </c>
      <c r="G82" s="161">
        <v>3</v>
      </c>
      <c r="H82" s="159">
        <v>9.0399999999999991</v>
      </c>
      <c r="I82" s="162">
        <v>1.25</v>
      </c>
      <c r="J82" s="162"/>
      <c r="K82" s="160">
        <f t="shared" si="122"/>
        <v>7.7899999999999991</v>
      </c>
      <c r="L82" s="106" t="s">
        <v>107</v>
      </c>
      <c r="M82" s="106" t="s">
        <v>73</v>
      </c>
      <c r="N82" s="107">
        <v>5</v>
      </c>
      <c r="O82" s="115">
        <v>6.5</v>
      </c>
      <c r="P82" s="124">
        <v>6.25</v>
      </c>
      <c r="Q82" s="38">
        <f t="shared" si="123"/>
        <v>1.5</v>
      </c>
      <c r="R82" s="38"/>
      <c r="S82" s="38">
        <f t="shared" si="124"/>
        <v>0.52500000000000002</v>
      </c>
      <c r="T82" s="38"/>
      <c r="U82" s="38">
        <f t="shared" si="125"/>
        <v>0</v>
      </c>
      <c r="V82" s="38"/>
      <c r="W82" s="38">
        <f>G82*N82*4</f>
        <v>60</v>
      </c>
      <c r="X82" s="38">
        <f t="shared" si="126"/>
        <v>50.634999999999991</v>
      </c>
      <c r="Y82" s="38">
        <f t="shared" si="128"/>
        <v>446.53065086035326</v>
      </c>
      <c r="Z82" s="116"/>
      <c r="AA82" s="109">
        <f t="shared" si="101"/>
        <v>15.579999999999998</v>
      </c>
      <c r="AB82" s="109">
        <f t="shared" si="102"/>
        <v>97.08</v>
      </c>
      <c r="AC82" s="109">
        <f t="shared" si="103"/>
        <v>1389.39554</v>
      </c>
      <c r="AD82" s="109">
        <f t="shared" si="104"/>
        <v>1486.4755399999999</v>
      </c>
      <c r="AE82" s="27">
        <f t="shared" si="105"/>
        <v>4.785007499999999</v>
      </c>
      <c r="AG82" s="27">
        <f t="shared" si="127"/>
        <v>50.634999999999991</v>
      </c>
    </row>
    <row r="83" spans="1:33" s="28" customFormat="1" ht="15.9" customHeight="1">
      <c r="A83" s="94" t="s">
        <v>60</v>
      </c>
      <c r="B83" s="72"/>
      <c r="C83" s="72"/>
      <c r="D83" s="72"/>
      <c r="E83" s="72"/>
      <c r="F83" s="72"/>
      <c r="G83" s="163">
        <f>SUM(G79:G82)</f>
        <v>55</v>
      </c>
      <c r="H83" s="164"/>
      <c r="I83" s="164"/>
      <c r="J83" s="164"/>
      <c r="K83" s="164">
        <f>SUM(K79:K82)</f>
        <v>142.76000000000002</v>
      </c>
      <c r="L83" s="74"/>
      <c r="M83" s="74"/>
      <c r="N83" s="74"/>
      <c r="O83" s="75"/>
      <c r="P83" s="125">
        <f t="shared" ref="P83:Y83" si="129">SUM(P79:P82)</f>
        <v>80.87</v>
      </c>
      <c r="Q83" s="76">
        <f t="shared" si="129"/>
        <v>27.5</v>
      </c>
      <c r="R83" s="76">
        <f t="shared" si="129"/>
        <v>0</v>
      </c>
      <c r="S83" s="76">
        <f t="shared" si="129"/>
        <v>9.6250000000000018</v>
      </c>
      <c r="T83" s="76">
        <f t="shared" si="129"/>
        <v>0</v>
      </c>
      <c r="U83" s="76">
        <f t="shared" si="129"/>
        <v>24.614400000000003</v>
      </c>
      <c r="V83" s="76">
        <f t="shared" si="129"/>
        <v>0</v>
      </c>
      <c r="W83" s="76">
        <f t="shared" si="129"/>
        <v>1052.5</v>
      </c>
      <c r="X83" s="76">
        <f t="shared" si="129"/>
        <v>927.94</v>
      </c>
      <c r="Y83" s="76">
        <f t="shared" si="129"/>
        <v>8183.1470753304302</v>
      </c>
      <c r="Z83" s="117"/>
      <c r="AA83" s="109"/>
      <c r="AB83" s="109"/>
      <c r="AC83" s="109"/>
      <c r="AD83" s="109"/>
      <c r="AE83" s="27"/>
      <c r="AF83" s="27"/>
      <c r="AG83" s="27"/>
    </row>
    <row r="84" spans="1:33" ht="15.9" customHeight="1">
      <c r="A84" s="56" t="s">
        <v>74</v>
      </c>
      <c r="K84" s="51"/>
      <c r="L84" s="51"/>
      <c r="M84" s="51"/>
      <c r="N84" s="51"/>
      <c r="W84" s="52"/>
      <c r="X84" s="91" t="s">
        <v>125</v>
      </c>
      <c r="Y84" s="101">
        <f>1.01*2873.8</f>
        <v>2902.538</v>
      </c>
      <c r="Z84" s="145"/>
      <c r="AA84" s="109"/>
      <c r="AB84" s="109"/>
      <c r="AC84" s="109"/>
      <c r="AD84" s="109"/>
      <c r="AE84" s="27"/>
      <c r="AF84" s="27"/>
      <c r="AG84" s="27"/>
    </row>
    <row r="85" spans="1:33" s="100" customFormat="1" ht="28">
      <c r="A85" s="95" t="s">
        <v>61</v>
      </c>
      <c r="B85" s="96" t="s">
        <v>4</v>
      </c>
      <c r="C85" s="96" t="s">
        <v>23</v>
      </c>
      <c r="D85" s="96" t="s">
        <v>45</v>
      </c>
      <c r="E85" s="96" t="s">
        <v>46</v>
      </c>
      <c r="F85" s="96" t="s">
        <v>5</v>
      </c>
      <c r="G85" s="96" t="s">
        <v>6</v>
      </c>
      <c r="H85" s="97" t="s">
        <v>7</v>
      </c>
      <c r="I85" s="97" t="s">
        <v>47</v>
      </c>
      <c r="J85" s="97" t="s">
        <v>8</v>
      </c>
      <c r="K85" s="98" t="s">
        <v>13</v>
      </c>
      <c r="L85" s="98" t="s">
        <v>19</v>
      </c>
      <c r="M85" s="98" t="s">
        <v>22</v>
      </c>
      <c r="N85" s="98" t="s">
        <v>20</v>
      </c>
      <c r="O85" s="99" t="s">
        <v>9</v>
      </c>
      <c r="P85" s="99" t="s">
        <v>49</v>
      </c>
      <c r="Q85" s="48" t="s">
        <v>50</v>
      </c>
      <c r="R85" s="48" t="s">
        <v>54</v>
      </c>
      <c r="S85" s="48" t="s">
        <v>64</v>
      </c>
      <c r="T85" s="48" t="s">
        <v>12</v>
      </c>
      <c r="U85" s="48" t="s">
        <v>52</v>
      </c>
      <c r="V85" s="48" t="s">
        <v>48</v>
      </c>
      <c r="W85" s="48" t="s">
        <v>14</v>
      </c>
      <c r="X85" s="53" t="s">
        <v>11</v>
      </c>
      <c r="Y85" s="139" t="s">
        <v>21</v>
      </c>
      <c r="Z85" s="53"/>
      <c r="AA85" s="109"/>
      <c r="AB85" s="109"/>
      <c r="AC85" s="109"/>
      <c r="AD85" s="109"/>
      <c r="AE85" s="27"/>
      <c r="AF85" s="27"/>
      <c r="AG85" s="27"/>
    </row>
    <row r="86" spans="1:33" s="27" customFormat="1" ht="28">
      <c r="A86" s="103" t="s">
        <v>131</v>
      </c>
      <c r="B86" s="120" t="s">
        <v>112</v>
      </c>
      <c r="C86" s="121"/>
      <c r="D86" s="121"/>
      <c r="E86" s="120"/>
      <c r="F86" s="102" t="s">
        <v>68</v>
      </c>
      <c r="G86" s="122">
        <v>8</v>
      </c>
      <c r="H86" s="112">
        <v>54.64</v>
      </c>
      <c r="I86" s="123">
        <v>7.0600000000000005</v>
      </c>
      <c r="J86" s="123"/>
      <c r="K86" s="113">
        <f t="shared" ref="K86:K87" si="130">H86-I86-J86</f>
        <v>47.58</v>
      </c>
      <c r="L86" s="106" t="s">
        <v>113</v>
      </c>
      <c r="M86" s="106" t="s">
        <v>73</v>
      </c>
      <c r="N86" s="107">
        <v>5</v>
      </c>
      <c r="O86" s="115">
        <v>6.5</v>
      </c>
      <c r="P86" s="124">
        <v>35.274999999999999</v>
      </c>
      <c r="Q86" s="38">
        <f t="shared" ref="Q86:Q87" si="131">G86*0.5</f>
        <v>4</v>
      </c>
      <c r="R86" s="38"/>
      <c r="S86" s="38">
        <f t="shared" ref="S86:S87" si="132">G86*0.035*N86</f>
        <v>1.4000000000000001</v>
      </c>
      <c r="T86" s="38"/>
      <c r="U86" s="38">
        <f t="shared" ref="U86:U87" si="133">IF(RIGHT(F86,2)="WG",K86*$AA$4,IF(OR(RIGHT(F86,3)="WRG",RIGHT(F86,3)="WYG",RIGHT(F86,3)="WYR"),K86*$AA$4+3*G86,0))</f>
        <v>11.4192</v>
      </c>
      <c r="V86" s="38"/>
      <c r="W86" s="38">
        <f>G86*N86*5</f>
        <v>200</v>
      </c>
      <c r="X86" s="38">
        <f t="shared" ref="X86:X87" si="134">K86*O86</f>
        <v>309.27</v>
      </c>
      <c r="Y86" s="38">
        <f t="shared" ref="Y86:Y87" si="135">$Y$84/31.1035*K86*IF(LEFT(F86,3)="10K",0.417*1.07,IF(LEFT(F86,3)="14K",0.585*1.05,IF(LEFT(F86,3)="18K",0.75*1.05,0)))</f>
        <v>2727.3335517247256</v>
      </c>
      <c r="Z86" s="116"/>
      <c r="AA86" s="109">
        <f t="shared" si="101"/>
        <v>95.16</v>
      </c>
      <c r="AB86" s="109">
        <f t="shared" si="102"/>
        <v>430.92920000000004</v>
      </c>
      <c r="AC86" s="109">
        <f t="shared" si="103"/>
        <v>8001.5475800000004</v>
      </c>
      <c r="AD86" s="109">
        <f t="shared" si="104"/>
        <v>8432.4767800000009</v>
      </c>
      <c r="AE86" s="27">
        <f t="shared" si="105"/>
        <v>29.226014999999997</v>
      </c>
      <c r="AG86" s="27">
        <f t="shared" si="127"/>
        <v>309.27</v>
      </c>
    </row>
    <row r="87" spans="1:33" s="27" customFormat="1" ht="28.5" thickBot="1">
      <c r="A87" s="119">
        <v>12</v>
      </c>
      <c r="B87" s="120" t="s">
        <v>112</v>
      </c>
      <c r="C87" s="121"/>
      <c r="D87" s="121"/>
      <c r="E87" s="120"/>
      <c r="F87" s="120" t="s">
        <v>69</v>
      </c>
      <c r="G87" s="122">
        <v>2</v>
      </c>
      <c r="H87" s="112">
        <v>13.59</v>
      </c>
      <c r="I87" s="123">
        <v>1.8599999999999999</v>
      </c>
      <c r="J87" s="123"/>
      <c r="K87" s="113">
        <f t="shared" si="130"/>
        <v>11.73</v>
      </c>
      <c r="L87" s="106" t="s">
        <v>113</v>
      </c>
      <c r="M87" s="106" t="s">
        <v>73</v>
      </c>
      <c r="N87" s="107">
        <v>5</v>
      </c>
      <c r="O87" s="115">
        <v>6.5</v>
      </c>
      <c r="P87" s="124">
        <v>9.3049999999999997</v>
      </c>
      <c r="Q87" s="38">
        <f t="shared" si="131"/>
        <v>1</v>
      </c>
      <c r="R87" s="38"/>
      <c r="S87" s="38">
        <f t="shared" si="132"/>
        <v>0.35000000000000003</v>
      </c>
      <c r="T87" s="38"/>
      <c r="U87" s="38">
        <f t="shared" si="133"/>
        <v>0</v>
      </c>
      <c r="V87" s="38"/>
      <c r="W87" s="38">
        <f>G87*N87*5</f>
        <v>50</v>
      </c>
      <c r="X87" s="38">
        <f t="shared" si="134"/>
        <v>76.245000000000005</v>
      </c>
      <c r="Y87" s="38">
        <f t="shared" si="135"/>
        <v>672.3754216420981</v>
      </c>
      <c r="Z87" s="116"/>
      <c r="AA87" s="109">
        <f t="shared" si="101"/>
        <v>23.46</v>
      </c>
      <c r="AB87" s="109">
        <f t="shared" si="102"/>
        <v>104.13499999999999</v>
      </c>
      <c r="AC87" s="109">
        <f t="shared" si="103"/>
        <v>2074.3808799999997</v>
      </c>
      <c r="AD87" s="109">
        <f t="shared" si="104"/>
        <v>2178.5158799999999</v>
      </c>
      <c r="AE87" s="27">
        <f t="shared" si="105"/>
        <v>7.2051524999999996</v>
      </c>
      <c r="AG87" s="27">
        <f t="shared" si="127"/>
        <v>76.245000000000005</v>
      </c>
    </row>
    <row r="88" spans="1:33" s="28" customFormat="1" ht="15.9" customHeight="1">
      <c r="A88" s="94" t="s">
        <v>60</v>
      </c>
      <c r="B88" s="72"/>
      <c r="C88" s="72"/>
      <c r="D88" s="72"/>
      <c r="E88" s="72"/>
      <c r="F88" s="72"/>
      <c r="G88" s="73">
        <f>SUM(G86:G87)</f>
        <v>10</v>
      </c>
      <c r="H88" s="114"/>
      <c r="I88" s="114"/>
      <c r="J88" s="114"/>
      <c r="K88" s="114">
        <f>SUM(K86:K87)</f>
        <v>59.31</v>
      </c>
      <c r="L88" s="74"/>
      <c r="M88" s="74"/>
      <c r="N88" s="74"/>
      <c r="O88" s="75"/>
      <c r="P88" s="125">
        <f t="shared" ref="P88:Y88" si="136">SUM(P86:P87)</f>
        <v>44.58</v>
      </c>
      <c r="Q88" s="76">
        <f t="shared" si="136"/>
        <v>5</v>
      </c>
      <c r="R88" s="76">
        <f t="shared" si="136"/>
        <v>0</v>
      </c>
      <c r="S88" s="76">
        <f t="shared" si="136"/>
        <v>1.7500000000000002</v>
      </c>
      <c r="T88" s="76">
        <f t="shared" si="136"/>
        <v>0</v>
      </c>
      <c r="U88" s="76">
        <f t="shared" si="136"/>
        <v>11.4192</v>
      </c>
      <c r="V88" s="76">
        <f t="shared" si="136"/>
        <v>0</v>
      </c>
      <c r="W88" s="76">
        <f t="shared" si="136"/>
        <v>250</v>
      </c>
      <c r="X88" s="76">
        <f t="shared" si="136"/>
        <v>385.51499999999999</v>
      </c>
      <c r="Y88" s="76">
        <f t="shared" si="136"/>
        <v>3399.7089733668236</v>
      </c>
      <c r="Z88" s="117"/>
      <c r="AA88" s="109"/>
      <c r="AB88" s="109"/>
      <c r="AC88" s="109"/>
      <c r="AD88" s="109"/>
      <c r="AE88" s="27"/>
      <c r="AF88" s="27"/>
      <c r="AG88" s="27"/>
    </row>
    <row r="89" spans="1:33" ht="15.9" customHeight="1">
      <c r="A89" s="56" t="s">
        <v>74</v>
      </c>
      <c r="K89" s="51"/>
      <c r="L89" s="51"/>
      <c r="M89" s="51"/>
      <c r="N89" s="51"/>
      <c r="W89" s="52"/>
      <c r="X89" s="91" t="s">
        <v>132</v>
      </c>
      <c r="Y89" s="101">
        <f>1.01*2873.8</f>
        <v>2902.538</v>
      </c>
      <c r="Z89" s="145"/>
      <c r="AA89" s="109"/>
      <c r="AB89" s="109"/>
      <c r="AC89" s="109"/>
      <c r="AD89" s="109"/>
      <c r="AE89" s="27"/>
      <c r="AF89" s="27"/>
      <c r="AG89" s="27"/>
    </row>
    <row r="90" spans="1:33" s="100" customFormat="1" ht="28">
      <c r="A90" s="95" t="s">
        <v>61</v>
      </c>
      <c r="B90" s="96" t="s">
        <v>4</v>
      </c>
      <c r="C90" s="96" t="s">
        <v>23</v>
      </c>
      <c r="D90" s="96" t="s">
        <v>45</v>
      </c>
      <c r="E90" s="96" t="s">
        <v>46</v>
      </c>
      <c r="F90" s="96" t="s">
        <v>5</v>
      </c>
      <c r="G90" s="96" t="s">
        <v>6</v>
      </c>
      <c r="H90" s="97" t="s">
        <v>7</v>
      </c>
      <c r="I90" s="97" t="s">
        <v>47</v>
      </c>
      <c r="J90" s="97" t="s">
        <v>8</v>
      </c>
      <c r="K90" s="98" t="s">
        <v>13</v>
      </c>
      <c r="L90" s="98" t="s">
        <v>19</v>
      </c>
      <c r="M90" s="98" t="s">
        <v>22</v>
      </c>
      <c r="N90" s="98" t="s">
        <v>20</v>
      </c>
      <c r="O90" s="99" t="s">
        <v>9</v>
      </c>
      <c r="P90" s="99" t="s">
        <v>49</v>
      </c>
      <c r="Q90" s="48" t="s">
        <v>50</v>
      </c>
      <c r="R90" s="48" t="s">
        <v>54</v>
      </c>
      <c r="S90" s="48" t="s">
        <v>64</v>
      </c>
      <c r="T90" s="48" t="s">
        <v>12</v>
      </c>
      <c r="U90" s="48" t="s">
        <v>52</v>
      </c>
      <c r="V90" s="48" t="s">
        <v>48</v>
      </c>
      <c r="W90" s="48" t="s">
        <v>14</v>
      </c>
      <c r="X90" s="53" t="s">
        <v>11</v>
      </c>
      <c r="Y90" s="139" t="s">
        <v>21</v>
      </c>
      <c r="Z90" s="53"/>
      <c r="AA90" s="109"/>
      <c r="AB90" s="109"/>
      <c r="AC90" s="109"/>
      <c r="AD90" s="109"/>
      <c r="AE90" s="27"/>
      <c r="AF90" s="27"/>
      <c r="AG90" s="27"/>
    </row>
    <row r="91" spans="1:33" s="27" customFormat="1" ht="28">
      <c r="A91" s="103" t="s">
        <v>133</v>
      </c>
      <c r="B91" s="120" t="s">
        <v>134</v>
      </c>
      <c r="C91" s="121"/>
      <c r="D91" s="121"/>
      <c r="E91" s="120"/>
      <c r="F91" s="120" t="s">
        <v>69</v>
      </c>
      <c r="G91" s="122">
        <v>2</v>
      </c>
      <c r="H91" s="112">
        <v>8.19</v>
      </c>
      <c r="I91" s="123">
        <v>1.01</v>
      </c>
      <c r="J91" s="123"/>
      <c r="K91" s="113">
        <f t="shared" ref="K91:K92" si="137">H91-I91-J91</f>
        <v>7.18</v>
      </c>
      <c r="L91" s="106">
        <v>4.5</v>
      </c>
      <c r="M91" s="106" t="s">
        <v>73</v>
      </c>
      <c r="N91" s="107">
        <v>7</v>
      </c>
      <c r="O91" s="115">
        <v>5.5</v>
      </c>
      <c r="P91" s="124">
        <v>5.0649999999999995</v>
      </c>
      <c r="Q91" s="38">
        <f t="shared" ref="Q91:Q92" si="138">0.5*G91</f>
        <v>1</v>
      </c>
      <c r="R91" s="38"/>
      <c r="S91" s="38">
        <f t="shared" ref="S91" si="139">0.035*N91*G91</f>
        <v>0.49000000000000005</v>
      </c>
      <c r="T91" s="38"/>
      <c r="U91" s="38">
        <f t="shared" ref="U91:U92" si="140">IF(RIGHT(F91,2)="WG",K91*$AA$4,IF(OR(RIGHT(F91,3)="WRG",RIGHT(F91,3)="WYG",RIGHT(F91,3)="WYR"),K91*$AA$4+3*G91,0))</f>
        <v>0</v>
      </c>
      <c r="V91" s="38"/>
      <c r="W91" s="38">
        <f>G91*N91*1.5</f>
        <v>21</v>
      </c>
      <c r="X91" s="38">
        <f t="shared" ref="X91:X92" si="141">K91*O91</f>
        <v>39.489999999999995</v>
      </c>
      <c r="Y91" s="38">
        <f t="shared" ref="Y91:Y92" si="142">$Y$89/31.1035*K91*IF(LEFT(F91,3)="10K",0.417*1.07,IF(LEFT(F91,3)="14K",0.585*1.05,IF(LEFT(F91,3)="18K",0.75*1.05,0)))</f>
        <v>411.5648360946517</v>
      </c>
      <c r="Z91" s="116"/>
      <c r="AA91" s="109">
        <f t="shared" si="101"/>
        <v>14.36</v>
      </c>
      <c r="AB91" s="109">
        <f t="shared" si="102"/>
        <v>47.61999999999999</v>
      </c>
      <c r="AC91" s="109">
        <f t="shared" si="103"/>
        <v>1164.3093799999999</v>
      </c>
      <c r="AD91" s="109">
        <f t="shared" si="104"/>
        <v>1211.9293799999998</v>
      </c>
      <c r="AE91" s="27">
        <f t="shared" si="105"/>
        <v>4.4103149999999998</v>
      </c>
      <c r="AG91" s="27">
        <f t="shared" si="127"/>
        <v>39.489999999999995</v>
      </c>
    </row>
    <row r="92" spans="1:33" s="27" customFormat="1" ht="112.5" thickBot="1">
      <c r="A92" s="119">
        <v>37</v>
      </c>
      <c r="B92" s="120" t="s">
        <v>67</v>
      </c>
      <c r="C92" s="121"/>
      <c r="D92" s="121"/>
      <c r="E92" s="120"/>
      <c r="F92" s="102" t="s">
        <v>68</v>
      </c>
      <c r="G92" s="122">
        <v>1</v>
      </c>
      <c r="H92" s="112">
        <v>13.91</v>
      </c>
      <c r="I92" s="123">
        <v>1.1000000000000001</v>
      </c>
      <c r="J92" s="123"/>
      <c r="K92" s="113">
        <f t="shared" si="137"/>
        <v>12.81</v>
      </c>
      <c r="L92" s="106" t="s">
        <v>70</v>
      </c>
      <c r="M92" s="106" t="s">
        <v>71</v>
      </c>
      <c r="N92" s="107" t="s">
        <v>72</v>
      </c>
      <c r="O92" s="115">
        <v>8</v>
      </c>
      <c r="P92" s="124">
        <v>5.4950000000000001</v>
      </c>
      <c r="Q92" s="38">
        <f t="shared" si="138"/>
        <v>0.5</v>
      </c>
      <c r="R92" s="38"/>
      <c r="S92" s="38">
        <f>0.035*(218+8+6+6+6+4+2+1)*G92</f>
        <v>8.7850000000000001</v>
      </c>
      <c r="T92" s="38"/>
      <c r="U92" s="38">
        <f t="shared" si="140"/>
        <v>3.0743999999999998</v>
      </c>
      <c r="V92" s="38"/>
      <c r="W92" s="38">
        <f>((218+8+6)*0.3+(6+6+4)*0.5+(2+1)*0.75)*G92</f>
        <v>79.849999999999994</v>
      </c>
      <c r="X92" s="38">
        <f t="shared" si="141"/>
        <v>102.48</v>
      </c>
      <c r="Y92" s="38">
        <f t="shared" si="142"/>
        <v>734.2821100797338</v>
      </c>
      <c r="Z92" s="116"/>
      <c r="AA92" s="109">
        <f t="shared" si="101"/>
        <v>25.62</v>
      </c>
      <c r="AB92" s="109">
        <f t="shared" si="102"/>
        <v>169.06939999999997</v>
      </c>
      <c r="AC92" s="109">
        <f t="shared" si="103"/>
        <v>1485.1891600000001</v>
      </c>
      <c r="AD92" s="109">
        <f t="shared" si="104"/>
        <v>1654.2585600000002</v>
      </c>
      <c r="AE92" s="27">
        <f t="shared" si="105"/>
        <v>7.8685425000000002</v>
      </c>
      <c r="AG92" s="27">
        <f t="shared" si="127"/>
        <v>102.48</v>
      </c>
    </row>
    <row r="93" spans="1:33" s="28" customFormat="1" ht="15.9" customHeight="1">
      <c r="A93" s="94" t="s">
        <v>60</v>
      </c>
      <c r="B93" s="72"/>
      <c r="C93" s="72"/>
      <c r="D93" s="72"/>
      <c r="E93" s="72"/>
      <c r="F93" s="72"/>
      <c r="G93" s="73">
        <f>SUM(G91:G92)</f>
        <v>3</v>
      </c>
      <c r="H93" s="114"/>
      <c r="I93" s="114"/>
      <c r="J93" s="114"/>
      <c r="K93" s="114">
        <f>SUM(K91:K92)</f>
        <v>19.990000000000002</v>
      </c>
      <c r="L93" s="74"/>
      <c r="M93" s="74"/>
      <c r="N93" s="74"/>
      <c r="O93" s="75"/>
      <c r="P93" s="125">
        <f t="shared" ref="P93:Y93" si="143">SUM(P91:P92)</f>
        <v>10.559999999999999</v>
      </c>
      <c r="Q93" s="76">
        <f t="shared" si="143"/>
        <v>1.5</v>
      </c>
      <c r="R93" s="76">
        <f t="shared" si="143"/>
        <v>0</v>
      </c>
      <c r="S93" s="76">
        <f t="shared" si="143"/>
        <v>9.2750000000000004</v>
      </c>
      <c r="T93" s="76">
        <f t="shared" si="143"/>
        <v>0</v>
      </c>
      <c r="U93" s="76">
        <f t="shared" si="143"/>
        <v>3.0743999999999998</v>
      </c>
      <c r="V93" s="76">
        <f t="shared" si="143"/>
        <v>0</v>
      </c>
      <c r="W93" s="76">
        <f t="shared" si="143"/>
        <v>100.85</v>
      </c>
      <c r="X93" s="76">
        <f t="shared" si="143"/>
        <v>141.97</v>
      </c>
      <c r="Y93" s="76">
        <f t="shared" si="143"/>
        <v>1145.8469461743855</v>
      </c>
      <c r="Z93" s="117"/>
      <c r="AA93" s="109"/>
      <c r="AB93" s="109"/>
      <c r="AC93" s="109"/>
      <c r="AD93" s="109"/>
      <c r="AE93" s="27"/>
      <c r="AF93" s="27"/>
      <c r="AG93" s="27"/>
    </row>
    <row r="94" spans="1:33" ht="15.9" customHeight="1">
      <c r="A94" s="56" t="s">
        <v>74</v>
      </c>
      <c r="K94" s="51"/>
      <c r="L94" s="51"/>
      <c r="M94" s="51"/>
      <c r="N94" s="51"/>
      <c r="W94" s="52"/>
      <c r="X94" s="91" t="s">
        <v>132</v>
      </c>
      <c r="Y94" s="101">
        <f>1.01*2873.8</f>
        <v>2902.538</v>
      </c>
      <c r="Z94" s="145"/>
      <c r="AA94" s="109"/>
      <c r="AB94" s="109"/>
      <c r="AC94" s="109"/>
      <c r="AD94" s="109"/>
      <c r="AE94" s="27"/>
      <c r="AF94" s="27"/>
      <c r="AG94" s="27"/>
    </row>
    <row r="95" spans="1:33" s="100" customFormat="1" ht="28">
      <c r="A95" s="95" t="s">
        <v>61</v>
      </c>
      <c r="B95" s="96" t="s">
        <v>4</v>
      </c>
      <c r="C95" s="96" t="s">
        <v>23</v>
      </c>
      <c r="D95" s="96" t="s">
        <v>45</v>
      </c>
      <c r="E95" s="96" t="s">
        <v>46</v>
      </c>
      <c r="F95" s="96" t="s">
        <v>5</v>
      </c>
      <c r="G95" s="96" t="s">
        <v>6</v>
      </c>
      <c r="H95" s="97" t="s">
        <v>7</v>
      </c>
      <c r="I95" s="97" t="s">
        <v>47</v>
      </c>
      <c r="J95" s="97" t="s">
        <v>8</v>
      </c>
      <c r="K95" s="98" t="s">
        <v>13</v>
      </c>
      <c r="L95" s="98" t="s">
        <v>19</v>
      </c>
      <c r="M95" s="98" t="s">
        <v>22</v>
      </c>
      <c r="N95" s="98" t="s">
        <v>20</v>
      </c>
      <c r="O95" s="99" t="s">
        <v>9</v>
      </c>
      <c r="P95" s="99" t="s">
        <v>49</v>
      </c>
      <c r="Q95" s="48" t="s">
        <v>50</v>
      </c>
      <c r="R95" s="48" t="s">
        <v>54</v>
      </c>
      <c r="S95" s="48" t="s">
        <v>64</v>
      </c>
      <c r="T95" s="48" t="s">
        <v>12</v>
      </c>
      <c r="U95" s="48" t="s">
        <v>52</v>
      </c>
      <c r="V95" s="48" t="s">
        <v>48</v>
      </c>
      <c r="W95" s="48" t="s">
        <v>14</v>
      </c>
      <c r="X95" s="53" t="s">
        <v>11</v>
      </c>
      <c r="Y95" s="139" t="s">
        <v>21</v>
      </c>
      <c r="Z95" s="53"/>
      <c r="AA95" s="109"/>
      <c r="AB95" s="109"/>
      <c r="AC95" s="109"/>
      <c r="AD95" s="109"/>
      <c r="AE95" s="27"/>
      <c r="AF95" s="27"/>
      <c r="AG95" s="27"/>
    </row>
    <row r="96" spans="1:33" s="27" customFormat="1" ht="28.5" thickBot="1">
      <c r="A96" s="103" t="s">
        <v>135</v>
      </c>
      <c r="B96" s="120" t="s">
        <v>78</v>
      </c>
      <c r="C96" s="121"/>
      <c r="D96" s="121"/>
      <c r="E96" s="120"/>
      <c r="F96" s="120" t="s">
        <v>69</v>
      </c>
      <c r="G96" s="161">
        <v>3</v>
      </c>
      <c r="H96" s="159">
        <v>12.57</v>
      </c>
      <c r="I96" s="162">
        <v>1.57</v>
      </c>
      <c r="J96" s="162"/>
      <c r="K96" s="160">
        <f t="shared" ref="K96" si="144">H96-I96-J96</f>
        <v>11</v>
      </c>
      <c r="L96" s="106">
        <v>5</v>
      </c>
      <c r="M96" s="106" t="s">
        <v>73</v>
      </c>
      <c r="N96" s="107">
        <v>5</v>
      </c>
      <c r="O96" s="115">
        <v>5.5</v>
      </c>
      <c r="P96" s="124">
        <v>7.8350000000000009</v>
      </c>
      <c r="Q96" s="38">
        <f t="shared" ref="Q96" si="145">0.5*G96</f>
        <v>1.5</v>
      </c>
      <c r="R96" s="38"/>
      <c r="S96" s="38">
        <f t="shared" ref="S96" si="146">0.035*N96*G96</f>
        <v>0.52500000000000002</v>
      </c>
      <c r="T96" s="38"/>
      <c r="U96" s="38"/>
      <c r="V96" s="38"/>
      <c r="W96" s="38">
        <f>G96*N96*1.5</f>
        <v>22.5</v>
      </c>
      <c r="X96" s="38">
        <f t="shared" ref="X96" si="147">K96*O96</f>
        <v>60.5</v>
      </c>
      <c r="Y96" s="38">
        <f>$Y$94/31.1035*K96*IF(LEFT(F96,3)="10K",0.417*1.07,IF(LEFT(F96,3)="14K",0.585*1.05,IF(LEFT(F96,3)="18K",0.75*1.05,0)))</f>
        <v>630.53108593888146</v>
      </c>
      <c r="Z96" s="116"/>
      <c r="AA96" s="109">
        <f t="shared" ref="AA96:AA128" si="148">2*K96</f>
        <v>22</v>
      </c>
      <c r="AB96" s="109">
        <f t="shared" ref="AB96:AB128" si="149">(SUM(Q96:W96)+AG96)-AA96</f>
        <v>63.025000000000006</v>
      </c>
      <c r="AC96" s="109">
        <f t="shared" ref="AC96:AC128" si="150">AE96*$AC$13+P96*$AC$14</f>
        <v>1796.3413</v>
      </c>
      <c r="AD96" s="109">
        <f t="shared" ref="AD96:AD128" si="151">SUM(AB96:AC96)</f>
        <v>1859.3663000000001</v>
      </c>
      <c r="AE96" s="27">
        <f t="shared" ref="AE96:AE128" si="152">IF(LEFT(F96,3)="10K",(0.417*1.07*K96),IF(LEFT(F96,3)="14K",(0.585*1.05*K96),IF(LEFT(F96,3)="18K",(0.75*1.05*K96),0)))</f>
        <v>6.7567499999999994</v>
      </c>
      <c r="AG96" s="27">
        <f t="shared" ref="AG96:AG119" si="153">IF(AF96&gt;0,AF96*K96,X96)</f>
        <v>60.5</v>
      </c>
    </row>
    <row r="97" spans="1:33" s="28" customFormat="1" ht="15.9" customHeight="1">
      <c r="A97" s="94" t="s">
        <v>60</v>
      </c>
      <c r="B97" s="72"/>
      <c r="C97" s="72"/>
      <c r="D97" s="72"/>
      <c r="E97" s="72"/>
      <c r="F97" s="72"/>
      <c r="G97" s="163">
        <f>SUM(G96:G96)</f>
        <v>3</v>
      </c>
      <c r="H97" s="164"/>
      <c r="I97" s="164"/>
      <c r="J97" s="164"/>
      <c r="K97" s="164">
        <f>SUM(K96:K96)</f>
        <v>11</v>
      </c>
      <c r="L97" s="74"/>
      <c r="M97" s="74"/>
      <c r="N97" s="74"/>
      <c r="O97" s="75"/>
      <c r="P97" s="125">
        <f t="shared" ref="P97:Y97" si="154">SUM(P96:P96)</f>
        <v>7.8350000000000009</v>
      </c>
      <c r="Q97" s="76">
        <f t="shared" si="154"/>
        <v>1.5</v>
      </c>
      <c r="R97" s="76">
        <f t="shared" si="154"/>
        <v>0</v>
      </c>
      <c r="S97" s="76">
        <f t="shared" si="154"/>
        <v>0.52500000000000002</v>
      </c>
      <c r="T97" s="76">
        <f t="shared" si="154"/>
        <v>0</v>
      </c>
      <c r="U97" s="76">
        <f t="shared" si="154"/>
        <v>0</v>
      </c>
      <c r="V97" s="76">
        <f t="shared" si="154"/>
        <v>0</v>
      </c>
      <c r="W97" s="76">
        <f t="shared" si="154"/>
        <v>22.5</v>
      </c>
      <c r="X97" s="76">
        <f t="shared" si="154"/>
        <v>60.5</v>
      </c>
      <c r="Y97" s="76">
        <f t="shared" si="154"/>
        <v>630.53108593888146</v>
      </c>
      <c r="Z97" s="117"/>
      <c r="AA97" s="109"/>
      <c r="AB97" s="109"/>
      <c r="AC97" s="109"/>
      <c r="AD97" s="109"/>
      <c r="AE97" s="27"/>
      <c r="AF97" s="27"/>
      <c r="AG97" s="27"/>
    </row>
    <row r="98" spans="1:33" ht="16" customHeight="1">
      <c r="A98" s="56" t="s">
        <v>74</v>
      </c>
      <c r="K98" s="51"/>
      <c r="L98" s="51"/>
      <c r="M98" s="51"/>
      <c r="N98" s="51"/>
      <c r="W98" s="52"/>
      <c r="X98" s="91" t="s">
        <v>132</v>
      </c>
      <c r="Y98" s="101">
        <f>1.01*2873.8</f>
        <v>2902.538</v>
      </c>
      <c r="Z98" s="145"/>
      <c r="AA98" s="109"/>
      <c r="AB98" s="109"/>
      <c r="AC98" s="109"/>
      <c r="AD98" s="109"/>
      <c r="AE98" s="27"/>
      <c r="AF98" s="27"/>
      <c r="AG98" s="27"/>
    </row>
    <row r="99" spans="1:33" s="100" customFormat="1" ht="28">
      <c r="A99" s="95" t="s">
        <v>61</v>
      </c>
      <c r="B99" s="96" t="s">
        <v>4</v>
      </c>
      <c r="C99" s="96" t="s">
        <v>23</v>
      </c>
      <c r="D99" s="96" t="s">
        <v>45</v>
      </c>
      <c r="E99" s="96" t="s">
        <v>46</v>
      </c>
      <c r="F99" s="96" t="s">
        <v>5</v>
      </c>
      <c r="G99" s="96" t="s">
        <v>6</v>
      </c>
      <c r="H99" s="97" t="s">
        <v>7</v>
      </c>
      <c r="I99" s="97" t="s">
        <v>47</v>
      </c>
      <c r="J99" s="97" t="s">
        <v>8</v>
      </c>
      <c r="K99" s="98" t="s">
        <v>13</v>
      </c>
      <c r="L99" s="98" t="s">
        <v>19</v>
      </c>
      <c r="M99" s="98" t="s">
        <v>22</v>
      </c>
      <c r="N99" s="98" t="s">
        <v>20</v>
      </c>
      <c r="O99" s="99" t="s">
        <v>9</v>
      </c>
      <c r="P99" s="99" t="s">
        <v>49</v>
      </c>
      <c r="Q99" s="48" t="s">
        <v>50</v>
      </c>
      <c r="R99" s="48" t="s">
        <v>54</v>
      </c>
      <c r="S99" s="48" t="s">
        <v>64</v>
      </c>
      <c r="T99" s="48" t="s">
        <v>12</v>
      </c>
      <c r="U99" s="48" t="s">
        <v>52</v>
      </c>
      <c r="V99" s="48" t="s">
        <v>48</v>
      </c>
      <c r="W99" s="48" t="s">
        <v>14</v>
      </c>
      <c r="X99" s="53" t="s">
        <v>11</v>
      </c>
      <c r="Y99" s="139" t="s">
        <v>21</v>
      </c>
      <c r="Z99" s="53"/>
      <c r="AA99" s="109"/>
      <c r="AB99" s="109"/>
      <c r="AC99" s="109"/>
      <c r="AD99" s="109"/>
      <c r="AE99" s="27"/>
      <c r="AF99" s="27"/>
      <c r="AG99" s="27"/>
    </row>
    <row r="100" spans="1:33" s="27" customFormat="1" ht="28.5" thickBot="1">
      <c r="A100" s="103" t="s">
        <v>137</v>
      </c>
      <c r="B100" s="102" t="s">
        <v>138</v>
      </c>
      <c r="C100" s="105"/>
      <c r="D100" s="105"/>
      <c r="E100" s="102"/>
      <c r="F100" s="102" t="s">
        <v>68</v>
      </c>
      <c r="G100" s="158">
        <v>1</v>
      </c>
      <c r="H100" s="159">
        <v>3.65</v>
      </c>
      <c r="I100" s="159">
        <v>0.88</v>
      </c>
      <c r="J100" s="159"/>
      <c r="K100" s="160">
        <f>H100-I100-J100</f>
        <v>2.77</v>
      </c>
      <c r="L100" s="106">
        <v>4.25</v>
      </c>
      <c r="M100" s="106" t="s">
        <v>73</v>
      </c>
      <c r="N100" s="107">
        <v>15</v>
      </c>
      <c r="O100" s="135">
        <v>2</v>
      </c>
      <c r="P100" s="124">
        <v>4.4000000000000004</v>
      </c>
      <c r="Q100" s="38">
        <f>G100*0.5</f>
        <v>0.5</v>
      </c>
      <c r="R100" s="38"/>
      <c r="S100" s="38">
        <f>G100*N100*0.035</f>
        <v>0.52500000000000002</v>
      </c>
      <c r="T100" s="38"/>
      <c r="U100" s="136">
        <f>0.3*K100</f>
        <v>0.83099999999999996</v>
      </c>
      <c r="V100" s="38"/>
      <c r="W100" s="38">
        <f>G100*N100*1.25</f>
        <v>18.75</v>
      </c>
      <c r="X100" s="38">
        <f>O100*18*G100</f>
        <v>36</v>
      </c>
      <c r="Y100" s="38">
        <f>$Y$98/31.1035*K100*IF(LEFT(F100,3)="10K",0.417*1.07,IF(LEFT(F100,3)="14K",0.585*1.05,IF(LEFT(F100,3)="18K",0.75*1.05,0)))</f>
        <v>158.77919164097287</v>
      </c>
      <c r="Z100" s="116"/>
      <c r="AA100" s="109">
        <f t="shared" si="148"/>
        <v>5.54</v>
      </c>
      <c r="AB100" s="109">
        <f t="shared" si="149"/>
        <v>51.066000000000003</v>
      </c>
      <c r="AC100" s="109">
        <f t="shared" si="150"/>
        <v>858.09802000000013</v>
      </c>
      <c r="AD100" s="109">
        <f t="shared" si="151"/>
        <v>909.16402000000016</v>
      </c>
      <c r="AE100" s="27">
        <f t="shared" si="152"/>
        <v>1.7014724999999999</v>
      </c>
      <c r="AG100" s="27">
        <f t="shared" si="153"/>
        <v>36</v>
      </c>
    </row>
    <row r="101" spans="1:33" s="28" customFormat="1" ht="16" customHeight="1">
      <c r="A101" s="94" t="s">
        <v>60</v>
      </c>
      <c r="B101" s="72"/>
      <c r="C101" s="72"/>
      <c r="D101" s="72"/>
      <c r="E101" s="72"/>
      <c r="F101" s="72"/>
      <c r="G101" s="163">
        <f>SUM(G100:G100)</f>
        <v>1</v>
      </c>
      <c r="H101" s="164"/>
      <c r="I101" s="164"/>
      <c r="J101" s="164"/>
      <c r="K101" s="164">
        <f>SUM(K100:K100)</f>
        <v>2.77</v>
      </c>
      <c r="L101" s="74"/>
      <c r="M101" s="74"/>
      <c r="N101" s="74"/>
      <c r="O101" s="75"/>
      <c r="P101" s="125">
        <f t="shared" ref="P101:Y101" si="155">SUM(P100:P100)</f>
        <v>4.4000000000000004</v>
      </c>
      <c r="Q101" s="76">
        <f t="shared" si="155"/>
        <v>0.5</v>
      </c>
      <c r="R101" s="76">
        <f t="shared" si="155"/>
        <v>0</v>
      </c>
      <c r="S101" s="76">
        <f t="shared" si="155"/>
        <v>0.52500000000000002</v>
      </c>
      <c r="T101" s="76">
        <f t="shared" si="155"/>
        <v>0</v>
      </c>
      <c r="U101" s="76">
        <f t="shared" si="155"/>
        <v>0.83099999999999996</v>
      </c>
      <c r="V101" s="76">
        <f t="shared" si="155"/>
        <v>0</v>
      </c>
      <c r="W101" s="76">
        <f t="shared" si="155"/>
        <v>18.75</v>
      </c>
      <c r="X101" s="76">
        <f t="shared" si="155"/>
        <v>36</v>
      </c>
      <c r="Y101" s="76">
        <f t="shared" si="155"/>
        <v>158.77919164097287</v>
      </c>
      <c r="Z101" s="117"/>
      <c r="AA101" s="109"/>
      <c r="AB101" s="109"/>
      <c r="AC101" s="109"/>
      <c r="AD101" s="109"/>
      <c r="AE101" s="27"/>
      <c r="AF101" s="27"/>
      <c r="AG101" s="27"/>
    </row>
    <row r="102" spans="1:33" ht="15.9" customHeight="1">
      <c r="A102" s="56" t="s">
        <v>74</v>
      </c>
      <c r="H102" s="149"/>
      <c r="I102" s="149"/>
      <c r="J102" s="149"/>
      <c r="K102" s="150"/>
      <c r="L102" s="51"/>
      <c r="M102" s="51"/>
      <c r="N102" s="51"/>
      <c r="O102" s="151"/>
      <c r="W102" s="52"/>
      <c r="X102" s="91" t="s">
        <v>139</v>
      </c>
      <c r="Y102" s="101">
        <f>1.02*3332.85</f>
        <v>3399.5070000000001</v>
      </c>
      <c r="Z102" s="145">
        <f>1.02*3332.85</f>
        <v>3399.5070000000001</v>
      </c>
      <c r="AA102" s="109"/>
      <c r="AB102" s="109"/>
      <c r="AC102" s="109"/>
      <c r="AD102" s="109"/>
      <c r="AE102" s="27"/>
      <c r="AF102" s="27"/>
      <c r="AG102" s="27"/>
    </row>
    <row r="103" spans="1:33" s="100" customFormat="1" ht="28">
      <c r="A103" s="95" t="s">
        <v>140</v>
      </c>
      <c r="B103" s="96" t="s">
        <v>4</v>
      </c>
      <c r="C103" s="96" t="s">
        <v>23</v>
      </c>
      <c r="D103" s="96" t="s">
        <v>45</v>
      </c>
      <c r="E103" s="96" t="s">
        <v>141</v>
      </c>
      <c r="F103" s="96" t="s">
        <v>5</v>
      </c>
      <c r="G103" s="96" t="s">
        <v>6</v>
      </c>
      <c r="H103" s="152" t="s">
        <v>7</v>
      </c>
      <c r="I103" s="152" t="s">
        <v>47</v>
      </c>
      <c r="J103" s="152" t="s">
        <v>8</v>
      </c>
      <c r="K103" s="152" t="s">
        <v>13</v>
      </c>
      <c r="L103" s="98" t="s">
        <v>19</v>
      </c>
      <c r="M103" s="98" t="s">
        <v>22</v>
      </c>
      <c r="N103" s="98" t="s">
        <v>20</v>
      </c>
      <c r="O103" s="153" t="s">
        <v>9</v>
      </c>
      <c r="P103" s="99" t="s">
        <v>49</v>
      </c>
      <c r="Q103" s="48" t="s">
        <v>142</v>
      </c>
      <c r="R103" s="48" t="s">
        <v>54</v>
      </c>
      <c r="S103" s="48" t="s">
        <v>64</v>
      </c>
      <c r="T103" s="48" t="s">
        <v>12</v>
      </c>
      <c r="U103" s="48" t="s">
        <v>52</v>
      </c>
      <c r="V103" s="48" t="s">
        <v>48</v>
      </c>
      <c r="W103" s="48" t="s">
        <v>14</v>
      </c>
      <c r="X103" s="53" t="s">
        <v>11</v>
      </c>
      <c r="Y103" s="139" t="s">
        <v>21</v>
      </c>
      <c r="Z103" s="53" t="s">
        <v>143</v>
      </c>
      <c r="AA103" s="109"/>
      <c r="AB103" s="109"/>
      <c r="AC103" s="109"/>
      <c r="AD103" s="109"/>
      <c r="AE103" s="27"/>
      <c r="AF103" s="27"/>
      <c r="AG103" s="27"/>
    </row>
    <row r="104" spans="1:33" s="27" customFormat="1" ht="28">
      <c r="A104" s="103" t="s">
        <v>145</v>
      </c>
      <c r="B104" s="102" t="s">
        <v>136</v>
      </c>
      <c r="C104" s="102"/>
      <c r="D104" s="102"/>
      <c r="E104" s="102"/>
      <c r="F104" s="102" t="s">
        <v>68</v>
      </c>
      <c r="G104" s="158">
        <v>10</v>
      </c>
      <c r="H104" s="165">
        <v>29.729999999999997</v>
      </c>
      <c r="I104" s="165">
        <v>1.9799999999999998</v>
      </c>
      <c r="J104" s="165"/>
      <c r="K104" s="166">
        <f>H104-I104-J104</f>
        <v>27.749999999999996</v>
      </c>
      <c r="L104" s="106">
        <v>3.75</v>
      </c>
      <c r="M104" s="106" t="s">
        <v>73</v>
      </c>
      <c r="N104" s="107">
        <v>5</v>
      </c>
      <c r="O104" s="115">
        <v>5.5</v>
      </c>
      <c r="P104" s="124">
        <v>9.7999999999999989</v>
      </c>
      <c r="Q104" s="38">
        <f>0.5*G104</f>
        <v>5</v>
      </c>
      <c r="R104" s="38"/>
      <c r="S104" s="38">
        <f>0.02*N104*G104</f>
        <v>1</v>
      </c>
      <c r="T104" s="38"/>
      <c r="U104" s="38">
        <f t="shared" ref="U104:U110" si="156">IF(RIGHT(F104,2)="WG",K104*$AB$4,IF(RIGHT(F104,3)="WRG",K104*$AB$4+3*G104,IF(RIGHT(F104,3)="WYG",K104*$AB$4+3*G104,IF(RIGHT(F104,3)="WYR",K104*$AB$4+3*G104,0))))</f>
        <v>0</v>
      </c>
      <c r="V104" s="38"/>
      <c r="W104" s="38">
        <f>G104*N104*0.75</f>
        <v>37.5</v>
      </c>
      <c r="X104" s="38">
        <f t="shared" ref="X104:X110" si="157">K104*O104</f>
        <v>152.62499999999997</v>
      </c>
      <c r="Y104" s="38">
        <f>($Y$102/31.1035*IF(LEFT(F104,3)="10K",(0.417*1.07*K104),IF(LEFT(F104,3)="14K",(0.585*1.05*K104),IF(LEFT(F104,3)="18K",(0.75*1.05*K104),0))))*0.5</f>
        <v>931.50423745418516</v>
      </c>
      <c r="Z104" s="116">
        <f>($Z$102/31.1035*IF(LEFT(F104,3)="10K",(0.417*1.07*K104),IF(LEFT(F104,3)="14K",(0.585*1.05*K104),IF(LEFT(F104,3)="18K",(0.75*1.05*K104),0))))*0.5</f>
        <v>931.50423745418516</v>
      </c>
      <c r="AA104" s="109">
        <f t="shared" si="148"/>
        <v>55.499999999999993</v>
      </c>
      <c r="AB104" s="109">
        <f t="shared" si="149"/>
        <v>140.62499999999997</v>
      </c>
      <c r="AC104" s="109">
        <f t="shared" si="150"/>
        <v>2865.6354999999994</v>
      </c>
      <c r="AD104" s="109">
        <f t="shared" si="151"/>
        <v>3006.2604999999994</v>
      </c>
      <c r="AE104" s="27">
        <f t="shared" si="152"/>
        <v>17.045437499999998</v>
      </c>
      <c r="AG104" s="27">
        <f t="shared" si="153"/>
        <v>152.62499999999997</v>
      </c>
    </row>
    <row r="105" spans="1:33" s="27" customFormat="1" ht="28">
      <c r="A105" s="103"/>
      <c r="B105" s="102" t="s">
        <v>136</v>
      </c>
      <c r="C105" s="102"/>
      <c r="D105" s="102"/>
      <c r="E105" s="102"/>
      <c r="F105" s="102" t="s">
        <v>69</v>
      </c>
      <c r="G105" s="158">
        <v>12</v>
      </c>
      <c r="H105" s="165">
        <v>34.85</v>
      </c>
      <c r="I105" s="165">
        <v>2.4</v>
      </c>
      <c r="J105" s="165"/>
      <c r="K105" s="166">
        <f>H105-I105-J105</f>
        <v>32.450000000000003</v>
      </c>
      <c r="L105" s="106">
        <v>3.75</v>
      </c>
      <c r="M105" s="106" t="s">
        <v>73</v>
      </c>
      <c r="N105" s="107">
        <v>5</v>
      </c>
      <c r="O105" s="115">
        <v>5.5</v>
      </c>
      <c r="P105" s="124">
        <v>11.799999999999997</v>
      </c>
      <c r="Q105" s="38">
        <f>0.5*G105</f>
        <v>6</v>
      </c>
      <c r="R105" s="38"/>
      <c r="S105" s="38">
        <f>0.02*N105*G105</f>
        <v>1.2000000000000002</v>
      </c>
      <c r="T105" s="38"/>
      <c r="U105" s="38">
        <f t="shared" si="156"/>
        <v>0</v>
      </c>
      <c r="V105" s="38"/>
      <c r="W105" s="38">
        <f>G105*N105*0.75</f>
        <v>45</v>
      </c>
      <c r="X105" s="38">
        <f t="shared" si="157"/>
        <v>178.47500000000002</v>
      </c>
      <c r="Y105" s="38">
        <f t="shared" ref="Y105:Y112" si="158">($Y$102/31.1035*IF(LEFT(F105,3)="10K",(0.417*1.07*K105),IF(LEFT(F105,3)="14K",(0.585*1.05*K105),IF(LEFT(F105,3)="18K",(0.75*1.05*K105),0))))*0.5</f>
        <v>1089.2725227166959</v>
      </c>
      <c r="Z105" s="116">
        <f t="shared" ref="Z105:Z112" si="159">($Z$102/31.1035*IF(LEFT(F105,3)="10K",(0.417*1.07*K105),IF(LEFT(F105,3)="14K",(0.585*1.05*K105),IF(LEFT(F105,3)="18K",(0.75*1.05*K105),0))))*0.5</f>
        <v>1089.2725227166959</v>
      </c>
      <c r="AA105" s="109">
        <f t="shared" si="148"/>
        <v>64.900000000000006</v>
      </c>
      <c r="AB105" s="109">
        <f t="shared" si="149"/>
        <v>165.77500000000001</v>
      </c>
      <c r="AC105" s="109">
        <f t="shared" si="150"/>
        <v>3407.8576999999996</v>
      </c>
      <c r="AD105" s="109">
        <f t="shared" si="151"/>
        <v>3573.6326999999997</v>
      </c>
      <c r="AE105" s="27">
        <f t="shared" si="152"/>
        <v>19.932412500000002</v>
      </c>
      <c r="AG105" s="27">
        <f t="shared" si="153"/>
        <v>178.47500000000002</v>
      </c>
    </row>
    <row r="106" spans="1:33" s="27" customFormat="1" ht="28">
      <c r="A106" s="103">
        <v>2</v>
      </c>
      <c r="B106" s="105" t="s">
        <v>77</v>
      </c>
      <c r="C106" s="102"/>
      <c r="D106" s="105"/>
      <c r="E106" s="102"/>
      <c r="F106" s="102" t="s">
        <v>68</v>
      </c>
      <c r="G106" s="158">
        <v>5</v>
      </c>
      <c r="H106" s="165">
        <v>18.07</v>
      </c>
      <c r="I106" s="165">
        <v>1.61</v>
      </c>
      <c r="J106" s="165"/>
      <c r="K106" s="166">
        <f t="shared" ref="K106:K112" si="160">H106-I106-J106</f>
        <v>16.46</v>
      </c>
      <c r="L106" s="106">
        <v>4.4000000000000004</v>
      </c>
      <c r="M106" s="106" t="s">
        <v>73</v>
      </c>
      <c r="N106" s="107">
        <v>5</v>
      </c>
      <c r="O106" s="115">
        <v>5.5</v>
      </c>
      <c r="P106" s="124">
        <v>8.1050000000000004</v>
      </c>
      <c r="Q106" s="38">
        <f t="shared" ref="Q106:Q112" si="161">0.5*G106</f>
        <v>2.5</v>
      </c>
      <c r="R106" s="38"/>
      <c r="S106" s="38">
        <f t="shared" ref="S106:S112" si="162">0.02*N106*G106</f>
        <v>0.5</v>
      </c>
      <c r="T106" s="38"/>
      <c r="U106" s="38">
        <f t="shared" si="156"/>
        <v>0</v>
      </c>
      <c r="V106" s="38"/>
      <c r="W106" s="38">
        <f>G106*N106*1.5</f>
        <v>37.5</v>
      </c>
      <c r="X106" s="38">
        <f t="shared" si="157"/>
        <v>90.53</v>
      </c>
      <c r="Y106" s="38">
        <f t="shared" si="158"/>
        <v>552.52467562147342</v>
      </c>
      <c r="Z106" s="116">
        <f t="shared" si="159"/>
        <v>552.52467562147342</v>
      </c>
      <c r="AA106" s="109">
        <f t="shared" si="148"/>
        <v>32.92</v>
      </c>
      <c r="AB106" s="109">
        <f t="shared" si="149"/>
        <v>98.11</v>
      </c>
      <c r="AC106" s="109">
        <f t="shared" si="150"/>
        <v>2082.9538600000001</v>
      </c>
      <c r="AD106" s="109">
        <f t="shared" si="151"/>
        <v>2181.0638600000002</v>
      </c>
      <c r="AE106" s="27">
        <f t="shared" si="152"/>
        <v>10.110555</v>
      </c>
      <c r="AG106" s="27">
        <f t="shared" si="153"/>
        <v>90.53</v>
      </c>
    </row>
    <row r="107" spans="1:33" s="27" customFormat="1" ht="28">
      <c r="A107" s="103"/>
      <c r="B107" s="105" t="s">
        <v>77</v>
      </c>
      <c r="C107" s="102"/>
      <c r="D107" s="105"/>
      <c r="E107" s="102"/>
      <c r="F107" s="102" t="s">
        <v>69</v>
      </c>
      <c r="G107" s="158">
        <v>6</v>
      </c>
      <c r="H107" s="165">
        <v>20.869999999999997</v>
      </c>
      <c r="I107" s="165">
        <v>1.9400000000000002</v>
      </c>
      <c r="J107" s="165"/>
      <c r="K107" s="166">
        <f t="shared" si="160"/>
        <v>18.929999999999996</v>
      </c>
      <c r="L107" s="106">
        <v>4.4000000000000004</v>
      </c>
      <c r="M107" s="106" t="s">
        <v>73</v>
      </c>
      <c r="N107" s="107">
        <v>5</v>
      </c>
      <c r="O107" s="115">
        <v>5.5</v>
      </c>
      <c r="P107" s="124">
        <v>9.73</v>
      </c>
      <c r="Q107" s="38">
        <f t="shared" si="161"/>
        <v>3</v>
      </c>
      <c r="R107" s="38"/>
      <c r="S107" s="38">
        <f t="shared" si="162"/>
        <v>0.60000000000000009</v>
      </c>
      <c r="T107" s="38"/>
      <c r="U107" s="38">
        <f t="shared" si="156"/>
        <v>0</v>
      </c>
      <c r="V107" s="38"/>
      <c r="W107" s="38">
        <f>G107*N107*1.5</f>
        <v>45</v>
      </c>
      <c r="X107" s="38">
        <f t="shared" si="157"/>
        <v>104.11499999999998</v>
      </c>
      <c r="Y107" s="38">
        <f t="shared" si="158"/>
        <v>635.4369446849629</v>
      </c>
      <c r="Z107" s="116">
        <f t="shared" si="159"/>
        <v>635.4369446849629</v>
      </c>
      <c r="AA107" s="109">
        <f t="shared" si="148"/>
        <v>37.859999999999992</v>
      </c>
      <c r="AB107" s="109">
        <f t="shared" si="149"/>
        <v>114.85499999999999</v>
      </c>
      <c r="AC107" s="109">
        <f t="shared" si="150"/>
        <v>2463.8595799999998</v>
      </c>
      <c r="AD107" s="109">
        <f t="shared" si="151"/>
        <v>2578.7145799999998</v>
      </c>
      <c r="AE107" s="27">
        <f t="shared" si="152"/>
        <v>11.627752499999996</v>
      </c>
      <c r="AG107" s="27">
        <f t="shared" si="153"/>
        <v>104.11499999999998</v>
      </c>
    </row>
    <row r="108" spans="1:33" s="27" customFormat="1" ht="28">
      <c r="A108" s="103">
        <v>3</v>
      </c>
      <c r="B108" s="102" t="s">
        <v>79</v>
      </c>
      <c r="C108" s="102"/>
      <c r="D108" s="102"/>
      <c r="E108" s="102"/>
      <c r="F108" s="102" t="s">
        <v>68</v>
      </c>
      <c r="G108" s="158">
        <v>2</v>
      </c>
      <c r="H108" s="165">
        <v>5.07</v>
      </c>
      <c r="I108" s="165">
        <v>0.37</v>
      </c>
      <c r="J108" s="165"/>
      <c r="K108" s="166">
        <f t="shared" si="160"/>
        <v>4.7</v>
      </c>
      <c r="L108" s="106">
        <v>3.25</v>
      </c>
      <c r="M108" s="106" t="s">
        <v>73</v>
      </c>
      <c r="N108" s="107">
        <v>7</v>
      </c>
      <c r="O108" s="115">
        <v>5.5</v>
      </c>
      <c r="P108" s="124">
        <v>1.83</v>
      </c>
      <c r="Q108" s="38">
        <f t="shared" si="161"/>
        <v>1</v>
      </c>
      <c r="R108" s="38"/>
      <c r="S108" s="38">
        <f t="shared" si="162"/>
        <v>0.28000000000000003</v>
      </c>
      <c r="T108" s="38"/>
      <c r="U108" s="38">
        <f t="shared" si="156"/>
        <v>0</v>
      </c>
      <c r="V108" s="38"/>
      <c r="W108" s="38">
        <f>G108*N108*0.5</f>
        <v>7</v>
      </c>
      <c r="X108" s="38">
        <f t="shared" si="157"/>
        <v>25.85</v>
      </c>
      <c r="Y108" s="38">
        <f t="shared" si="158"/>
        <v>157.76828526251066</v>
      </c>
      <c r="Z108" s="116">
        <f t="shared" si="159"/>
        <v>157.76828526251066</v>
      </c>
      <c r="AA108" s="109">
        <f t="shared" si="148"/>
        <v>9.4</v>
      </c>
      <c r="AB108" s="109">
        <f t="shared" si="149"/>
        <v>24.730000000000004</v>
      </c>
      <c r="AC108" s="109">
        <f t="shared" si="150"/>
        <v>513.80160000000001</v>
      </c>
      <c r="AD108" s="109">
        <f t="shared" si="151"/>
        <v>538.53160000000003</v>
      </c>
      <c r="AE108" s="27">
        <f t="shared" si="152"/>
        <v>2.8869750000000001</v>
      </c>
      <c r="AG108" s="27">
        <f t="shared" si="153"/>
        <v>25.85</v>
      </c>
    </row>
    <row r="109" spans="1:33" s="27" customFormat="1" ht="28">
      <c r="A109" s="103"/>
      <c r="B109" s="102" t="s">
        <v>79</v>
      </c>
      <c r="C109" s="102"/>
      <c r="D109" s="102"/>
      <c r="E109" s="102"/>
      <c r="F109" s="102" t="s">
        <v>69</v>
      </c>
      <c r="G109" s="158">
        <v>1</v>
      </c>
      <c r="H109" s="165">
        <v>2.4700000000000002</v>
      </c>
      <c r="I109" s="165">
        <v>0.18</v>
      </c>
      <c r="J109" s="165"/>
      <c r="K109" s="166">
        <f t="shared" si="160"/>
        <v>2.29</v>
      </c>
      <c r="L109" s="106">
        <v>3.25</v>
      </c>
      <c r="M109" s="106" t="s">
        <v>73</v>
      </c>
      <c r="N109" s="107">
        <v>7</v>
      </c>
      <c r="O109" s="115">
        <v>5.5</v>
      </c>
      <c r="P109" s="124">
        <v>0.91</v>
      </c>
      <c r="Q109" s="38">
        <f t="shared" si="161"/>
        <v>0.5</v>
      </c>
      <c r="R109" s="38"/>
      <c r="S109" s="38">
        <f t="shared" si="162"/>
        <v>0.14000000000000001</v>
      </c>
      <c r="T109" s="38"/>
      <c r="U109" s="38">
        <f t="shared" si="156"/>
        <v>0</v>
      </c>
      <c r="V109" s="38"/>
      <c r="W109" s="38">
        <f>G109*N109*0.5</f>
        <v>3.5</v>
      </c>
      <c r="X109" s="38">
        <f t="shared" si="157"/>
        <v>12.595000000000001</v>
      </c>
      <c r="Y109" s="38">
        <f t="shared" si="158"/>
        <v>76.870079415138164</v>
      </c>
      <c r="Z109" s="116">
        <f t="shared" si="159"/>
        <v>76.870079415138164</v>
      </c>
      <c r="AA109" s="109">
        <f t="shared" si="148"/>
        <v>4.58</v>
      </c>
      <c r="AB109" s="109">
        <f t="shared" si="149"/>
        <v>12.154999999999999</v>
      </c>
      <c r="AC109" s="109">
        <f t="shared" si="150"/>
        <v>253.41134</v>
      </c>
      <c r="AD109" s="109">
        <f t="shared" si="151"/>
        <v>265.56633999999997</v>
      </c>
      <c r="AE109" s="27">
        <f t="shared" si="152"/>
        <v>1.4066325</v>
      </c>
      <c r="AG109" s="27">
        <f t="shared" si="153"/>
        <v>12.595000000000001</v>
      </c>
    </row>
    <row r="110" spans="1:33" s="27" customFormat="1" ht="28">
      <c r="A110" s="103">
        <v>4</v>
      </c>
      <c r="B110" s="105" t="s">
        <v>134</v>
      </c>
      <c r="C110" s="102"/>
      <c r="D110" s="105"/>
      <c r="E110" s="102"/>
      <c r="F110" s="102" t="s">
        <v>68</v>
      </c>
      <c r="G110" s="158">
        <v>4</v>
      </c>
      <c r="H110" s="165">
        <v>16.36</v>
      </c>
      <c r="I110" s="165">
        <v>2.0300000000000002</v>
      </c>
      <c r="J110" s="165"/>
      <c r="K110" s="166">
        <f t="shared" si="160"/>
        <v>14.329999999999998</v>
      </c>
      <c r="L110" s="106">
        <v>4.5</v>
      </c>
      <c r="M110" s="106" t="s">
        <v>73</v>
      </c>
      <c r="N110" s="107">
        <v>7</v>
      </c>
      <c r="O110" s="115">
        <v>5.5</v>
      </c>
      <c r="P110" s="124">
        <v>10.14</v>
      </c>
      <c r="Q110" s="38">
        <f t="shared" si="161"/>
        <v>2</v>
      </c>
      <c r="R110" s="38"/>
      <c r="S110" s="38">
        <f t="shared" si="162"/>
        <v>0.56000000000000005</v>
      </c>
      <c r="T110" s="38"/>
      <c r="U110" s="38">
        <f t="shared" si="156"/>
        <v>0</v>
      </c>
      <c r="V110" s="38"/>
      <c r="W110" s="38">
        <f>G110*N110*1.5</f>
        <v>42</v>
      </c>
      <c r="X110" s="38">
        <f t="shared" si="157"/>
        <v>78.814999999999998</v>
      </c>
      <c r="Y110" s="38">
        <f t="shared" si="158"/>
        <v>481.02543144931428</v>
      </c>
      <c r="Z110" s="116">
        <f t="shared" si="159"/>
        <v>481.02543144931428</v>
      </c>
      <c r="AA110" s="109">
        <f t="shared" si="148"/>
        <v>28.659999999999997</v>
      </c>
      <c r="AB110" s="109">
        <f t="shared" si="149"/>
        <v>94.715000000000003</v>
      </c>
      <c r="AC110" s="109">
        <f t="shared" si="150"/>
        <v>2328.96378</v>
      </c>
      <c r="AD110" s="109">
        <f t="shared" si="151"/>
        <v>2423.6787800000002</v>
      </c>
      <c r="AE110" s="27">
        <f t="shared" si="152"/>
        <v>8.8022024999999982</v>
      </c>
      <c r="AG110" s="27">
        <f t="shared" si="153"/>
        <v>78.814999999999998</v>
      </c>
    </row>
    <row r="111" spans="1:33" s="27" customFormat="1" ht="28">
      <c r="A111" s="103">
        <v>5</v>
      </c>
      <c r="B111" s="102" t="s">
        <v>146</v>
      </c>
      <c r="C111" s="102"/>
      <c r="D111" s="102"/>
      <c r="E111" s="102"/>
      <c r="F111" s="102" t="s">
        <v>68</v>
      </c>
      <c r="G111" s="158">
        <v>1</v>
      </c>
      <c r="H111" s="165">
        <v>1.85</v>
      </c>
      <c r="I111" s="165">
        <v>0.1</v>
      </c>
      <c r="J111" s="165"/>
      <c r="K111" s="166">
        <f t="shared" si="160"/>
        <v>1.75</v>
      </c>
      <c r="L111" s="106">
        <v>2.5</v>
      </c>
      <c r="M111" s="106" t="s">
        <v>73</v>
      </c>
      <c r="N111" s="107">
        <v>8</v>
      </c>
      <c r="O111" s="115" t="s">
        <v>147</v>
      </c>
      <c r="P111" s="124">
        <v>0.505</v>
      </c>
      <c r="Q111" s="38">
        <f t="shared" si="161"/>
        <v>0.5</v>
      </c>
      <c r="R111" s="38"/>
      <c r="S111" s="38">
        <f t="shared" si="162"/>
        <v>0.16</v>
      </c>
      <c r="T111" s="38"/>
      <c r="U111" s="38">
        <f>0.3*K111</f>
        <v>0.52500000000000002</v>
      </c>
      <c r="V111" s="38"/>
      <c r="W111" s="38">
        <f>G111*N111*1</f>
        <v>8</v>
      </c>
      <c r="X111" s="38">
        <f>6.5*K111+2*8*G111</f>
        <v>27.375</v>
      </c>
      <c r="Y111" s="38">
        <f t="shared" si="158"/>
        <v>58.743510470083748</v>
      </c>
      <c r="Z111" s="116">
        <f t="shared" si="159"/>
        <v>58.743510470083748</v>
      </c>
      <c r="AA111" s="109">
        <f t="shared" si="148"/>
        <v>3.5</v>
      </c>
      <c r="AB111" s="109">
        <f t="shared" si="149"/>
        <v>33.06</v>
      </c>
      <c r="AC111" s="109">
        <f t="shared" si="150"/>
        <v>161.82139999999998</v>
      </c>
      <c r="AD111" s="109">
        <f t="shared" si="151"/>
        <v>194.88139999999999</v>
      </c>
      <c r="AE111" s="27">
        <f t="shared" si="152"/>
        <v>1.0749374999999999</v>
      </c>
      <c r="AG111" s="27">
        <f t="shared" si="153"/>
        <v>27.375</v>
      </c>
    </row>
    <row r="112" spans="1:33" s="27" customFormat="1" ht="28.5" thickBot="1">
      <c r="A112" s="103"/>
      <c r="B112" s="102" t="s">
        <v>146</v>
      </c>
      <c r="C112" s="102"/>
      <c r="D112" s="102"/>
      <c r="E112" s="102"/>
      <c r="F112" s="102" t="s">
        <v>69</v>
      </c>
      <c r="G112" s="158">
        <v>9</v>
      </c>
      <c r="H112" s="165">
        <v>17.119999999999997</v>
      </c>
      <c r="I112" s="165">
        <v>0.89999999999999991</v>
      </c>
      <c r="J112" s="165"/>
      <c r="K112" s="166">
        <f t="shared" si="160"/>
        <v>16.22</v>
      </c>
      <c r="L112" s="106">
        <v>2.5</v>
      </c>
      <c r="M112" s="106" t="s">
        <v>73</v>
      </c>
      <c r="N112" s="107">
        <v>8</v>
      </c>
      <c r="O112" s="115" t="s">
        <v>147</v>
      </c>
      <c r="P112" s="124">
        <v>4.59</v>
      </c>
      <c r="Q112" s="38">
        <f t="shared" si="161"/>
        <v>4.5</v>
      </c>
      <c r="R112" s="38"/>
      <c r="S112" s="38">
        <f t="shared" si="162"/>
        <v>1.44</v>
      </c>
      <c r="T112" s="38"/>
      <c r="U112" s="38">
        <f t="shared" ref="U112" si="163">IF(RIGHT(F112,2)="WG",K112*$AB$4,IF(RIGHT(F112,3)="WRG",K112*$AB$4+3*G112,IF(RIGHT(F112,3)="WYG",K112*$AB$4+3*G112,IF(RIGHT(F112,3)="WYR",K112*$AB$4+3*G112,0))))</f>
        <v>0</v>
      </c>
      <c r="V112" s="38"/>
      <c r="W112" s="38">
        <f>G112*N112*1</f>
        <v>72</v>
      </c>
      <c r="X112" s="38">
        <f>6.5*K112+2*8*G112</f>
        <v>249.43</v>
      </c>
      <c r="Y112" s="38">
        <f t="shared" si="158"/>
        <v>544.46842275700476</v>
      </c>
      <c r="Z112" s="116">
        <f t="shared" si="159"/>
        <v>544.46842275700476</v>
      </c>
      <c r="AA112" s="109">
        <f t="shared" si="148"/>
        <v>32.44</v>
      </c>
      <c r="AB112" s="109">
        <f t="shared" si="149"/>
        <v>294.93</v>
      </c>
      <c r="AC112" s="109">
        <f t="shared" si="150"/>
        <v>1484.70192</v>
      </c>
      <c r="AD112" s="109">
        <f t="shared" si="151"/>
        <v>1779.63192</v>
      </c>
      <c r="AE112" s="27">
        <f t="shared" si="152"/>
        <v>9.9631349999999994</v>
      </c>
      <c r="AG112" s="27">
        <f t="shared" si="153"/>
        <v>249.43</v>
      </c>
    </row>
    <row r="113" spans="1:33" s="28" customFormat="1" ht="15.9" customHeight="1">
      <c r="A113" s="94" t="s">
        <v>60</v>
      </c>
      <c r="B113" s="72"/>
      <c r="C113" s="72"/>
      <c r="D113" s="72"/>
      <c r="E113" s="72"/>
      <c r="F113" s="72"/>
      <c r="G113" s="163">
        <f>SUM(G104:G112)</f>
        <v>50</v>
      </c>
      <c r="H113" s="167"/>
      <c r="I113" s="167"/>
      <c r="J113" s="167"/>
      <c r="K113" s="167">
        <f>SUM(K104:K112)</f>
        <v>134.88</v>
      </c>
      <c r="L113" s="74"/>
      <c r="M113" s="74"/>
      <c r="N113" s="74"/>
      <c r="O113" s="157"/>
      <c r="P113" s="125">
        <f t="shared" ref="P113:Z113" si="164">SUM(P104:P112)</f>
        <v>57.41</v>
      </c>
      <c r="Q113" s="76">
        <f t="shared" si="164"/>
        <v>25</v>
      </c>
      <c r="R113" s="76">
        <f t="shared" si="164"/>
        <v>0</v>
      </c>
      <c r="S113" s="76">
        <f t="shared" si="164"/>
        <v>5.8800000000000008</v>
      </c>
      <c r="T113" s="76">
        <f t="shared" si="164"/>
        <v>0</v>
      </c>
      <c r="U113" s="76">
        <f t="shared" si="164"/>
        <v>0.52500000000000002</v>
      </c>
      <c r="V113" s="76">
        <f t="shared" si="164"/>
        <v>0</v>
      </c>
      <c r="W113" s="76">
        <f t="shared" si="164"/>
        <v>297.5</v>
      </c>
      <c r="X113" s="76">
        <f t="shared" si="164"/>
        <v>919.81000000000017</v>
      </c>
      <c r="Y113" s="76">
        <f t="shared" si="164"/>
        <v>4527.6141098313692</v>
      </c>
      <c r="Z113" s="117">
        <f t="shared" si="164"/>
        <v>4527.6141098313692</v>
      </c>
      <c r="AA113" s="109"/>
      <c r="AB113" s="109"/>
      <c r="AC113" s="109"/>
      <c r="AD113" s="109"/>
      <c r="AE113" s="27"/>
      <c r="AF113" s="27"/>
      <c r="AG113" s="27"/>
    </row>
    <row r="114" spans="1:33" ht="15.9" customHeight="1">
      <c r="A114" s="56" t="s">
        <v>74</v>
      </c>
      <c r="H114" s="149"/>
      <c r="I114" s="149"/>
      <c r="J114" s="149"/>
      <c r="K114" s="150"/>
      <c r="L114" s="51"/>
      <c r="M114" s="51"/>
      <c r="N114" s="51"/>
      <c r="O114" s="151"/>
      <c r="W114" s="52"/>
      <c r="X114" s="91" t="s">
        <v>139</v>
      </c>
      <c r="Y114" s="101">
        <f>1.02*3332.85</f>
        <v>3399.5070000000001</v>
      </c>
      <c r="Z114" s="145">
        <f>1.02*3332.85</f>
        <v>3399.5070000000001</v>
      </c>
      <c r="AA114" s="109"/>
      <c r="AB114" s="109"/>
      <c r="AC114" s="109"/>
      <c r="AD114" s="109"/>
      <c r="AE114" s="27"/>
      <c r="AF114" s="27"/>
      <c r="AG114" s="27"/>
    </row>
    <row r="115" spans="1:33" s="100" customFormat="1" ht="28">
      <c r="A115" s="95" t="s">
        <v>140</v>
      </c>
      <c r="B115" s="96" t="s">
        <v>4</v>
      </c>
      <c r="C115" s="96" t="s">
        <v>23</v>
      </c>
      <c r="D115" s="96" t="s">
        <v>45</v>
      </c>
      <c r="E115" s="96" t="s">
        <v>141</v>
      </c>
      <c r="F115" s="96" t="s">
        <v>5</v>
      </c>
      <c r="G115" s="96" t="s">
        <v>6</v>
      </c>
      <c r="H115" s="152" t="s">
        <v>7</v>
      </c>
      <c r="I115" s="152" t="s">
        <v>47</v>
      </c>
      <c r="J115" s="152" t="s">
        <v>8</v>
      </c>
      <c r="K115" s="152" t="s">
        <v>13</v>
      </c>
      <c r="L115" s="98" t="s">
        <v>19</v>
      </c>
      <c r="M115" s="98" t="s">
        <v>22</v>
      </c>
      <c r="N115" s="98" t="s">
        <v>20</v>
      </c>
      <c r="O115" s="153" t="s">
        <v>9</v>
      </c>
      <c r="P115" s="99" t="s">
        <v>49</v>
      </c>
      <c r="Q115" s="48" t="s">
        <v>142</v>
      </c>
      <c r="R115" s="48" t="s">
        <v>54</v>
      </c>
      <c r="S115" s="48" t="s">
        <v>64</v>
      </c>
      <c r="T115" s="48" t="s">
        <v>12</v>
      </c>
      <c r="U115" s="48" t="s">
        <v>52</v>
      </c>
      <c r="V115" s="48" t="s">
        <v>48</v>
      </c>
      <c r="W115" s="48" t="s">
        <v>14</v>
      </c>
      <c r="X115" s="53" t="s">
        <v>11</v>
      </c>
      <c r="Y115" s="139" t="s">
        <v>21</v>
      </c>
      <c r="Z115" s="53" t="s">
        <v>143</v>
      </c>
      <c r="AA115" s="109"/>
      <c r="AB115" s="109"/>
      <c r="AC115" s="109"/>
      <c r="AD115" s="109"/>
      <c r="AE115" s="27"/>
      <c r="AF115" s="27"/>
      <c r="AG115" s="27"/>
    </row>
    <row r="116" spans="1:33" s="27" customFormat="1" ht="28">
      <c r="A116" s="103" t="s">
        <v>148</v>
      </c>
      <c r="B116" s="102" t="s">
        <v>149</v>
      </c>
      <c r="C116" s="102"/>
      <c r="D116" s="102"/>
      <c r="E116" s="102"/>
      <c r="F116" s="102" t="s">
        <v>69</v>
      </c>
      <c r="G116" s="104">
        <v>2</v>
      </c>
      <c r="H116" s="154">
        <v>4.5999999999999996</v>
      </c>
      <c r="I116" s="154">
        <v>0.42</v>
      </c>
      <c r="J116" s="154">
        <v>0</v>
      </c>
      <c r="K116" s="155">
        <f t="shared" ref="K116:K119" si="165">H116-I116-J116</f>
        <v>4.18</v>
      </c>
      <c r="L116" s="106">
        <v>2.6</v>
      </c>
      <c r="M116" s="106" t="s">
        <v>73</v>
      </c>
      <c r="N116" s="107">
        <v>15</v>
      </c>
      <c r="O116" s="135">
        <v>2</v>
      </c>
      <c r="P116" s="124">
        <v>2.13</v>
      </c>
      <c r="Q116" s="38">
        <f t="shared" ref="Q116:Q118" si="166">0.5*G116</f>
        <v>1</v>
      </c>
      <c r="R116" s="38"/>
      <c r="S116" s="38">
        <f t="shared" ref="S116:S119" si="167">0.02*N116*G116</f>
        <v>0.6</v>
      </c>
      <c r="T116" s="38"/>
      <c r="U116" s="38">
        <f t="shared" ref="U116:U119" si="168">IF(RIGHT(F116,2)="WG",K116*$AB$4,IF(RIGHT(F116,3)="WRG",K116*$AB$4+3*G116,IF(RIGHT(F116,3)="WYG",K116*$AB$4+3*G116,IF(RIGHT(F116,3)="WYR",K116*$AB$4+3*G116,0))))</f>
        <v>0</v>
      </c>
      <c r="V116" s="38"/>
      <c r="W116" s="38">
        <f>G116*N116*1</f>
        <v>30</v>
      </c>
      <c r="X116" s="38">
        <f>18*O116*G116</f>
        <v>72</v>
      </c>
      <c r="Y116" s="38">
        <f>($Y$114/31.1035*IF(LEFT(F116,3)="10K",(0.417*1.07*K116),IF(LEFT(F116,3)="14K",(0.585*1.05*K116),IF(LEFT(F116,3)="18K",(0.75*1.05*K116),0))))*0.5</f>
        <v>140.3130707228286</v>
      </c>
      <c r="Z116" s="116">
        <f>($Z$114/31.1035*IF(LEFT(F116,3)="10K",(0.417*1.07*K116),IF(LEFT(F116,3)="14K",(0.585*1.05*K116),IF(LEFT(F116,3)="18K",(0.75*1.05*K116),0))))*0.5</f>
        <v>140.3130707228286</v>
      </c>
      <c r="AA116" s="109">
        <f t="shared" si="148"/>
        <v>8.36</v>
      </c>
      <c r="AB116" s="109">
        <f t="shared" si="149"/>
        <v>95.24</v>
      </c>
      <c r="AC116" s="109">
        <f t="shared" si="150"/>
        <v>540.95807999999988</v>
      </c>
      <c r="AD116" s="109">
        <f t="shared" si="151"/>
        <v>636.19807999999989</v>
      </c>
      <c r="AE116" s="27">
        <f t="shared" si="152"/>
        <v>2.5675649999999997</v>
      </c>
      <c r="AG116" s="27">
        <f t="shared" si="153"/>
        <v>72</v>
      </c>
    </row>
    <row r="117" spans="1:33" s="27" customFormat="1" ht="28">
      <c r="A117" s="103">
        <v>9</v>
      </c>
      <c r="B117" s="105" t="s">
        <v>150</v>
      </c>
      <c r="C117" s="102"/>
      <c r="D117" s="105"/>
      <c r="E117" s="102"/>
      <c r="F117" s="102" t="s">
        <v>68</v>
      </c>
      <c r="G117" s="104">
        <v>1</v>
      </c>
      <c r="H117" s="154">
        <v>12.32</v>
      </c>
      <c r="I117" s="154">
        <v>0.64</v>
      </c>
      <c r="J117" s="154">
        <v>0.44</v>
      </c>
      <c r="K117" s="155">
        <f t="shared" si="165"/>
        <v>11.24</v>
      </c>
      <c r="L117" s="106">
        <v>3.2</v>
      </c>
      <c r="M117" s="106" t="s">
        <v>73</v>
      </c>
      <c r="N117" s="107">
        <v>26</v>
      </c>
      <c r="O117" s="115">
        <v>8.5</v>
      </c>
      <c r="P117" s="124">
        <v>3.18</v>
      </c>
      <c r="Q117" s="38">
        <f t="shared" si="166"/>
        <v>0.5</v>
      </c>
      <c r="R117" s="38"/>
      <c r="S117" s="38">
        <f t="shared" si="167"/>
        <v>0.52</v>
      </c>
      <c r="T117" s="38">
        <f>2.3*G117</f>
        <v>2.2999999999999998</v>
      </c>
      <c r="U117" s="38">
        <f t="shared" si="168"/>
        <v>0</v>
      </c>
      <c r="V117" s="38"/>
      <c r="W117" s="38">
        <f>G117*N117*0.5</f>
        <v>13</v>
      </c>
      <c r="X117" s="38">
        <f t="shared" ref="X117:X119" si="169">K117*O117</f>
        <v>95.54</v>
      </c>
      <c r="Y117" s="38">
        <f t="shared" ref="Y117:Y119" si="170">($Y$114/31.1035*IF(LEFT(F117,3)="10K",(0.417*1.07*K117),IF(LEFT(F117,3)="14K",(0.585*1.05*K117),IF(LEFT(F117,3)="18K",(0.75*1.05*K117),0))))*0.5</f>
        <v>377.30117581928079</v>
      </c>
      <c r="Z117" s="116">
        <f t="shared" ref="Z117:Z119" si="171">($Z$114/31.1035*IF(LEFT(F117,3)="10K",(0.417*1.07*K117),IF(LEFT(F117,3)="14K",(0.585*1.05*K117),IF(LEFT(F117,3)="18K",(0.75*1.05*K117),0))))*0.5</f>
        <v>377.30117581928079</v>
      </c>
      <c r="AA117" s="109">
        <f t="shared" si="148"/>
        <v>22.48</v>
      </c>
      <c r="AB117" s="109">
        <f t="shared" si="149"/>
        <v>89.38000000000001</v>
      </c>
      <c r="AC117" s="109">
        <f t="shared" si="150"/>
        <v>1028.7326400000002</v>
      </c>
      <c r="AD117" s="109">
        <f t="shared" si="151"/>
        <v>1118.1126400000003</v>
      </c>
      <c r="AE117" s="27">
        <f t="shared" si="152"/>
        <v>6.9041699999999997</v>
      </c>
      <c r="AG117" s="27">
        <f t="shared" si="153"/>
        <v>95.54</v>
      </c>
    </row>
    <row r="118" spans="1:33" s="27" customFormat="1" ht="28">
      <c r="A118" s="103"/>
      <c r="B118" s="105" t="s">
        <v>150</v>
      </c>
      <c r="C118" s="102"/>
      <c r="D118" s="102"/>
      <c r="E118" s="102"/>
      <c r="F118" s="102" t="s">
        <v>69</v>
      </c>
      <c r="G118" s="104">
        <v>4</v>
      </c>
      <c r="H118" s="154">
        <v>49.129999999999995</v>
      </c>
      <c r="I118" s="154">
        <v>2.54</v>
      </c>
      <c r="J118" s="154">
        <v>1.76</v>
      </c>
      <c r="K118" s="155">
        <f t="shared" si="165"/>
        <v>44.83</v>
      </c>
      <c r="L118" s="106">
        <v>3.2</v>
      </c>
      <c r="M118" s="106" t="s">
        <v>73</v>
      </c>
      <c r="N118" s="107">
        <v>26</v>
      </c>
      <c r="O118" s="115">
        <v>8.5</v>
      </c>
      <c r="P118" s="124">
        <v>12.68</v>
      </c>
      <c r="Q118" s="38">
        <f t="shared" si="166"/>
        <v>2</v>
      </c>
      <c r="R118" s="38"/>
      <c r="S118" s="38">
        <f t="shared" si="167"/>
        <v>2.08</v>
      </c>
      <c r="T118" s="38">
        <f>2.3*G118</f>
        <v>9.1999999999999993</v>
      </c>
      <c r="U118" s="38">
        <f t="shared" si="168"/>
        <v>0</v>
      </c>
      <c r="V118" s="38"/>
      <c r="W118" s="38">
        <f>G118*N118*0.5</f>
        <v>52</v>
      </c>
      <c r="X118" s="38">
        <f t="shared" si="169"/>
        <v>381.05500000000001</v>
      </c>
      <c r="Y118" s="38">
        <f t="shared" si="170"/>
        <v>1504.8408996422024</v>
      </c>
      <c r="Z118" s="116">
        <f t="shared" si="171"/>
        <v>1504.8408996422024</v>
      </c>
      <c r="AA118" s="109">
        <f t="shared" si="148"/>
        <v>89.66</v>
      </c>
      <c r="AB118" s="109">
        <f t="shared" si="149"/>
        <v>356.67500000000007</v>
      </c>
      <c r="AC118" s="109">
        <f t="shared" si="150"/>
        <v>4102.4939799999993</v>
      </c>
      <c r="AD118" s="109">
        <f t="shared" si="151"/>
        <v>4459.1689799999995</v>
      </c>
      <c r="AE118" s="27">
        <f t="shared" si="152"/>
        <v>27.536827499999998</v>
      </c>
      <c r="AG118" s="27">
        <f t="shared" si="153"/>
        <v>381.05500000000001</v>
      </c>
    </row>
    <row r="119" spans="1:33" s="27" customFormat="1" ht="28.5" thickBot="1">
      <c r="A119" s="103">
        <v>12</v>
      </c>
      <c r="B119" s="105" t="s">
        <v>151</v>
      </c>
      <c r="C119" s="102"/>
      <c r="D119" s="105"/>
      <c r="E119" s="102"/>
      <c r="F119" s="102" t="s">
        <v>68</v>
      </c>
      <c r="G119" s="104">
        <v>15</v>
      </c>
      <c r="H119" s="154">
        <v>167.86999999999998</v>
      </c>
      <c r="I119" s="154">
        <v>0</v>
      </c>
      <c r="J119" s="154">
        <v>0</v>
      </c>
      <c r="K119" s="155">
        <f t="shared" si="165"/>
        <v>167.86999999999998</v>
      </c>
      <c r="L119" s="106">
        <v>4</v>
      </c>
      <c r="M119" s="106" t="s">
        <v>73</v>
      </c>
      <c r="N119" s="107">
        <v>32</v>
      </c>
      <c r="O119" s="115">
        <v>6.5</v>
      </c>
      <c r="P119" s="124">
        <v>0</v>
      </c>
      <c r="Q119" s="38">
        <f t="shared" ref="Q119" si="172">0.5*G119*2</f>
        <v>15</v>
      </c>
      <c r="R119" s="38"/>
      <c r="S119" s="38">
        <f t="shared" si="167"/>
        <v>9.6</v>
      </c>
      <c r="T119" s="38"/>
      <c r="U119" s="38">
        <f t="shared" si="168"/>
        <v>0</v>
      </c>
      <c r="V119" s="38"/>
      <c r="W119" s="38">
        <f>G119*N119*0.75</f>
        <v>360</v>
      </c>
      <c r="X119" s="38">
        <f t="shared" si="169"/>
        <v>1091.1549999999997</v>
      </c>
      <c r="Y119" s="38">
        <f t="shared" si="170"/>
        <v>5635.0132014931178</v>
      </c>
      <c r="Z119" s="116">
        <f t="shared" si="171"/>
        <v>5635.0132014931178</v>
      </c>
      <c r="AA119" s="109">
        <f t="shared" si="148"/>
        <v>335.73999999999995</v>
      </c>
      <c r="AB119" s="109">
        <f t="shared" si="149"/>
        <v>1140.0149999999996</v>
      </c>
      <c r="AC119" s="109">
        <f t="shared" si="150"/>
        <v>7424.2186199999978</v>
      </c>
      <c r="AD119" s="109">
        <f t="shared" si="151"/>
        <v>8564.2336199999972</v>
      </c>
      <c r="AE119" s="27">
        <f t="shared" si="152"/>
        <v>103.11414749999997</v>
      </c>
      <c r="AG119" s="27">
        <f t="shared" si="153"/>
        <v>1091.1549999999997</v>
      </c>
    </row>
    <row r="120" spans="1:33" s="28" customFormat="1" ht="15.9" customHeight="1">
      <c r="A120" s="94" t="s">
        <v>60</v>
      </c>
      <c r="B120" s="72"/>
      <c r="C120" s="72"/>
      <c r="D120" s="72"/>
      <c r="E120" s="72"/>
      <c r="F120" s="72"/>
      <c r="G120" s="73">
        <f>SUM(G116:G119)</f>
        <v>22</v>
      </c>
      <c r="H120" s="156"/>
      <c r="I120" s="156"/>
      <c r="J120" s="156"/>
      <c r="K120" s="156">
        <f>SUM(K116:K119)</f>
        <v>228.11999999999998</v>
      </c>
      <c r="L120" s="74"/>
      <c r="M120" s="74"/>
      <c r="N120" s="74"/>
      <c r="O120" s="157"/>
      <c r="P120" s="125">
        <f t="shared" ref="P120:Z120" si="173">SUM(P116:P119)</f>
        <v>17.990000000000002</v>
      </c>
      <c r="Q120" s="76">
        <f t="shared" si="173"/>
        <v>18.5</v>
      </c>
      <c r="R120" s="76">
        <f t="shared" si="173"/>
        <v>0</v>
      </c>
      <c r="S120" s="76">
        <f t="shared" si="173"/>
        <v>12.8</v>
      </c>
      <c r="T120" s="76">
        <f t="shared" si="173"/>
        <v>11.5</v>
      </c>
      <c r="U120" s="76">
        <f t="shared" si="173"/>
        <v>0</v>
      </c>
      <c r="V120" s="76">
        <f t="shared" si="173"/>
        <v>0</v>
      </c>
      <c r="W120" s="76">
        <f t="shared" si="173"/>
        <v>455</v>
      </c>
      <c r="X120" s="76">
        <f t="shared" si="173"/>
        <v>1639.7499999999998</v>
      </c>
      <c r="Y120" s="76">
        <f t="shared" si="173"/>
        <v>7657.4683476774298</v>
      </c>
      <c r="Z120" s="117">
        <f t="shared" si="173"/>
        <v>7657.4683476774298</v>
      </c>
      <c r="AA120" s="109"/>
      <c r="AB120" s="109"/>
      <c r="AC120" s="109"/>
      <c r="AD120" s="109"/>
      <c r="AE120" s="27"/>
      <c r="AF120" s="27"/>
      <c r="AG120" s="27"/>
    </row>
    <row r="121" spans="1:33" ht="15.9" customHeight="1">
      <c r="A121" s="56" t="s">
        <v>74</v>
      </c>
      <c r="K121" s="51"/>
      <c r="L121" s="51"/>
      <c r="M121" s="51"/>
      <c r="N121" s="51"/>
      <c r="W121" s="52"/>
      <c r="X121" s="91" t="s">
        <v>152</v>
      </c>
      <c r="Y121" s="101">
        <f>1.02*3131.5</f>
        <v>3194.13</v>
      </c>
      <c r="Z121" s="145">
        <f>1.02*3131.5</f>
        <v>3194.13</v>
      </c>
      <c r="AA121" s="109"/>
      <c r="AB121" s="109"/>
      <c r="AC121" s="109"/>
      <c r="AD121" s="109"/>
      <c r="AE121" s="27"/>
      <c r="AF121" s="27"/>
      <c r="AG121" s="27"/>
    </row>
    <row r="122" spans="1:33" s="100" customFormat="1" ht="28">
      <c r="A122" s="95" t="s">
        <v>61</v>
      </c>
      <c r="B122" s="96" t="s">
        <v>4</v>
      </c>
      <c r="C122" s="96" t="s">
        <v>23</v>
      </c>
      <c r="D122" s="96" t="s">
        <v>45</v>
      </c>
      <c r="E122" s="96" t="s">
        <v>46</v>
      </c>
      <c r="F122" s="96" t="s">
        <v>5</v>
      </c>
      <c r="G122" s="96" t="s">
        <v>6</v>
      </c>
      <c r="H122" s="97" t="s">
        <v>7</v>
      </c>
      <c r="I122" s="97" t="s">
        <v>47</v>
      </c>
      <c r="J122" s="97" t="s">
        <v>8</v>
      </c>
      <c r="K122" s="98" t="s">
        <v>13</v>
      </c>
      <c r="L122" s="98" t="s">
        <v>19</v>
      </c>
      <c r="M122" s="98" t="s">
        <v>22</v>
      </c>
      <c r="N122" s="98" t="s">
        <v>20</v>
      </c>
      <c r="O122" s="99" t="s">
        <v>9</v>
      </c>
      <c r="P122" s="99" t="s">
        <v>49</v>
      </c>
      <c r="Q122" s="48" t="s">
        <v>50</v>
      </c>
      <c r="R122" s="48" t="s">
        <v>54</v>
      </c>
      <c r="S122" s="48" t="s">
        <v>64</v>
      </c>
      <c r="T122" s="48" t="s">
        <v>12</v>
      </c>
      <c r="U122" s="48" t="s">
        <v>52</v>
      </c>
      <c r="V122" s="48" t="s">
        <v>48</v>
      </c>
      <c r="W122" s="48" t="s">
        <v>14</v>
      </c>
      <c r="X122" s="53" t="s">
        <v>11</v>
      </c>
      <c r="Y122" s="139" t="s">
        <v>161</v>
      </c>
      <c r="Z122" s="53" t="s">
        <v>143</v>
      </c>
      <c r="AA122" s="109"/>
      <c r="AB122" s="109"/>
      <c r="AC122" s="109"/>
      <c r="AD122" s="109"/>
      <c r="AE122" s="27"/>
      <c r="AF122" s="27"/>
      <c r="AG122" s="27"/>
    </row>
    <row r="123" spans="1:33" s="27" customFormat="1" ht="42">
      <c r="A123" s="103" t="s">
        <v>154</v>
      </c>
      <c r="B123" s="102" t="s">
        <v>155</v>
      </c>
      <c r="C123" s="105"/>
      <c r="D123" s="105"/>
      <c r="E123" s="102"/>
      <c r="F123" s="102" t="s">
        <v>68</v>
      </c>
      <c r="G123" s="158">
        <v>6</v>
      </c>
      <c r="H123" s="159">
        <v>16.380000000000003</v>
      </c>
      <c r="I123" s="159">
        <v>1.0799999999999998</v>
      </c>
      <c r="J123" s="159"/>
      <c r="K123" s="160">
        <f>H123-I123-J123</f>
        <v>15.300000000000002</v>
      </c>
      <c r="L123" s="106" t="s">
        <v>156</v>
      </c>
      <c r="M123" s="106" t="s">
        <v>153</v>
      </c>
      <c r="N123" s="107" t="s">
        <v>157</v>
      </c>
      <c r="O123" s="115">
        <v>5</v>
      </c>
      <c r="P123" s="124">
        <v>5.3150000000000004</v>
      </c>
      <c r="Q123" s="38">
        <f>(G123*6.5)+(0.5*2*G123)</f>
        <v>45</v>
      </c>
      <c r="R123" s="38"/>
      <c r="S123" s="38">
        <f>G123*0.02*(12+2+24)</f>
        <v>4.5599999999999996</v>
      </c>
      <c r="T123" s="38"/>
      <c r="U123" s="38">
        <f t="shared" ref="U123:U124" si="174">IF(RIGHT(F123,2)="WG",K123*$AA$4,IF(OR(RIGHT(F123,3)="WRG",RIGHT(F123,3)="WYG",RIGHT(F123,3)="WYR"),K123*$AA$4+3*G123,0))</f>
        <v>3.6720000000000006</v>
      </c>
      <c r="V123" s="38"/>
      <c r="W123" s="38">
        <f>G123*(12+2+24)*0.3</f>
        <v>68.399999999999991</v>
      </c>
      <c r="X123" s="38">
        <f t="shared" ref="X123:X124" si="175">K123*O123</f>
        <v>76.500000000000014</v>
      </c>
      <c r="Y123" s="38">
        <f>($Y$121/31.1035*IF(LEFT(F123,3)="10K",(0.417*1.07*K123),IF(LEFT(F123,3)="14K",(0.585*1.05*K123),IF(LEFT(F123,3)="18K",(0.75*1.05*K123),0))))*0.5</f>
        <v>482.55845151269153</v>
      </c>
      <c r="Z123" s="116">
        <f>($Z$121/31.1035*IF(LEFT(F123,3)="10K",(0.417*1.07*K123),IF(LEFT(F123,3)="14K",(0.585*1.05*K123),IF(LEFT(F123,3)="18K",(0.75*1.05*K123),0))))*0.5</f>
        <v>482.55845151269153</v>
      </c>
      <c r="AA123" s="109">
        <f t="shared" si="148"/>
        <v>30.600000000000005</v>
      </c>
      <c r="AB123" s="109">
        <f t="shared" si="149"/>
        <v>167.53200000000001</v>
      </c>
      <c r="AC123" s="109">
        <f t="shared" si="150"/>
        <v>1565.2195000000002</v>
      </c>
      <c r="AD123" s="109">
        <f t="shared" si="151"/>
        <v>1732.7515000000001</v>
      </c>
      <c r="AE123" s="27">
        <f t="shared" si="152"/>
        <v>9.3980250000000005</v>
      </c>
      <c r="AG123" s="27">
        <f t="shared" ref="AG123:AG128" si="176">IF(AF123&gt;0,AF123*K123,X123)</f>
        <v>76.500000000000014</v>
      </c>
    </row>
    <row r="124" spans="1:33" s="27" customFormat="1" ht="42.5" thickBot="1">
      <c r="A124" s="119">
        <v>2</v>
      </c>
      <c r="B124" s="102" t="s">
        <v>155</v>
      </c>
      <c r="C124" s="121"/>
      <c r="D124" s="121"/>
      <c r="E124" s="120"/>
      <c r="F124" s="120" t="s">
        <v>69</v>
      </c>
      <c r="G124" s="161">
        <v>2</v>
      </c>
      <c r="H124" s="159">
        <v>5.3900000000000006</v>
      </c>
      <c r="I124" s="162">
        <v>0.36</v>
      </c>
      <c r="J124" s="162"/>
      <c r="K124" s="160">
        <f t="shared" ref="K124" si="177">H124-I124-J124</f>
        <v>5.03</v>
      </c>
      <c r="L124" s="106" t="s">
        <v>156</v>
      </c>
      <c r="M124" s="106" t="s">
        <v>153</v>
      </c>
      <c r="N124" s="107" t="s">
        <v>157</v>
      </c>
      <c r="O124" s="115">
        <v>5</v>
      </c>
      <c r="P124" s="124">
        <v>1.7749999999999999</v>
      </c>
      <c r="Q124" s="38">
        <f>(G124*6.5)+(0.5*2*G124)</f>
        <v>15</v>
      </c>
      <c r="R124" s="38"/>
      <c r="S124" s="38">
        <f>G124*0.02*(12+2+24)</f>
        <v>1.52</v>
      </c>
      <c r="T124" s="38"/>
      <c r="U124" s="38">
        <f t="shared" si="174"/>
        <v>0</v>
      </c>
      <c r="V124" s="38"/>
      <c r="W124" s="38">
        <f>G124*(12+2+24)*0.3</f>
        <v>22.8</v>
      </c>
      <c r="X124" s="38">
        <f t="shared" si="175"/>
        <v>25.150000000000002</v>
      </c>
      <c r="Y124" s="38">
        <f>($Y$121/31.1035*IF(LEFT(F124,3)="10K",(0.417*1.07*K124),IF(LEFT(F124,3)="14K",(0.585*1.05*K124),IF(LEFT(F124,3)="18K",(0.75*1.05*K124),0))))*0.5</f>
        <v>158.64503340580643</v>
      </c>
      <c r="Z124" s="116">
        <f>($Z$121/31.1035*IF(LEFT(F124,3)="10K",(0.417*1.07*K124),IF(LEFT(F124,3)="14K",(0.585*1.05*K124),IF(LEFT(F124,3)="18K",(0.75*1.05*K124),0))))*0.5</f>
        <v>158.64503340580643</v>
      </c>
      <c r="AA124" s="109">
        <f t="shared" si="148"/>
        <v>10.06</v>
      </c>
      <c r="AB124" s="109">
        <f t="shared" si="149"/>
        <v>54.41</v>
      </c>
      <c r="AC124" s="109">
        <f t="shared" si="150"/>
        <v>519.20128</v>
      </c>
      <c r="AD124" s="109">
        <f t="shared" si="151"/>
        <v>573.61127999999997</v>
      </c>
      <c r="AE124" s="27">
        <f t="shared" si="152"/>
        <v>3.0896775000000001</v>
      </c>
      <c r="AG124" s="27">
        <f t="shared" si="176"/>
        <v>25.150000000000002</v>
      </c>
    </row>
    <row r="125" spans="1:33" s="28" customFormat="1" ht="15.9" customHeight="1">
      <c r="A125" s="94" t="s">
        <v>60</v>
      </c>
      <c r="B125" s="72"/>
      <c r="C125" s="72"/>
      <c r="D125" s="72"/>
      <c r="E125" s="72"/>
      <c r="F125" s="72"/>
      <c r="G125" s="163">
        <f>SUM(G123:G124)</f>
        <v>8</v>
      </c>
      <c r="H125" s="164"/>
      <c r="I125" s="164"/>
      <c r="J125" s="164"/>
      <c r="K125" s="164">
        <f>SUM(K123:K124)</f>
        <v>20.330000000000002</v>
      </c>
      <c r="L125" s="74"/>
      <c r="M125" s="74"/>
      <c r="N125" s="74"/>
      <c r="O125" s="75"/>
      <c r="P125" s="125">
        <f t="shared" ref="P125:Z125" si="178">SUM(P123:P124)</f>
        <v>7.09</v>
      </c>
      <c r="Q125" s="76">
        <f t="shared" si="178"/>
        <v>60</v>
      </c>
      <c r="R125" s="76">
        <f t="shared" si="178"/>
        <v>0</v>
      </c>
      <c r="S125" s="76">
        <f t="shared" si="178"/>
        <v>6.08</v>
      </c>
      <c r="T125" s="76">
        <f t="shared" si="178"/>
        <v>0</v>
      </c>
      <c r="U125" s="76">
        <f t="shared" si="178"/>
        <v>3.6720000000000006</v>
      </c>
      <c r="V125" s="76">
        <f t="shared" si="178"/>
        <v>0</v>
      </c>
      <c r="W125" s="76">
        <f t="shared" si="178"/>
        <v>91.199999999999989</v>
      </c>
      <c r="X125" s="76">
        <f t="shared" si="178"/>
        <v>101.65000000000002</v>
      </c>
      <c r="Y125" s="76">
        <f t="shared" si="178"/>
        <v>641.20348491849791</v>
      </c>
      <c r="Z125" s="117">
        <f t="shared" si="178"/>
        <v>641.20348491849791</v>
      </c>
      <c r="AA125" s="109"/>
      <c r="AB125" s="109"/>
      <c r="AC125" s="109"/>
      <c r="AD125" s="109"/>
      <c r="AE125" s="27"/>
      <c r="AF125" s="27"/>
      <c r="AG125" s="27"/>
    </row>
    <row r="126" spans="1:33" ht="15.9" customHeight="1">
      <c r="A126" s="56" t="s">
        <v>74</v>
      </c>
      <c r="K126" s="51"/>
      <c r="L126" s="51"/>
      <c r="M126" s="51"/>
      <c r="N126" s="51"/>
      <c r="W126" s="52"/>
      <c r="X126" s="91" t="s">
        <v>158</v>
      </c>
      <c r="Y126" s="101">
        <f>1.02*3128.15</f>
        <v>3190.7130000000002</v>
      </c>
      <c r="Z126" s="145">
        <f>1.02*3128.15</f>
        <v>3190.7130000000002</v>
      </c>
      <c r="AA126" s="109"/>
      <c r="AB126" s="109"/>
      <c r="AC126" s="109"/>
      <c r="AD126" s="109"/>
      <c r="AE126" s="27"/>
      <c r="AF126" s="27"/>
      <c r="AG126" s="27"/>
    </row>
    <row r="127" spans="1:33" s="100" customFormat="1" ht="28">
      <c r="A127" s="95" t="s">
        <v>61</v>
      </c>
      <c r="B127" s="96" t="s">
        <v>4</v>
      </c>
      <c r="C127" s="96" t="s">
        <v>23</v>
      </c>
      <c r="D127" s="96" t="s">
        <v>45</v>
      </c>
      <c r="E127" s="96" t="s">
        <v>46</v>
      </c>
      <c r="F127" s="96" t="s">
        <v>5</v>
      </c>
      <c r="G127" s="96" t="s">
        <v>6</v>
      </c>
      <c r="H127" s="97" t="s">
        <v>7</v>
      </c>
      <c r="I127" s="97" t="s">
        <v>47</v>
      </c>
      <c r="J127" s="97" t="s">
        <v>8</v>
      </c>
      <c r="K127" s="98" t="s">
        <v>13</v>
      </c>
      <c r="L127" s="98" t="s">
        <v>19</v>
      </c>
      <c r="M127" s="98" t="s">
        <v>22</v>
      </c>
      <c r="N127" s="98" t="s">
        <v>20</v>
      </c>
      <c r="O127" s="99" t="s">
        <v>9</v>
      </c>
      <c r="P127" s="99" t="s">
        <v>49</v>
      </c>
      <c r="Q127" s="48" t="s">
        <v>50</v>
      </c>
      <c r="R127" s="48" t="s">
        <v>54</v>
      </c>
      <c r="S127" s="48" t="s">
        <v>64</v>
      </c>
      <c r="T127" s="48" t="s">
        <v>12</v>
      </c>
      <c r="U127" s="48" t="s">
        <v>52</v>
      </c>
      <c r="V127" s="48" t="s">
        <v>48</v>
      </c>
      <c r="W127" s="48" t="s">
        <v>14</v>
      </c>
      <c r="X127" s="53" t="s">
        <v>11</v>
      </c>
      <c r="Y127" s="139" t="s">
        <v>161</v>
      </c>
      <c r="Z127" s="53" t="s">
        <v>143</v>
      </c>
      <c r="AA127" s="109"/>
      <c r="AB127" s="109"/>
      <c r="AC127" s="109"/>
      <c r="AD127" s="109"/>
      <c r="AE127" s="27"/>
      <c r="AF127" s="27"/>
      <c r="AG127" s="27"/>
    </row>
    <row r="128" spans="1:33" s="27" customFormat="1" ht="28.5" thickBot="1">
      <c r="A128" s="103" t="s">
        <v>159</v>
      </c>
      <c r="B128" s="102" t="s">
        <v>160</v>
      </c>
      <c r="C128" s="105"/>
      <c r="D128" s="105"/>
      <c r="E128" s="102"/>
      <c r="F128" s="102" t="s">
        <v>68</v>
      </c>
      <c r="G128" s="158">
        <v>1</v>
      </c>
      <c r="H128" s="159">
        <v>8.5399999999999991</v>
      </c>
      <c r="I128" s="159">
        <v>0.78</v>
      </c>
      <c r="J128" s="159">
        <v>0.4</v>
      </c>
      <c r="K128" s="160">
        <f>H128-I128-J128</f>
        <v>7.3599999999999985</v>
      </c>
      <c r="L128" s="106">
        <v>2.75</v>
      </c>
      <c r="M128" s="106" t="s">
        <v>73</v>
      </c>
      <c r="N128" s="107">
        <f>ROUNDUP(6/6.75*53,0)</f>
        <v>48</v>
      </c>
      <c r="O128" s="115">
        <v>8.5</v>
      </c>
      <c r="P128" s="124">
        <v>3.8849999999999998</v>
      </c>
      <c r="Q128" s="38">
        <f>G128*0.5</f>
        <v>0.5</v>
      </c>
      <c r="R128" s="38"/>
      <c r="S128" s="38">
        <f>G128*0.02*N128</f>
        <v>0.96</v>
      </c>
      <c r="T128" s="38">
        <f>G128*2.3</f>
        <v>2.2999999999999998</v>
      </c>
      <c r="U128" s="38">
        <f t="shared" ref="U128" si="179">IF(RIGHT(F128,2)="WG",K128*$AA$4,IF(OR(RIGHT(F128,3)="WRG",RIGHT(F128,3)="WYG",RIGHT(F128,3)="WYR"),K128*$AA$4+3*G128,0))</f>
        <v>1.7663999999999995</v>
      </c>
      <c r="V128" s="38"/>
      <c r="W128" s="38">
        <f>G128*N128*0.5</f>
        <v>24</v>
      </c>
      <c r="X128" s="38">
        <f t="shared" ref="X128" si="180">K128*O128</f>
        <v>62.559999999999988</v>
      </c>
      <c r="Y128" s="38">
        <f>($Y$126/31.1035*IF(LEFT(F128,3)="10K",(0.417*1.07*K128),IF(LEFT(F128,3)="14K",(0.585*1.05*K128),IF(LEFT(F128,3)="18K",(0.75*1.05*K128),0))))*0.5</f>
        <v>231.88436329416299</v>
      </c>
      <c r="Z128" s="116">
        <f>($Z$126/31.1035*IF(LEFT(F128,3)="10K",(0.417*1.07*K128),IF(LEFT(F128,3)="14K",(0.585*1.05*K128),IF(LEFT(F128,3)="18K",(0.75*1.05*K128),0))))*0.5</f>
        <v>231.88436329416299</v>
      </c>
      <c r="AA128" s="109">
        <f t="shared" si="148"/>
        <v>14.719999999999997</v>
      </c>
      <c r="AB128" s="109">
        <f t="shared" si="149"/>
        <v>77.366399999999985</v>
      </c>
      <c r="AC128" s="109">
        <f t="shared" si="150"/>
        <v>974.99765999999988</v>
      </c>
      <c r="AD128" s="109">
        <f t="shared" si="151"/>
        <v>1052.3640599999999</v>
      </c>
      <c r="AE128" s="27">
        <f t="shared" si="152"/>
        <v>4.5208799999999991</v>
      </c>
      <c r="AG128" s="27">
        <f t="shared" si="176"/>
        <v>62.559999999999988</v>
      </c>
    </row>
    <row r="129" spans="1:33" s="28" customFormat="1" ht="15.9" customHeight="1">
      <c r="A129" s="94" t="s">
        <v>60</v>
      </c>
      <c r="B129" s="72"/>
      <c r="C129" s="72"/>
      <c r="D129" s="72"/>
      <c r="E129" s="72"/>
      <c r="F129" s="72"/>
      <c r="G129" s="163">
        <f>SUM(G128:G128)</f>
        <v>1</v>
      </c>
      <c r="H129" s="164"/>
      <c r="I129" s="164"/>
      <c r="J129" s="164"/>
      <c r="K129" s="164">
        <f>SUM(K128:K128)</f>
        <v>7.3599999999999985</v>
      </c>
      <c r="L129" s="74"/>
      <c r="M129" s="74"/>
      <c r="N129" s="74"/>
      <c r="O129" s="75"/>
      <c r="P129" s="125">
        <f t="shared" ref="P129:Z129" si="181">SUM(P128:P128)</f>
        <v>3.8849999999999998</v>
      </c>
      <c r="Q129" s="76">
        <f t="shared" si="181"/>
        <v>0.5</v>
      </c>
      <c r="R129" s="76">
        <f t="shared" si="181"/>
        <v>0</v>
      </c>
      <c r="S129" s="76">
        <f t="shared" si="181"/>
        <v>0.96</v>
      </c>
      <c r="T129" s="76">
        <f t="shared" si="181"/>
        <v>2.2999999999999998</v>
      </c>
      <c r="U129" s="76">
        <f t="shared" si="181"/>
        <v>1.7663999999999995</v>
      </c>
      <c r="V129" s="76">
        <f t="shared" si="181"/>
        <v>0</v>
      </c>
      <c r="W129" s="76">
        <f t="shared" si="181"/>
        <v>24</v>
      </c>
      <c r="X129" s="76">
        <f t="shared" si="181"/>
        <v>62.559999999999988</v>
      </c>
      <c r="Y129" s="76">
        <f t="shared" si="181"/>
        <v>231.88436329416299</v>
      </c>
      <c r="Z129" s="117">
        <f t="shared" si="181"/>
        <v>231.88436329416299</v>
      </c>
      <c r="AA129" s="109"/>
      <c r="AB129" s="169">
        <f>SUM(AB16:AB128)</f>
        <v>49408.562400000003</v>
      </c>
      <c r="AC129" s="169">
        <f>SUM(AC16:AC128)</f>
        <v>515274.91833999986</v>
      </c>
      <c r="AD129" s="169">
        <f>SUM(AD16:AD128)</f>
        <v>564683.48073999968</v>
      </c>
      <c r="AE129" s="170">
        <f>SUM(AE16:AE128)</f>
        <v>2201.9265449999989</v>
      </c>
      <c r="AF129" s="27"/>
      <c r="AG129" s="170">
        <f>SUM(AG16:AG128)</f>
        <v>25293.769999999997</v>
      </c>
    </row>
    <row r="130" spans="1:33" s="28" customFormat="1" ht="15.9" customHeight="1">
      <c r="A130" s="126" t="s">
        <v>162</v>
      </c>
      <c r="B130" s="127"/>
      <c r="C130" s="127"/>
      <c r="D130" s="127"/>
      <c r="E130" s="127"/>
      <c r="F130" s="127"/>
      <c r="G130" s="128">
        <f>SUM(G129,G125,G120,G113,G101,G97,G93,G88,G83,G76,G72,G68,G62,G57,G53,G48,G41,G35,G28,G23,G18)</f>
        <v>415</v>
      </c>
      <c r="H130" s="171"/>
      <c r="I130" s="171"/>
      <c r="J130" s="171"/>
      <c r="K130" s="171">
        <f>SUM(K129,K125,K120,K113,K101,K97,K93,K88,K83,K76,K72,K68,K62,K57,K53,K48,K41,K35,K28,K23,K18)</f>
        <v>3584.7400000000002</v>
      </c>
      <c r="L130" s="129"/>
      <c r="M130" s="129"/>
      <c r="N130" s="129"/>
      <c r="O130" s="130"/>
      <c r="P130" s="131">
        <f t="shared" ref="P130:Z130" si="182">SUM(P129,P125,P120,P113,P101,P97,P93,P88,P83,P76,P72,P68,P62,P57,P53,P48,P41,P35,P28,P23,P18)</f>
        <v>2133.8450000000003</v>
      </c>
      <c r="Q130" s="132">
        <f t="shared" si="182"/>
        <v>271.5</v>
      </c>
      <c r="R130" s="132">
        <f t="shared" si="182"/>
        <v>0</v>
      </c>
      <c r="S130" s="132">
        <f t="shared" si="182"/>
        <v>352.90000000000003</v>
      </c>
      <c r="T130" s="132">
        <f t="shared" si="182"/>
        <v>13.8</v>
      </c>
      <c r="U130" s="132">
        <f t="shared" si="182"/>
        <v>578.82239999999979</v>
      </c>
      <c r="V130" s="132">
        <f t="shared" si="182"/>
        <v>0</v>
      </c>
      <c r="W130" s="132">
        <f t="shared" si="182"/>
        <v>30067.25</v>
      </c>
      <c r="X130" s="132">
        <f t="shared" si="182"/>
        <v>25293.769999999997</v>
      </c>
      <c r="Y130" s="132">
        <f t="shared" si="182"/>
        <v>184821.53949538781</v>
      </c>
      <c r="Z130" s="133">
        <f t="shared" si="182"/>
        <v>13058.17030572146</v>
      </c>
      <c r="AA130" s="110"/>
      <c r="AB130" s="110"/>
      <c r="AC130" s="110"/>
      <c r="AD130" s="110"/>
      <c r="AE130" s="110"/>
    </row>
    <row r="131" spans="1:33" s="28" customFormat="1" ht="15.9" customHeight="1" thickBot="1">
      <c r="A131" s="77"/>
      <c r="B131" s="78"/>
      <c r="C131" s="78"/>
      <c r="D131" s="78"/>
      <c r="E131" s="78"/>
      <c r="F131" s="78"/>
      <c r="G131" s="78"/>
      <c r="H131" s="78"/>
      <c r="I131" s="78"/>
      <c r="J131" s="67"/>
      <c r="K131" s="68"/>
      <c r="L131" s="68"/>
      <c r="M131" s="68"/>
      <c r="N131" s="68"/>
      <c r="O131" s="69"/>
      <c r="P131" s="69"/>
      <c r="Q131" s="70"/>
      <c r="R131" s="70"/>
      <c r="S131" s="70"/>
      <c r="T131" s="70"/>
      <c r="U131" s="70"/>
      <c r="V131" s="71"/>
      <c r="W131" s="79" t="s">
        <v>25</v>
      </c>
      <c r="X131" s="71"/>
      <c r="Y131" s="70"/>
      <c r="Z131" s="118"/>
    </row>
    <row r="132" spans="1:33" s="28" customFormat="1" ht="18.5" thickTop="1">
      <c r="A132" s="50"/>
      <c r="B132" s="174"/>
      <c r="C132" s="174"/>
      <c r="D132" s="174"/>
      <c r="E132" s="174"/>
      <c r="F132" s="174"/>
      <c r="G132" s="174"/>
      <c r="H132" s="174"/>
      <c r="I132" s="23"/>
      <c r="J132" s="54"/>
      <c r="K132" s="25"/>
      <c r="L132" s="25"/>
      <c r="M132" s="25"/>
      <c r="N132" s="25"/>
      <c r="O132" s="26"/>
      <c r="P132" s="26"/>
      <c r="Q132" s="55"/>
      <c r="R132" s="55"/>
      <c r="S132" s="55"/>
      <c r="T132" s="55"/>
      <c r="U132" s="55"/>
      <c r="W132" s="80" t="s">
        <v>15</v>
      </c>
      <c r="X132" s="175">
        <f>SUM(Q130:Z130)</f>
        <v>254457.75220110928</v>
      </c>
      <c r="Y132" s="175"/>
      <c r="Z132" s="147"/>
    </row>
    <row r="133" spans="1:33" s="28" customFormat="1" ht="18">
      <c r="A133" s="108" t="s">
        <v>53</v>
      </c>
      <c r="B133" s="89"/>
      <c r="C133" s="89"/>
      <c r="D133" s="89"/>
      <c r="E133" s="89"/>
      <c r="F133" s="90"/>
      <c r="G133" s="90"/>
      <c r="H133" s="90"/>
      <c r="I133" s="23"/>
      <c r="J133" s="54"/>
      <c r="K133" s="25"/>
      <c r="L133" s="25"/>
      <c r="M133" s="25"/>
      <c r="N133" s="25"/>
      <c r="O133" s="26"/>
      <c r="P133" s="26"/>
      <c r="Q133" s="55"/>
      <c r="R133" s="55"/>
      <c r="S133" s="55"/>
      <c r="T133" s="55"/>
      <c r="U133" s="55"/>
      <c r="W133" s="80" t="s">
        <v>16</v>
      </c>
      <c r="X133" s="184"/>
      <c r="Y133" s="185"/>
      <c r="Z133" s="146"/>
    </row>
    <row r="134" spans="1:33" ht="15.5">
      <c r="A134" s="50"/>
      <c r="B134" s="40"/>
      <c r="C134" s="40"/>
      <c r="D134" s="40"/>
      <c r="E134" s="40"/>
      <c r="G134" s="22"/>
      <c r="H134" s="23"/>
      <c r="J134" s="54"/>
      <c r="K134" s="25"/>
      <c r="L134" s="25"/>
      <c r="M134" s="25"/>
      <c r="N134" s="25"/>
      <c r="O134" s="26"/>
      <c r="P134" s="26"/>
      <c r="V134" s="22"/>
      <c r="W134" s="80" t="s">
        <v>17</v>
      </c>
      <c r="X134" s="184">
        <f>X132-X133</f>
        <v>254457.75220110928</v>
      </c>
      <c r="Y134" s="185"/>
      <c r="AC134" s="111"/>
    </row>
    <row r="135" spans="1:33" ht="20">
      <c r="A135" s="56"/>
      <c r="G135" s="22"/>
      <c r="H135" s="23"/>
      <c r="J135" s="54"/>
      <c r="K135" s="25"/>
      <c r="L135" s="25"/>
      <c r="M135" s="25"/>
      <c r="N135" s="25"/>
      <c r="O135" s="26"/>
      <c r="P135" s="26"/>
      <c r="V135" s="41"/>
      <c r="W135" s="41"/>
      <c r="X135" s="172"/>
      <c r="Y135" s="173"/>
    </row>
    <row r="136" spans="1:33" ht="22.5" customHeight="1">
      <c r="A136" s="56"/>
      <c r="B136" s="42"/>
      <c r="C136" s="42"/>
      <c r="D136" s="42"/>
      <c r="E136" s="42"/>
      <c r="G136" s="22"/>
      <c r="H136" s="23"/>
      <c r="J136" s="54"/>
      <c r="K136" s="25"/>
      <c r="L136" s="25"/>
      <c r="M136" s="25"/>
      <c r="N136" s="25"/>
      <c r="O136" s="26"/>
      <c r="P136" s="26"/>
      <c r="V136" s="41"/>
      <c r="W136" s="41"/>
      <c r="X136" s="30"/>
      <c r="Y136" s="140"/>
      <c r="Z136" s="57"/>
    </row>
    <row r="137" spans="1:33" ht="15.9" customHeight="1">
      <c r="A137" s="58"/>
      <c r="B137" s="42"/>
      <c r="C137" s="42"/>
      <c r="D137" s="42"/>
      <c r="E137" s="42"/>
      <c r="F137" s="32"/>
      <c r="G137" s="32"/>
      <c r="H137" s="32"/>
      <c r="I137" s="32"/>
      <c r="J137" s="33"/>
      <c r="K137" s="32"/>
      <c r="L137" s="32"/>
      <c r="M137" s="32"/>
      <c r="N137" s="32"/>
      <c r="O137" s="34"/>
      <c r="P137" s="34"/>
      <c r="Q137" s="34"/>
      <c r="R137" s="34"/>
      <c r="S137" s="34"/>
      <c r="T137" s="34"/>
      <c r="U137" s="34"/>
      <c r="V137" s="22"/>
      <c r="W137" s="35"/>
      <c r="X137" s="36"/>
      <c r="Y137" s="141"/>
      <c r="Z137" s="59"/>
    </row>
    <row r="138" spans="1:33" ht="15.9" customHeight="1">
      <c r="A138" s="58"/>
      <c r="B138" s="42"/>
      <c r="C138" s="42"/>
      <c r="D138" s="42"/>
      <c r="E138" s="42"/>
      <c r="F138" s="32"/>
      <c r="G138" s="32"/>
      <c r="H138" s="32"/>
      <c r="I138" s="32"/>
      <c r="J138" s="32"/>
      <c r="K138" s="32"/>
      <c r="L138" s="32"/>
      <c r="M138" s="32"/>
      <c r="N138" s="32"/>
      <c r="O138" s="34"/>
      <c r="P138" s="34"/>
      <c r="Q138" s="34"/>
      <c r="R138" s="34"/>
      <c r="S138" s="34"/>
      <c r="T138" s="34"/>
      <c r="U138" s="34"/>
      <c r="V138" s="31"/>
      <c r="W138" s="31"/>
      <c r="X138" s="32"/>
      <c r="Y138" s="142"/>
      <c r="Z138" s="60"/>
    </row>
    <row r="139" spans="1:33">
      <c r="A139" s="61"/>
      <c r="B139" s="42"/>
      <c r="C139" s="42"/>
      <c r="D139" s="42"/>
      <c r="E139" s="4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81" t="s">
        <v>10</v>
      </c>
      <c r="W139" s="31"/>
      <c r="X139" s="37" t="s">
        <v>24</v>
      </c>
      <c r="Y139" s="142"/>
      <c r="Z139" s="60"/>
    </row>
    <row r="140" spans="1:33" s="32" customFormat="1" ht="12.75" customHeight="1">
      <c r="A140" s="62"/>
      <c r="B140" s="63"/>
      <c r="C140" s="63"/>
      <c r="D140" s="63"/>
      <c r="E140" s="63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5"/>
      <c r="W140" s="65"/>
      <c r="X140" s="64"/>
      <c r="Y140" s="64"/>
      <c r="Z140" s="66"/>
    </row>
    <row r="141" spans="1:33" s="36" customFormat="1" ht="12.75" customHeight="1">
      <c r="A141" s="21"/>
      <c r="B141" s="21"/>
      <c r="C141" s="21"/>
      <c r="D141" s="21"/>
      <c r="E141" s="21"/>
      <c r="F141" s="21"/>
      <c r="G141" s="21"/>
      <c r="H141" s="22"/>
      <c r="I141" s="23"/>
      <c r="J141" s="23"/>
      <c r="K141" s="24"/>
      <c r="L141" s="24"/>
      <c r="M141" s="24"/>
      <c r="N141" s="24"/>
      <c r="O141" s="25"/>
      <c r="P141" s="25"/>
      <c r="Q141" s="26"/>
      <c r="R141" s="26"/>
      <c r="S141" s="26"/>
      <c r="T141" s="26"/>
      <c r="U141" s="26"/>
      <c r="V141" s="26"/>
      <c r="W141" s="26"/>
      <c r="X141" s="29"/>
      <c r="Y141" s="22"/>
      <c r="Z141" s="140"/>
    </row>
    <row r="142" spans="1:33" s="32" customFormat="1" ht="12.75" customHeight="1">
      <c r="A142" s="21"/>
      <c r="B142" s="21"/>
      <c r="C142" s="21"/>
      <c r="D142" s="21"/>
      <c r="E142" s="21"/>
      <c r="F142" s="21"/>
      <c r="G142" s="21"/>
      <c r="H142" s="22"/>
      <c r="I142" s="23"/>
      <c r="J142" s="23"/>
      <c r="K142" s="24"/>
      <c r="L142" s="24"/>
      <c r="M142" s="24"/>
      <c r="N142" s="24"/>
      <c r="O142" s="25"/>
      <c r="P142" s="25"/>
      <c r="Q142" s="26"/>
      <c r="R142" s="26"/>
      <c r="S142" s="26"/>
      <c r="T142" s="26"/>
      <c r="U142" s="26"/>
      <c r="V142" s="26"/>
      <c r="W142" s="26"/>
      <c r="X142" s="29"/>
      <c r="Y142" s="22"/>
      <c r="Z142" s="140"/>
    </row>
    <row r="143" spans="1:33" s="32" customFormat="1" ht="12.75" customHeight="1">
      <c r="A143" s="21"/>
      <c r="B143" s="21"/>
      <c r="C143" s="21"/>
      <c r="D143" s="21"/>
      <c r="E143" s="21"/>
      <c r="F143" s="21"/>
      <c r="G143" s="21"/>
      <c r="H143" s="22"/>
      <c r="I143" s="23"/>
      <c r="J143" s="23"/>
      <c r="K143" s="24"/>
      <c r="L143" s="24"/>
      <c r="M143" s="24"/>
      <c r="N143" s="24"/>
      <c r="O143" s="25"/>
      <c r="P143" s="25"/>
      <c r="Q143" s="26"/>
      <c r="R143" s="26"/>
      <c r="S143" s="26"/>
      <c r="T143" s="26"/>
      <c r="U143" s="26"/>
      <c r="V143" s="26"/>
      <c r="W143" s="26"/>
      <c r="X143" s="29"/>
      <c r="Y143" s="22"/>
      <c r="Z143" s="140"/>
    </row>
    <row r="144" spans="1:33" s="32" customFormat="1" ht="12.75" customHeight="1">
      <c r="A144" s="21"/>
      <c r="B144" s="21"/>
      <c r="C144" s="21"/>
      <c r="D144" s="21"/>
      <c r="E144" s="21"/>
      <c r="F144" s="21"/>
      <c r="G144" s="21"/>
      <c r="H144" s="22"/>
      <c r="I144" s="23"/>
      <c r="J144" s="23"/>
      <c r="K144" s="24"/>
      <c r="L144" s="24"/>
      <c r="M144" s="24"/>
      <c r="N144" s="24"/>
      <c r="O144" s="25"/>
      <c r="P144" s="25"/>
      <c r="Q144" s="26"/>
      <c r="R144" s="26"/>
      <c r="S144" s="26"/>
      <c r="T144" s="26"/>
      <c r="U144" s="26"/>
      <c r="V144" s="26"/>
      <c r="W144" s="26"/>
      <c r="X144" s="29"/>
      <c r="Y144" s="22"/>
      <c r="Z144" s="140"/>
    </row>
  </sheetData>
  <mergeCells count="8">
    <mergeCell ref="X135:Y135"/>
    <mergeCell ref="B132:H132"/>
    <mergeCell ref="X132:Y132"/>
    <mergeCell ref="A1:Y1"/>
    <mergeCell ref="A2:Y2"/>
    <mergeCell ref="A3:Y3"/>
    <mergeCell ref="X133:Y133"/>
    <mergeCell ref="X134:Y134"/>
  </mergeCells>
  <phoneticPr fontId="3" type="noConversion"/>
  <conditionalFormatting sqref="F16:F17">
    <cfRule type="containsText" dxfId="35" priority="157" operator="containsText" text="18K">
      <formula>NOT(ISERROR(SEARCH("18K",F16)))</formula>
    </cfRule>
  </conditionalFormatting>
  <conditionalFormatting sqref="F21">
    <cfRule type="containsText" dxfId="34" priority="148" operator="containsText" text="18K">
      <formula>NOT(ISERROR(SEARCH("18K",F21)))</formula>
    </cfRule>
  </conditionalFormatting>
  <conditionalFormatting sqref="F22">
    <cfRule type="containsText" dxfId="33" priority="147" operator="containsText" text="18K">
      <formula>NOT(ISERROR(SEARCH("18K",F22)))</formula>
    </cfRule>
  </conditionalFormatting>
  <conditionalFormatting sqref="F26">
    <cfRule type="containsText" dxfId="32" priority="146" operator="containsText" text="18K">
      <formula>NOT(ISERROR(SEARCH("18K",F26)))</formula>
    </cfRule>
  </conditionalFormatting>
  <conditionalFormatting sqref="F27">
    <cfRule type="containsText" dxfId="31" priority="145" operator="containsText" text="18K">
      <formula>NOT(ISERROR(SEARCH("18K",F27)))</formula>
    </cfRule>
  </conditionalFormatting>
  <conditionalFormatting sqref="F31">
    <cfRule type="containsText" dxfId="30" priority="144" operator="containsText" text="18K">
      <formula>NOT(ISERROR(SEARCH("18K",F31)))</formula>
    </cfRule>
  </conditionalFormatting>
  <conditionalFormatting sqref="F32">
    <cfRule type="containsText" dxfId="29" priority="143" operator="containsText" text="18K">
      <formula>NOT(ISERROR(SEARCH("18K",F32)))</formula>
    </cfRule>
  </conditionalFormatting>
  <conditionalFormatting sqref="F33">
    <cfRule type="containsText" dxfId="28" priority="142" operator="containsText" text="18K">
      <formula>NOT(ISERROR(SEARCH("18K",F33)))</formula>
    </cfRule>
  </conditionalFormatting>
  <conditionalFormatting sqref="F34">
    <cfRule type="containsText" dxfId="27" priority="141" operator="containsText" text="18K">
      <formula>NOT(ISERROR(SEARCH("18K",F34)))</formula>
    </cfRule>
  </conditionalFormatting>
  <conditionalFormatting sqref="F39">
    <cfRule type="containsText" dxfId="26" priority="139" operator="containsText" text="18K">
      <formula>NOT(ISERROR(SEARCH("18K",F39)))</formula>
    </cfRule>
  </conditionalFormatting>
  <conditionalFormatting sqref="F38">
    <cfRule type="containsText" dxfId="25" priority="135" operator="containsText" text="18K">
      <formula>NOT(ISERROR(SEARCH("18K",F38)))</formula>
    </cfRule>
  </conditionalFormatting>
  <conditionalFormatting sqref="F40">
    <cfRule type="containsText" dxfId="24" priority="131" operator="containsText" text="18K">
      <formula>NOT(ISERROR(SEARCH("18K",F40)))</formula>
    </cfRule>
  </conditionalFormatting>
  <conditionalFormatting sqref="F44">
    <cfRule type="containsText" dxfId="23" priority="122" operator="containsText" text="18K">
      <formula>NOT(ISERROR(SEARCH("18K",F44)))</formula>
    </cfRule>
  </conditionalFormatting>
  <conditionalFormatting sqref="F45">
    <cfRule type="containsText" dxfId="22" priority="121" operator="containsText" text="18K">
      <formula>NOT(ISERROR(SEARCH("18K",F45)))</formula>
    </cfRule>
  </conditionalFormatting>
  <conditionalFormatting sqref="F46">
    <cfRule type="containsText" dxfId="21" priority="120" operator="containsText" text="18K">
      <formula>NOT(ISERROR(SEARCH("18K",F46)))</formula>
    </cfRule>
  </conditionalFormatting>
  <conditionalFormatting sqref="F47">
    <cfRule type="containsText" dxfId="20" priority="119" operator="containsText" text="18K">
      <formula>NOT(ISERROR(SEARCH("18K",F47)))</formula>
    </cfRule>
  </conditionalFormatting>
  <conditionalFormatting sqref="F51">
    <cfRule type="containsText" dxfId="19" priority="118" operator="containsText" text="18K">
      <formula>NOT(ISERROR(SEARCH("18K",F51)))</formula>
    </cfRule>
  </conditionalFormatting>
  <conditionalFormatting sqref="F52">
    <cfRule type="containsText" dxfId="18" priority="117" operator="containsText" text="18K">
      <formula>NOT(ISERROR(SEARCH("18K",F52)))</formula>
    </cfRule>
  </conditionalFormatting>
  <conditionalFormatting sqref="F56">
    <cfRule type="containsText" dxfId="17" priority="111" operator="containsText" text="18K">
      <formula>NOT(ISERROR(SEARCH("18K",F56)))</formula>
    </cfRule>
  </conditionalFormatting>
  <conditionalFormatting sqref="F60">
    <cfRule type="containsText" dxfId="16" priority="108" operator="containsText" text="18K">
      <formula>NOT(ISERROR(SEARCH("18K",F60)))</formula>
    </cfRule>
  </conditionalFormatting>
  <conditionalFormatting sqref="F61">
    <cfRule type="containsText" dxfId="15" priority="107" operator="containsText" text="18K">
      <formula>NOT(ISERROR(SEARCH("18K",F61)))</formula>
    </cfRule>
  </conditionalFormatting>
  <conditionalFormatting sqref="F65">
    <cfRule type="containsText" dxfId="14" priority="106" operator="containsText" text="18K">
      <formula>NOT(ISERROR(SEARCH("18K",F65)))</formula>
    </cfRule>
  </conditionalFormatting>
  <conditionalFormatting sqref="F66">
    <cfRule type="containsText" dxfId="13" priority="105" operator="containsText" text="18K">
      <formula>NOT(ISERROR(SEARCH("18K",F66)))</formula>
    </cfRule>
  </conditionalFormatting>
  <conditionalFormatting sqref="F67">
    <cfRule type="containsText" dxfId="12" priority="104" operator="containsText" text="18K">
      <formula>NOT(ISERROR(SEARCH("18K",F67)))</formula>
    </cfRule>
  </conditionalFormatting>
  <conditionalFormatting sqref="F71">
    <cfRule type="containsText" dxfId="11" priority="95" operator="containsText" text="18K">
      <formula>NOT(ISERROR(SEARCH("18K",F71)))</formula>
    </cfRule>
  </conditionalFormatting>
  <conditionalFormatting sqref="F75">
    <cfRule type="containsText" dxfId="10" priority="75" operator="containsText" text="18K">
      <formula>NOT(ISERROR(SEARCH("18K",F75)))</formula>
    </cfRule>
  </conditionalFormatting>
  <conditionalFormatting sqref="F79:F80">
    <cfRule type="containsText" dxfId="9" priority="55" operator="containsText" text="18K">
      <formula>NOT(ISERROR(SEARCH("18K",F79)))</formula>
    </cfRule>
  </conditionalFormatting>
  <conditionalFormatting sqref="F81:F82">
    <cfRule type="containsText" dxfId="8" priority="54" operator="containsText" text="18K">
      <formula>NOT(ISERROR(SEARCH("18K",F81)))</formula>
    </cfRule>
  </conditionalFormatting>
  <conditionalFormatting sqref="F86">
    <cfRule type="containsText" dxfId="7" priority="51" operator="containsText" text="18K">
      <formula>NOT(ISERROR(SEARCH("18K",F86)))</formula>
    </cfRule>
  </conditionalFormatting>
  <conditionalFormatting sqref="F87">
    <cfRule type="containsText" dxfId="6" priority="50" operator="containsText" text="18K">
      <formula>NOT(ISERROR(SEARCH("18K",F87)))</formula>
    </cfRule>
  </conditionalFormatting>
  <conditionalFormatting sqref="F91">
    <cfRule type="containsText" dxfId="5" priority="31" operator="containsText" text="18K">
      <formula>NOT(ISERROR(SEARCH("18K",F91)))</formula>
    </cfRule>
  </conditionalFormatting>
  <conditionalFormatting sqref="F92">
    <cfRule type="containsText" dxfId="4" priority="30" operator="containsText" text="18K">
      <formula>NOT(ISERROR(SEARCH("18K",F92)))</formula>
    </cfRule>
  </conditionalFormatting>
  <conditionalFormatting sqref="F96">
    <cfRule type="containsText" dxfId="3" priority="8" operator="containsText" text="18K">
      <formula>NOT(ISERROR(SEARCH("18K",F96)))</formula>
    </cfRule>
  </conditionalFormatting>
  <conditionalFormatting sqref="F100">
    <cfRule type="containsText" dxfId="2" priority="7" operator="containsText" text="18K">
      <formula>NOT(ISERROR(SEARCH("18K",F100)))</formula>
    </cfRule>
  </conditionalFormatting>
  <conditionalFormatting sqref="F123:F124">
    <cfRule type="containsText" dxfId="1" priority="3" operator="containsText" text="18K">
      <formula>NOT(ISERROR(SEARCH("18K",F123)))</formula>
    </cfRule>
  </conditionalFormatting>
  <conditionalFormatting sqref="F128">
    <cfRule type="containsText" dxfId="0" priority="2" operator="containsText" text="18K">
      <formula>NOT(ISERROR(SEARCH("18K",F128)))</formula>
    </cfRule>
  </conditionalFormatting>
  <pageMargins left="0" right="0" top="0.19685039370078741" bottom="0" header="0.31496062992125984" footer="0.31496062992125984"/>
  <pageSetup paperSize="9" scale="4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B11E-43B9-461E-AE07-6FD595E39AB2}">
  <dimension ref="A1:C25"/>
  <sheetViews>
    <sheetView workbookViewId="0">
      <selection activeCell="C1" sqref="C1:C23"/>
    </sheetView>
  </sheetViews>
  <sheetFormatPr defaultRowHeight="14.5"/>
  <sheetData>
    <row r="1" spans="1:3">
      <c r="A1">
        <v>5.5</v>
      </c>
      <c r="C1">
        <v>5.5</v>
      </c>
    </row>
    <row r="2" spans="1:3">
      <c r="A2">
        <v>5.5</v>
      </c>
      <c r="C2">
        <v>5.5</v>
      </c>
    </row>
    <row r="3" spans="1:3">
      <c r="A3">
        <v>5.5</v>
      </c>
      <c r="C3">
        <v>5.5</v>
      </c>
    </row>
    <row r="4" spans="1:3">
      <c r="A4">
        <v>5.5</v>
      </c>
      <c r="C4">
        <v>5.5</v>
      </c>
    </row>
    <row r="5" spans="1:3">
      <c r="A5">
        <v>5.5</v>
      </c>
      <c r="C5">
        <v>5.5</v>
      </c>
    </row>
    <row r="6" spans="1:3">
      <c r="A6">
        <v>8</v>
      </c>
      <c r="C6">
        <v>5.5</v>
      </c>
    </row>
    <row r="7" spans="1:3">
      <c r="A7">
        <v>8</v>
      </c>
      <c r="C7">
        <v>5.5</v>
      </c>
    </row>
    <row r="8" spans="1:3">
      <c r="A8">
        <v>7</v>
      </c>
      <c r="C8">
        <v>5.5</v>
      </c>
    </row>
    <row r="9" spans="1:3">
      <c r="A9">
        <v>7</v>
      </c>
      <c r="C9">
        <v>5.5</v>
      </c>
    </row>
    <row r="10" spans="1:3">
      <c r="A10">
        <v>7</v>
      </c>
      <c r="C10">
        <v>5.5</v>
      </c>
    </row>
    <row r="11" spans="1:3">
      <c r="A11">
        <v>7</v>
      </c>
      <c r="C11">
        <v>5.5</v>
      </c>
    </row>
    <row r="12" spans="1:3">
      <c r="A12">
        <v>6.5</v>
      </c>
      <c r="C12">
        <v>5.5</v>
      </c>
    </row>
    <row r="13" spans="1:3">
      <c r="A13">
        <v>6.5</v>
      </c>
      <c r="C13">
        <v>5.5</v>
      </c>
    </row>
    <row r="14" spans="1:3">
      <c r="A14">
        <v>6.5</v>
      </c>
      <c r="C14">
        <v>5.5</v>
      </c>
    </row>
    <row r="15" spans="1:3">
      <c r="A15">
        <v>6.5</v>
      </c>
      <c r="C15">
        <v>5.5</v>
      </c>
    </row>
    <row r="16" spans="1:3">
      <c r="A16">
        <v>6.5</v>
      </c>
      <c r="C16">
        <v>8</v>
      </c>
    </row>
    <row r="17" spans="1:3">
      <c r="A17">
        <v>6.5</v>
      </c>
      <c r="C17">
        <v>8</v>
      </c>
    </row>
    <row r="18" spans="1:3">
      <c r="A18">
        <v>6.5</v>
      </c>
      <c r="C18">
        <v>7</v>
      </c>
    </row>
    <row r="19" spans="1:3">
      <c r="A19">
        <v>6.5</v>
      </c>
      <c r="C19">
        <v>7</v>
      </c>
    </row>
    <row r="20" spans="1:3">
      <c r="A20">
        <v>7.5</v>
      </c>
      <c r="C20">
        <v>7</v>
      </c>
    </row>
    <row r="21" spans="1:3">
      <c r="A21">
        <v>7.5</v>
      </c>
      <c r="C21">
        <v>7</v>
      </c>
    </row>
    <row r="22" spans="1:3">
      <c r="A22">
        <v>7.5</v>
      </c>
      <c r="C22">
        <v>6.5</v>
      </c>
    </row>
    <row r="23" spans="1:3">
      <c r="A23">
        <v>7.5</v>
      </c>
      <c r="C23">
        <v>6.5</v>
      </c>
    </row>
    <row r="24" spans="1:3">
      <c r="A24">
        <v>7.5</v>
      </c>
    </row>
    <row r="25" spans="1:3">
      <c r="A25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</vt:lpstr>
      <vt:lpstr>Sheet1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2025-05-08T13:09:15Z</dcterms:modified>
</cp:coreProperties>
</file>