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1.69\Sharing EPO Team\GOLD EXPORT\250510\CLEARANCE\"/>
    </mc:Choice>
  </mc:AlternateContent>
  <xr:revisionPtr revIDLastSave="0" documentId="13_ncr:1_{B9FD27C8-7D8A-4073-A22E-624A48FF9460}" xr6:coauthVersionLast="45" xr6:coauthVersionMax="47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PI!$A$1:$Y$63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2" i="1" l="1"/>
  <c r="X52" i="1" l="1"/>
  <c r="W52" i="1"/>
  <c r="V52" i="1"/>
  <c r="U52" i="1"/>
  <c r="T52" i="1"/>
  <c r="S52" i="1"/>
  <c r="R52" i="1"/>
  <c r="P52" i="1"/>
  <c r="G52" i="1"/>
  <c r="K51" i="1"/>
  <c r="K50" i="1"/>
  <c r="K49" i="1"/>
  <c r="K52" i="1" l="1"/>
  <c r="Z49" i="1"/>
  <c r="Y49" i="1"/>
  <c r="Q49" i="1"/>
  <c r="Z50" i="1"/>
  <c r="Y50" i="1"/>
  <c r="AE50" i="1" s="1"/>
  <c r="AA50" i="1" s="1"/>
  <c r="Q50" i="1"/>
  <c r="AB50" i="1" s="1"/>
  <c r="Z51" i="1"/>
  <c r="Y51" i="1"/>
  <c r="AE51" i="1" s="1"/>
  <c r="AA51" i="1" s="1"/>
  <c r="Q51" i="1"/>
  <c r="AB51" i="1" s="1"/>
  <c r="AC51" i="1" l="1"/>
  <c r="Q52" i="1"/>
  <c r="AB49" i="1"/>
  <c r="AC50" i="1"/>
  <c r="Y52" i="1"/>
  <c r="AE49" i="1"/>
  <c r="AA49" i="1" l="1"/>
  <c r="AC49" i="1" l="1"/>
  <c r="W46" i="1" l="1"/>
  <c r="S46" i="1"/>
  <c r="R46" i="1"/>
  <c r="P46" i="1"/>
  <c r="G46" i="1"/>
  <c r="X45" i="1"/>
  <c r="V45" i="1"/>
  <c r="U45" i="1"/>
  <c r="T45" i="1"/>
  <c r="K45" i="1"/>
  <c r="X44" i="1"/>
  <c r="U44" i="1"/>
  <c r="T44" i="1"/>
  <c r="K44" i="1"/>
  <c r="X43" i="1"/>
  <c r="V43" i="1"/>
  <c r="U43" i="1"/>
  <c r="T43" i="1"/>
  <c r="K43" i="1"/>
  <c r="X42" i="1"/>
  <c r="U42" i="1"/>
  <c r="T42" i="1"/>
  <c r="K42" i="1"/>
  <c r="X41" i="1"/>
  <c r="V41" i="1"/>
  <c r="U41" i="1"/>
  <c r="T41" i="1"/>
  <c r="K41" i="1"/>
  <c r="T46" i="1" l="1"/>
  <c r="U46" i="1"/>
  <c r="X46" i="1"/>
  <c r="Z42" i="1"/>
  <c r="Y42" i="1"/>
  <c r="AE42" i="1" s="1"/>
  <c r="V42" i="1"/>
  <c r="Q42" i="1"/>
  <c r="AB42" i="1" s="1"/>
  <c r="Z45" i="1"/>
  <c r="Q45" i="1"/>
  <c r="AB45" i="1" s="1"/>
  <c r="Y45" i="1"/>
  <c r="AE45" i="1" s="1"/>
  <c r="AA45" i="1" s="1"/>
  <c r="Z43" i="1"/>
  <c r="Y43" i="1"/>
  <c r="AE43" i="1" s="1"/>
  <c r="Q43" i="1"/>
  <c r="AB43" i="1" s="1"/>
  <c r="K46" i="1"/>
  <c r="Z41" i="1"/>
  <c r="Q41" i="1"/>
  <c r="Y41" i="1"/>
  <c r="Y44" i="1"/>
  <c r="AE44" i="1" s="1"/>
  <c r="V44" i="1"/>
  <c r="Q44" i="1"/>
  <c r="AB44" i="1" s="1"/>
  <c r="Z44" i="1"/>
  <c r="AC45" i="1" l="1"/>
  <c r="AA43" i="1"/>
  <c r="AC43" i="1" s="1"/>
  <c r="Q46" i="1"/>
  <c r="AB41" i="1"/>
  <c r="AA44" i="1"/>
  <c r="AC44" i="1" s="1"/>
  <c r="V46" i="1"/>
  <c r="Y46" i="1"/>
  <c r="AE41" i="1"/>
  <c r="AA42" i="1"/>
  <c r="AC42" i="1" s="1"/>
  <c r="AA41" i="1" l="1"/>
  <c r="AC41" i="1" l="1"/>
  <c r="X38" i="1" l="1"/>
  <c r="W38" i="1"/>
  <c r="V38" i="1"/>
  <c r="T38" i="1"/>
  <c r="S38" i="1"/>
  <c r="R38" i="1"/>
  <c r="P38" i="1"/>
  <c r="G38" i="1"/>
  <c r="U37" i="1"/>
  <c r="K37" i="1"/>
  <c r="U38" i="1" l="1"/>
  <c r="Z37" i="1"/>
  <c r="Y37" i="1"/>
  <c r="AE37" i="1" s="1"/>
  <c r="Q37" i="1"/>
  <c r="AB37" i="1" s="1"/>
  <c r="K38" i="1"/>
  <c r="AA37" i="1" l="1"/>
  <c r="AC37" i="1" s="1"/>
  <c r="Q38" i="1"/>
  <c r="Y38" i="1"/>
  <c r="W34" i="1" l="1"/>
  <c r="S34" i="1"/>
  <c r="R34" i="1"/>
  <c r="P34" i="1"/>
  <c r="G34" i="1"/>
  <c r="X33" i="1"/>
  <c r="X34" i="1" s="1"/>
  <c r="V33" i="1"/>
  <c r="V34" i="1" s="1"/>
  <c r="U33" i="1"/>
  <c r="U34" i="1" s="1"/>
  <c r="T33" i="1"/>
  <c r="T34" i="1" s="1"/>
  <c r="K33" i="1"/>
  <c r="AE33" i="1" l="1"/>
  <c r="Z33" i="1"/>
  <c r="Y33" i="1"/>
  <c r="Y34" i="1" s="1"/>
  <c r="K34" i="1"/>
  <c r="Q33" i="1"/>
  <c r="AB33" i="1" l="1"/>
  <c r="Q34" i="1"/>
  <c r="AA33" i="1"/>
  <c r="AC33" i="1" l="1"/>
  <c r="W30" i="1" l="1"/>
  <c r="S30" i="1"/>
  <c r="R30" i="1"/>
  <c r="P30" i="1"/>
  <c r="G30" i="1"/>
  <c r="X29" i="1"/>
  <c r="V29" i="1"/>
  <c r="U29" i="1"/>
  <c r="T29" i="1"/>
  <c r="K29" i="1"/>
  <c r="X28" i="1"/>
  <c r="X30" i="1" s="1"/>
  <c r="V28" i="1"/>
  <c r="U28" i="1"/>
  <c r="T28" i="1"/>
  <c r="K28" i="1"/>
  <c r="U30" i="1" l="1"/>
  <c r="T30" i="1"/>
  <c r="V30" i="1"/>
  <c r="Q29" i="1"/>
  <c r="AB29" i="1" s="1"/>
  <c r="Z29" i="1"/>
  <c r="Y29" i="1"/>
  <c r="AE29" i="1"/>
  <c r="Q28" i="1"/>
  <c r="Z28" i="1"/>
  <c r="K30" i="1"/>
  <c r="AE28" i="1"/>
  <c r="Y28" i="1"/>
  <c r="Y30" i="1" l="1"/>
  <c r="AA29" i="1"/>
  <c r="AB28" i="1"/>
  <c r="Q30" i="1"/>
  <c r="AC29" i="1"/>
  <c r="AA28" i="1"/>
  <c r="AC28" i="1" l="1"/>
  <c r="W25" i="1" l="1"/>
  <c r="S25" i="1"/>
  <c r="R25" i="1"/>
  <c r="P25" i="1"/>
  <c r="G25" i="1"/>
  <c r="X24" i="1"/>
  <c r="V24" i="1"/>
  <c r="U24" i="1"/>
  <c r="T24" i="1"/>
  <c r="K24" i="1"/>
  <c r="X23" i="1"/>
  <c r="V23" i="1"/>
  <c r="U23" i="1"/>
  <c r="T23" i="1"/>
  <c r="K23" i="1"/>
  <c r="X22" i="1"/>
  <c r="V22" i="1"/>
  <c r="U22" i="1"/>
  <c r="T22" i="1"/>
  <c r="K22" i="1"/>
  <c r="X21" i="1"/>
  <c r="V21" i="1"/>
  <c r="U21" i="1"/>
  <c r="T21" i="1"/>
  <c r="T25" i="1" s="1"/>
  <c r="K21" i="1"/>
  <c r="U25" i="1" l="1"/>
  <c r="V25" i="1"/>
  <c r="X25" i="1"/>
  <c r="Z24" i="1"/>
  <c r="Q24" i="1"/>
  <c r="AB24" i="1" s="1"/>
  <c r="Y24" i="1"/>
  <c r="AE24" i="1" s="1"/>
  <c r="Q22" i="1"/>
  <c r="AB22" i="1" s="1"/>
  <c r="Z22" i="1"/>
  <c r="Y22" i="1"/>
  <c r="AE22" i="1" s="1"/>
  <c r="AA22" i="1" s="1"/>
  <c r="Q23" i="1"/>
  <c r="AB23" i="1" s="1"/>
  <c r="Z23" i="1"/>
  <c r="Y23" i="1"/>
  <c r="AE23" i="1" s="1"/>
  <c r="AA23" i="1" s="1"/>
  <c r="AC23" i="1" s="1"/>
  <c r="Y21" i="1"/>
  <c r="K25" i="1"/>
  <c r="Q21" i="1"/>
  <c r="Z21" i="1"/>
  <c r="AC22" i="1" l="1"/>
  <c r="Q25" i="1"/>
  <c r="AB21" i="1"/>
  <c r="AE21" i="1"/>
  <c r="Y25" i="1"/>
  <c r="AA24" i="1"/>
  <c r="AC24" i="1" s="1"/>
  <c r="AA21" i="1" l="1"/>
  <c r="AC21" i="1" l="1"/>
  <c r="X17" i="1" l="1"/>
  <c r="X16" i="1"/>
  <c r="T17" i="1"/>
  <c r="T16" i="1"/>
  <c r="U17" i="1"/>
  <c r="U16" i="1"/>
  <c r="T18" i="1" l="1"/>
  <c r="T53" i="1" s="1"/>
  <c r="K17" i="1"/>
  <c r="K16" i="1"/>
  <c r="AE16" i="1" s="1"/>
  <c r="P18" i="1"/>
  <c r="P53" i="1" s="1"/>
  <c r="Q17" i="1" l="1"/>
  <c r="AB17" i="1" s="1"/>
  <c r="AE17" i="1"/>
  <c r="AE52" i="1" s="1"/>
  <c r="Q16" i="1"/>
  <c r="AB16" i="1" s="1"/>
  <c r="AB52" i="1" s="1"/>
  <c r="V17" i="1"/>
  <c r="V16" i="1"/>
  <c r="Q18" i="1" l="1"/>
  <c r="Q53" i="1" s="1"/>
  <c r="Z17" i="1"/>
  <c r="AA17" i="1" s="1"/>
  <c r="Z16" i="1"/>
  <c r="AA16" i="1" s="1"/>
  <c r="Y16" i="1"/>
  <c r="Y17" i="1"/>
  <c r="AC17" i="1" l="1"/>
  <c r="AC16" i="1"/>
  <c r="AC52" i="1" s="1"/>
  <c r="W18" i="1" l="1"/>
  <c r="W53" i="1" s="1"/>
  <c r="S18" i="1"/>
  <c r="S53" i="1" s="1"/>
  <c r="R18" i="1"/>
  <c r="R53" i="1" s="1"/>
  <c r="G18" i="1"/>
  <c r="G53" i="1" s="1"/>
  <c r="K18" i="1" l="1"/>
  <c r="K53" i="1" s="1"/>
  <c r="U18" i="1"/>
  <c r="U53" i="1" s="1"/>
  <c r="X18" i="1"/>
  <c r="X53" i="1" s="1"/>
  <c r="V18" i="1" l="1"/>
  <c r="V53" i="1" s="1"/>
  <c r="Y18" i="1"/>
  <c r="Y53" i="1" s="1"/>
  <c r="Y55" i="1" l="1"/>
  <c r="Y57" i="1" s="1"/>
</calcChain>
</file>

<file path=xl/sharedStrings.xml><?xml version="1.0" encoding="utf-8"?>
<sst xmlns="http://schemas.openxmlformats.org/spreadsheetml/2006/main" count="322" uniqueCount="108">
  <si>
    <t>Seller:</t>
  </si>
  <si>
    <t>Consignee:</t>
  </si>
  <si>
    <t xml:space="preserve">A/C No. : </t>
  </si>
  <si>
    <t xml:space="preserve">C/T No. : </t>
  </si>
  <si>
    <t>PO#</t>
    <phoneticPr fontId="11" type="noConversion"/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</si>
  <si>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</si>
  <si>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</si>
  <si>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</si>
  <si>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</si>
  <si>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</si>
  <si>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</si>
  <si>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19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</si>
  <si>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</si>
  <si>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</si>
  <si>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</si>
  <si>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</si>
  <si>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</si>
  <si>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</si>
  <si>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</si>
  <si>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</si>
  <si>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</si>
  <si>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</si>
  <si>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</si>
  <si>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</si>
  <si>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</si>
  <si>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</si>
  <si>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</si>
  <si>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</si>
  <si>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</si>
  <si>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</si>
  <si>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</si>
  <si>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</si>
  <si>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</si>
  <si>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</si>
  <si>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</si>
  <si>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</si>
  <si>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</si>
  <si>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</si>
  <si>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</si>
  <si>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</si>
  <si>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</si>
  <si>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</si>
  <si>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</si>
  <si>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</si>
  <si>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</si>
  <si>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</si>
  <si>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</si>
  <si>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</si>
  <si>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</si>
  <si>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</si>
  <si>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</si>
  <si>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</si>
  <si>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</si>
  <si>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</si>
  <si>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TOTAL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</si>
  <si>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</si>
  <si>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</si>
  <si>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</si>
  <si>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</si>
  <si>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</si>
  <si>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</si>
  <si>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</si>
  <si>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Gold W't &amp; Loss</t>
  </si>
  <si>
    <t>*) 24K current gold balance PO#</t>
  </si>
  <si>
    <t>*) 24K gold previous balance PO#</t>
  </si>
  <si>
    <t>*) Total 24K previous balance =</t>
  </si>
  <si>
    <t>*) Total 24K current gold balance =</t>
  </si>
  <si>
    <t>old labor</t>
  </si>
  <si>
    <t>labor amount</t>
  </si>
  <si>
    <t>Dia Handling Service Fee</t>
  </si>
  <si>
    <t>Forever Flawless</t>
  </si>
  <si>
    <t>FF250213RCB-14K</t>
  </si>
  <si>
    <t>PI FF250213RCB-14K</t>
  </si>
  <si>
    <t>K02305B01 6.5"</t>
  </si>
  <si>
    <t>14K YG</t>
  </si>
  <si>
    <t>2.10mm
OV 6.0*4.0</t>
  </si>
  <si>
    <t>W
Ruby</t>
  </si>
  <si>
    <t>W
Pink Sapphire</t>
  </si>
  <si>
    <t>61pcs
5pcs</t>
  </si>
  <si>
    <t>12th Feb London AM + 1%</t>
  </si>
  <si>
    <t>Buyer Dia</t>
  </si>
  <si>
    <t>SUBTOTAL</t>
  </si>
  <si>
    <t>25th Feb London AM + 1%</t>
  </si>
  <si>
    <t>FF250226RCB-14K</t>
  </si>
  <si>
    <t>W
Blue Sapphire</t>
  </si>
  <si>
    <t>W
Emerald</t>
  </si>
  <si>
    <t xml:space="preserve"> London AM + 1%</t>
  </si>
  <si>
    <t>FF250317RCB-14K</t>
  </si>
  <si>
    <t>FF250317RCB-14K-1</t>
  </si>
  <si>
    <t>K02305B01 7"</t>
  </si>
  <si>
    <t>66pcs
5pcs</t>
  </si>
  <si>
    <t>Mounting</t>
  </si>
  <si>
    <t>FF250404RM-14K</t>
  </si>
  <si>
    <t>2.00mm
2.30mm
2.60mm
2.90mm
3.20mm
3.50mm
4.00mm
4.50mm</t>
  </si>
  <si>
    <t>W
W
W
W
W
W
W
W</t>
  </si>
  <si>
    <t>8pcs
2pcs
2pcs
2pcs
2pcs
2pcs
2pcs
1pcs</t>
  </si>
  <si>
    <t>K0039B11 OV 7.5"</t>
  </si>
  <si>
    <t>K0184TN56 8"</t>
  </si>
  <si>
    <t>14K WG</t>
  </si>
  <si>
    <t>W</t>
  </si>
  <si>
    <t>FF250408RB-14K</t>
  </si>
  <si>
    <t>K0060B58 6.75"</t>
  </si>
  <si>
    <t>K0038B510 OV H 6.75"</t>
  </si>
  <si>
    <t>K0038B516 OV H 6.75"</t>
  </si>
  <si>
    <t>FF250430RM-18K</t>
  </si>
  <si>
    <t>18K YG</t>
  </si>
  <si>
    <t>K0184TN57 8"</t>
  </si>
  <si>
    <t>K0184TN58 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</si>
</sst>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0.00"/>
    <numFmt numFmtId="170" formatCode="\$#,##0.00"/>
    <numFmt numFmtId="171" formatCode="#,#00.00\ &quot;gr&quot;"/>
    <numFmt numFmtId="172" formatCode="0.00&quot;mm&quot;"/>
    <numFmt numFmtId="173" formatCode="#,##0.00\ &quot;g&quot;"/>
    <numFmt numFmtId="174" formatCode="\$0.00&quot;/g&quot;"/>
    <numFmt numFmtId="175" formatCode="#,##0.000\ &quot;ct&quot;"/>
  </numFmts>
  <fonts count="35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1" fillId="0" borderId="0" applyFont="0" applyFill="0" applyBorder="0" applyAlignment="0" applyProtection="0"/>
  </cellStyleXfs>
  <cellXfs count="143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Alignment="1">
      <alignment horizontal="right" vertical="center"/>
    </xf>
    <xf numFmtId="169" fontId="13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0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4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5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4" fillId="3" borderId="12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vertical="center"/>
    </xf>
    <xf numFmtId="0" fontId="14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3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8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0" fontId="13" fillId="0" borderId="18" xfId="0" applyNumberFormat="1" applyFont="1" applyBorder="1" applyAlignment="1">
      <alignment horizontal="center" vertical="center"/>
    </xf>
    <xf numFmtId="170" fontId="16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6" fillId="0" borderId="20" xfId="0" applyNumberFormat="1" applyFont="1" applyBorder="1" applyAlignment="1">
      <alignment horizontal="center" vertical="center"/>
    </xf>
    <xf numFmtId="171" fontId="13" fillId="0" borderId="20" xfId="0" applyNumberFormat="1" applyFont="1" applyBorder="1" applyAlignment="1">
      <alignment horizontal="center" vertical="center"/>
    </xf>
    <xf numFmtId="167" fontId="16" fillId="0" borderId="20" xfId="0" applyNumberFormat="1" applyFont="1" applyBorder="1" applyAlignment="1">
      <alignment horizontal="center" vertical="center"/>
    </xf>
    <xf numFmtId="170" fontId="16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0" fontId="16" fillId="0" borderId="18" xfId="0" applyNumberFormat="1" applyFont="1" applyBorder="1" applyAlignment="1">
      <alignment horizontal="right" vertical="center"/>
    </xf>
    <xf numFmtId="167" fontId="26" fillId="0" borderId="0" xfId="0" applyNumberFormat="1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27" fillId="0" borderId="0" xfId="0" applyFont="1"/>
    <xf numFmtId="0" fontId="28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7" fontId="15" fillId="0" borderId="0" xfId="0" applyNumberFormat="1" applyFont="1" applyAlignment="1">
      <alignment horizontal="right" vertical="center"/>
    </xf>
    <xf numFmtId="0" fontId="29" fillId="0" borderId="6" xfId="1" applyFont="1" applyBorder="1" applyAlignment="1">
      <alignment vertical="center"/>
    </xf>
    <xf numFmtId="0" fontId="29" fillId="0" borderId="0" xfId="1" applyFont="1" applyAlignment="1">
      <alignment vertical="center"/>
    </xf>
    <xf numFmtId="0" fontId="16" fillId="0" borderId="19" xfId="0" applyFont="1" applyBorder="1" applyAlignment="1">
      <alignment horizontal="left" vertical="center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2" fontId="14" fillId="4" borderId="12" xfId="0" applyNumberFormat="1" applyFont="1" applyFill="1" applyBorder="1" applyAlignment="1">
      <alignment horizontal="center" vertical="center" wrapText="1"/>
    </xf>
    <xf numFmtId="166" fontId="14" fillId="4" borderId="12" xfId="0" applyNumberFormat="1" applyFont="1" applyFill="1" applyBorder="1" applyAlignment="1">
      <alignment horizontal="center" vertical="center" wrapText="1"/>
    </xf>
    <xf numFmtId="167" fontId="14" fillId="4" borderId="12" xfId="0" applyNumberFormat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2" fillId="0" borderId="13" xfId="0" applyNumberFormat="1" applyFont="1" applyBorder="1" applyAlignment="1">
      <alignment horizontal="center" vertical="center" shrinkToFit="1"/>
    </xf>
    <xf numFmtId="0" fontId="12" fillId="0" borderId="13" xfId="0" quotePrefix="1" applyFont="1" applyBorder="1" applyAlignment="1">
      <alignment horizontal="center" vertical="center" wrapText="1"/>
    </xf>
    <xf numFmtId="172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67" fontId="30" fillId="0" borderId="0" xfId="0" applyNumberFormat="1" applyFont="1" applyAlignment="1">
      <alignment vertical="center"/>
    </xf>
    <xf numFmtId="4" fontId="15" fillId="2" borderId="0" xfId="0" applyNumberFormat="1" applyFont="1" applyFill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3" fontId="12" fillId="5" borderId="13" xfId="0" applyNumberFormat="1" applyFont="1" applyFill="1" applyBorder="1" applyAlignment="1">
      <alignment horizontal="center" vertical="center" wrapText="1"/>
    </xf>
    <xf numFmtId="173" fontId="13" fillId="5" borderId="13" xfId="0" applyNumberFormat="1" applyFont="1" applyFill="1" applyBorder="1" applyAlignment="1">
      <alignment horizontal="center" vertical="center"/>
    </xf>
    <xf numFmtId="173" fontId="13" fillId="5" borderId="20" xfId="0" applyNumberFormat="1" applyFont="1" applyFill="1" applyBorder="1" applyAlignment="1">
      <alignment horizontal="center" vertical="center"/>
    </xf>
    <xf numFmtId="174" fontId="12" fillId="0" borderId="13" xfId="0" applyNumberFormat="1" applyFont="1" applyBorder="1" applyAlignment="1">
      <alignment horizontal="center" vertical="center"/>
    </xf>
    <xf numFmtId="167" fontId="14" fillId="6" borderId="12" xfId="0" applyNumberFormat="1" applyFont="1" applyFill="1" applyBorder="1" applyAlignment="1">
      <alignment horizontal="center" vertical="center" wrapText="1"/>
    </xf>
    <xf numFmtId="173" fontId="12" fillId="0" borderId="13" xfId="0" applyNumberFormat="1" applyFont="1" applyBorder="1" applyAlignment="1">
      <alignment horizontal="center" vertical="center"/>
    </xf>
    <xf numFmtId="173" fontId="16" fillId="0" borderId="20" xfId="0" applyNumberFormat="1" applyFont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75" fontId="16" fillId="0" borderId="20" xfId="0" applyNumberFormat="1" applyFont="1" applyBorder="1" applyAlignment="1">
      <alignment horizontal="center" vertical="center"/>
    </xf>
    <xf numFmtId="167" fontId="32" fillId="0" borderId="0" xfId="0" applyNumberFormat="1" applyFont="1" applyAlignment="1">
      <alignment horizontal="right" vertical="center"/>
    </xf>
    <xf numFmtId="0" fontId="33" fillId="0" borderId="0" xfId="2" applyFont="1" applyAlignment="1">
      <alignment vertical="center"/>
    </xf>
    <xf numFmtId="170" fontId="32" fillId="0" borderId="0" xfId="0" applyNumberFormat="1" applyFont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9" fontId="12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70" fontId="32" fillId="0" borderId="0" xfId="0" applyNumberFormat="1" applyFont="1" applyAlignment="1">
      <alignment horizontal="center" vertical="center"/>
    </xf>
    <xf numFmtId="170" fontId="26" fillId="0" borderId="21" xfId="0" applyNumberFormat="1" applyFont="1" applyBorder="1" applyAlignment="1">
      <alignment horizontal="center" vertical="center"/>
    </xf>
    <xf numFmtId="170" fontId="26" fillId="0" borderId="0" xfId="0" applyNumberFormat="1" applyFont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173" fontId="13" fillId="5" borderId="0" xfId="0" applyNumberFormat="1" applyFont="1" applyFill="1" applyBorder="1" applyAlignment="1">
      <alignment horizontal="center" vertical="center"/>
    </xf>
    <xf numFmtId="171" fontId="13" fillId="0" borderId="0" xfId="0" applyNumberFormat="1" applyFont="1" applyBorder="1" applyAlignment="1">
      <alignment horizontal="center" vertical="center"/>
    </xf>
    <xf numFmtId="167" fontId="16" fillId="0" borderId="0" xfId="0" applyNumberFormat="1" applyFont="1" applyBorder="1" applyAlignment="1">
      <alignment horizontal="center" vertical="center"/>
    </xf>
    <xf numFmtId="175" fontId="16" fillId="0" borderId="0" xfId="0" applyNumberFormat="1" applyFont="1" applyBorder="1" applyAlignment="1">
      <alignment horizontal="center" vertical="center"/>
    </xf>
    <xf numFmtId="173" fontId="16" fillId="0" borderId="0" xfId="0" applyNumberFormat="1" applyFont="1" applyBorder="1" applyAlignment="1">
      <alignment horizontal="center" vertical="center"/>
    </xf>
    <xf numFmtId="170" fontId="16" fillId="0" borderId="0" xfId="0" applyNumberFormat="1" applyFont="1" applyBorder="1" applyAlignment="1">
      <alignment horizontal="center" vertical="center"/>
    </xf>
    <xf numFmtId="1" fontId="22" fillId="0" borderId="13" xfId="0" applyNumberFormat="1" applyFont="1" applyFill="1" applyBorder="1" applyAlignment="1">
      <alignment horizontal="center" vertical="center" shrinkToFit="1"/>
    </xf>
    <xf numFmtId="173" fontId="12" fillId="0" borderId="13" xfId="0" applyNumberFormat="1" applyFont="1" applyFill="1" applyBorder="1" applyAlignment="1">
      <alignment horizontal="center" vertical="center" wrapText="1"/>
    </xf>
    <xf numFmtId="173" fontId="13" fillId="0" borderId="13" xfId="0" applyNumberFormat="1" applyFont="1" applyFill="1" applyBorder="1" applyAlignment="1">
      <alignment horizontal="center" vertical="center"/>
    </xf>
    <xf numFmtId="1" fontId="16" fillId="0" borderId="20" xfId="0" applyNumberFormat="1" applyFont="1" applyFill="1" applyBorder="1" applyAlignment="1">
      <alignment horizontal="center" vertical="center"/>
    </xf>
    <xf numFmtId="173" fontId="13" fillId="0" borderId="20" xfId="0" applyNumberFormat="1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67"/>
  <sheetViews>
    <sheetView showGridLines="0" tabSelected="1" view="pageBreakPreview" topLeftCell="O48" zoomScaleSheetLayoutView="100" workbookViewId="0">
      <selection activeCell="AE52" sqref="AE52"/>
    </sheetView>
  </sheetViews>
  <sheetFormatPr defaultColWidth="8.6328125" defaultRowHeight="14"/>
  <cols>
    <col min="1" max="1" width="19.08984375" style="21" customWidth="1"/>
    <col min="2" max="2" width="12.453125" style="21" customWidth="1"/>
    <col min="3" max="3" width="10.36328125" style="21" customWidth="1"/>
    <col min="4" max="4" width="17.453125" style="21" customWidth="1"/>
    <col min="5" max="5" width="12" style="21" customWidth="1"/>
    <col min="6" max="6" width="10" style="21" customWidth="1"/>
    <col min="7" max="7" width="6.90625" style="21" customWidth="1"/>
    <col min="8" max="8" width="8.54296875" style="22" customWidth="1"/>
    <col min="9" max="10" width="8.54296875" style="23" customWidth="1"/>
    <col min="11" max="11" width="8.54296875" style="24" customWidth="1"/>
    <col min="12" max="12" width="11.90625" style="24" customWidth="1"/>
    <col min="13" max="14" width="8.54296875" style="24" customWidth="1"/>
    <col min="15" max="17" width="9.08984375" style="25" customWidth="1"/>
    <col min="18" max="20" width="12.453125" style="26" customWidth="1"/>
    <col min="21" max="22" width="8.453125" style="26" customWidth="1"/>
    <col min="23" max="23" width="9.08984375" style="26" customWidth="1"/>
    <col min="24" max="24" width="10" style="26" customWidth="1"/>
    <col min="25" max="25" width="13.453125" style="29" customWidth="1"/>
    <col min="26" max="27" width="11.36328125" style="22" customWidth="1"/>
    <col min="28" max="28" width="9.90625" style="22" customWidth="1"/>
    <col min="29" max="29" width="10.08984375" style="22" customWidth="1"/>
    <col min="30" max="30" width="8.90625" style="22" bestFit="1" customWidth="1"/>
    <col min="31" max="16384" width="8.6328125" style="22"/>
  </cols>
  <sheetData>
    <row r="1" spans="1:31" s="1" customFormat="1" ht="31.5" customHeight="1">
      <c r="A1" s="137" t="s">
        <v>38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</row>
    <row r="2" spans="1:31" s="2" customFormat="1" ht="15.5">
      <c r="A2" s="139" t="s">
        <v>42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</row>
    <row r="3" spans="1:31" s="3" customFormat="1" ht="20">
      <c r="A3" s="141" t="s">
        <v>44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</row>
    <row r="4" spans="1:31" s="7" customFormat="1" ht="12" customHeight="1">
      <c r="A4" s="4" t="s">
        <v>0</v>
      </c>
      <c r="B4" s="41" t="s">
        <v>38</v>
      </c>
      <c r="C4" s="41"/>
      <c r="D4" s="41"/>
      <c r="E4" s="41"/>
      <c r="F4" s="42"/>
      <c r="G4" s="42"/>
      <c r="H4" s="42"/>
      <c r="I4" s="42"/>
      <c r="J4" s="42"/>
      <c r="K4" s="11"/>
      <c r="L4" s="5" t="s">
        <v>26</v>
      </c>
      <c r="M4" s="6"/>
      <c r="N4" s="6" t="s">
        <v>72</v>
      </c>
      <c r="O4" s="6"/>
      <c r="P4" s="6"/>
      <c r="Q4" s="6"/>
      <c r="R4" s="6"/>
      <c r="S4" s="6"/>
      <c r="T4" s="6"/>
      <c r="U4" s="6"/>
      <c r="V4" s="6"/>
      <c r="W4" s="72"/>
      <c r="X4" s="6"/>
      <c r="Y4" s="6"/>
      <c r="Z4" s="7" t="s">
        <v>61</v>
      </c>
      <c r="AA4" s="7">
        <v>0.24</v>
      </c>
    </row>
    <row r="5" spans="1:31" s="7" customFormat="1" ht="12" customHeight="1">
      <c r="A5" s="8"/>
      <c r="B5" s="38" t="s">
        <v>43</v>
      </c>
      <c r="C5" s="38"/>
      <c r="D5" s="38"/>
      <c r="E5" s="38"/>
      <c r="F5" s="71"/>
      <c r="G5" s="71"/>
      <c r="H5" s="71"/>
      <c r="I5" s="71"/>
      <c r="J5" s="71"/>
      <c r="K5" s="14"/>
      <c r="L5" s="5" t="s">
        <v>27</v>
      </c>
      <c r="M5" s="6"/>
      <c r="N5" s="6"/>
      <c r="O5" s="81"/>
      <c r="P5" s="81"/>
      <c r="Q5" s="81"/>
      <c r="R5" s="6"/>
      <c r="S5" s="6"/>
      <c r="T5" s="6"/>
      <c r="U5" s="6"/>
      <c r="V5" s="6"/>
      <c r="W5" s="6"/>
      <c r="X5" s="6"/>
      <c r="Y5" s="6"/>
    </row>
    <row r="6" spans="1:31" s="7" customFormat="1" ht="12" customHeight="1">
      <c r="A6" s="8"/>
      <c r="B6" s="38" t="s">
        <v>39</v>
      </c>
      <c r="C6" s="38"/>
      <c r="D6" s="38"/>
      <c r="E6" s="38"/>
      <c r="F6" s="71"/>
      <c r="G6" s="71"/>
      <c r="H6" s="71"/>
      <c r="I6" s="71"/>
      <c r="J6" s="71"/>
      <c r="K6" s="14"/>
      <c r="L6" s="4" t="s">
        <v>40</v>
      </c>
      <c r="M6" s="35"/>
      <c r="N6" s="10"/>
      <c r="O6" s="35"/>
      <c r="P6" s="35"/>
      <c r="Q6" s="35"/>
      <c r="R6" s="35"/>
      <c r="S6" s="35"/>
      <c r="T6" s="35"/>
      <c r="U6" s="35"/>
      <c r="V6" s="35"/>
      <c r="W6" s="10"/>
      <c r="X6" s="10"/>
      <c r="Y6" s="10"/>
    </row>
    <row r="7" spans="1:31" s="7" customFormat="1" ht="12" customHeight="1">
      <c r="A7" s="12"/>
      <c r="B7" s="39" t="s">
        <v>19</v>
      </c>
      <c r="C7" s="39"/>
      <c r="D7" s="39"/>
      <c r="E7" s="39"/>
      <c r="F7" s="40"/>
      <c r="G7" s="40"/>
      <c r="H7" s="40"/>
      <c r="I7" s="40"/>
      <c r="J7" s="40"/>
      <c r="K7" s="20"/>
      <c r="L7" s="12"/>
      <c r="M7" s="39"/>
      <c r="N7" s="13"/>
      <c r="O7" s="39"/>
      <c r="P7" s="39"/>
      <c r="Q7" s="39"/>
      <c r="R7" s="39"/>
      <c r="S7" s="39"/>
      <c r="T7" s="39"/>
      <c r="U7" s="39"/>
      <c r="V7" s="39"/>
      <c r="W7" s="13"/>
      <c r="X7" s="13"/>
      <c r="Y7" s="13"/>
    </row>
    <row r="8" spans="1:31" s="7" customFormat="1" ht="12" customHeight="1">
      <c r="A8" s="4" t="s">
        <v>1</v>
      </c>
      <c r="B8" s="41" t="s">
        <v>70</v>
      </c>
      <c r="C8" s="41"/>
      <c r="D8" s="41"/>
      <c r="E8" s="41"/>
      <c r="F8" s="41"/>
      <c r="G8" s="41"/>
      <c r="H8" s="41"/>
      <c r="I8" s="41"/>
      <c r="J8" s="41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15"/>
      <c r="W8" s="6"/>
      <c r="X8" s="6"/>
      <c r="Y8" s="6"/>
    </row>
    <row r="9" spans="1:31" s="7" customFormat="1" ht="12" customHeight="1">
      <c r="A9" s="8"/>
      <c r="B9" s="38" t="s">
        <v>51</v>
      </c>
      <c r="C9" s="38"/>
      <c r="D9" s="38"/>
      <c r="E9" s="38"/>
      <c r="F9" s="38"/>
      <c r="G9" s="38"/>
      <c r="H9" s="38"/>
      <c r="I9" s="38"/>
      <c r="J9" s="38"/>
      <c r="K9" s="14"/>
      <c r="L9" s="35" t="s">
        <v>30</v>
      </c>
      <c r="M9" s="35"/>
      <c r="N9" s="10"/>
      <c r="O9" s="10" t="s">
        <v>31</v>
      </c>
      <c r="P9" s="10"/>
      <c r="Q9" s="10"/>
      <c r="R9" s="35"/>
      <c r="S9" s="35"/>
      <c r="T9" s="35"/>
      <c r="U9" s="35"/>
      <c r="V9" s="35"/>
      <c r="W9" s="10"/>
      <c r="X9" s="10"/>
      <c r="Y9" s="10"/>
    </row>
    <row r="10" spans="1:31" s="7" customFormat="1" ht="12" customHeight="1">
      <c r="A10" s="8"/>
      <c r="B10" s="38"/>
      <c r="C10" s="38"/>
      <c r="D10" s="38"/>
      <c r="E10" s="38"/>
      <c r="F10" s="38"/>
      <c r="G10" s="38"/>
      <c r="H10" s="38"/>
      <c r="I10" s="38"/>
      <c r="J10" s="38"/>
      <c r="K10" s="14"/>
      <c r="L10" s="7" t="s">
        <v>32</v>
      </c>
      <c r="R10" s="73"/>
      <c r="S10" s="73"/>
      <c r="T10" s="73"/>
      <c r="U10" s="73"/>
      <c r="V10" s="73"/>
      <c r="W10" s="74"/>
      <c r="X10" s="16"/>
    </row>
    <row r="11" spans="1:31" s="7" customFormat="1" ht="12" customHeight="1">
      <c r="A11" s="12"/>
      <c r="B11" s="39"/>
      <c r="C11" s="39"/>
      <c r="D11" s="39"/>
      <c r="E11" s="39"/>
      <c r="F11" s="39"/>
      <c r="G11" s="39"/>
      <c r="H11" s="39"/>
      <c r="I11" s="39"/>
      <c r="J11" s="39"/>
      <c r="K11" s="20"/>
      <c r="L11" s="7" t="s">
        <v>2</v>
      </c>
      <c r="O11" s="82"/>
      <c r="P11" s="82"/>
      <c r="Q11" s="82"/>
      <c r="W11" s="16"/>
      <c r="X11" s="16"/>
    </row>
    <row r="12" spans="1:31" s="7" customFormat="1" ht="12" customHeight="1">
      <c r="A12" s="17"/>
      <c r="B12" s="75" t="s">
        <v>33</v>
      </c>
      <c r="C12" s="18"/>
      <c r="D12" s="18"/>
      <c r="E12" s="18"/>
      <c r="F12" s="18"/>
      <c r="G12" s="5"/>
      <c r="H12" s="77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3"/>
    </row>
    <row r="13" spans="1:31" s="7" customFormat="1" ht="12" customHeight="1">
      <c r="A13" s="5"/>
      <c r="B13" s="76" t="s">
        <v>41</v>
      </c>
      <c r="C13" s="6"/>
      <c r="D13" s="6"/>
      <c r="E13" s="6"/>
      <c r="F13" s="6"/>
      <c r="G13" s="5"/>
      <c r="H13" s="76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15"/>
      <c r="W13" s="6"/>
      <c r="X13" s="6"/>
      <c r="Y13" s="6"/>
      <c r="AA13" s="7" t="s">
        <v>59</v>
      </c>
      <c r="AB13" s="7">
        <v>72</v>
      </c>
    </row>
    <row r="14" spans="1:31" ht="15.9" customHeight="1">
      <c r="A14" s="50" t="s">
        <v>80</v>
      </c>
      <c r="K14" s="45"/>
      <c r="L14" s="45"/>
      <c r="M14" s="45"/>
      <c r="N14" s="45"/>
      <c r="X14" s="46"/>
      <c r="Y14" s="80" t="s">
        <v>79</v>
      </c>
      <c r="AA14" s="22" t="s">
        <v>60</v>
      </c>
      <c r="AB14" s="22">
        <v>166.57</v>
      </c>
    </row>
    <row r="15" spans="1:31" s="89" customFormat="1" ht="42">
      <c r="A15" s="84" t="s">
        <v>4</v>
      </c>
      <c r="B15" s="85" t="s">
        <v>5</v>
      </c>
      <c r="C15" s="85" t="s">
        <v>23</v>
      </c>
      <c r="D15" s="85" t="s">
        <v>45</v>
      </c>
      <c r="E15" s="85" t="s">
        <v>46</v>
      </c>
      <c r="F15" s="85" t="s">
        <v>6</v>
      </c>
      <c r="G15" s="85" t="s">
        <v>7</v>
      </c>
      <c r="H15" s="86" t="s">
        <v>8</v>
      </c>
      <c r="I15" s="86" t="s">
        <v>47</v>
      </c>
      <c r="J15" s="86" t="s">
        <v>9</v>
      </c>
      <c r="K15" s="87" t="s">
        <v>14</v>
      </c>
      <c r="L15" s="87" t="s">
        <v>20</v>
      </c>
      <c r="M15" s="87" t="s">
        <v>22</v>
      </c>
      <c r="N15" s="87" t="s">
        <v>21</v>
      </c>
      <c r="O15" s="88" t="s">
        <v>10</v>
      </c>
      <c r="P15" s="88" t="s">
        <v>49</v>
      </c>
      <c r="Q15" s="104" t="s">
        <v>62</v>
      </c>
      <c r="R15" s="43" t="s">
        <v>50</v>
      </c>
      <c r="S15" s="43" t="s">
        <v>55</v>
      </c>
      <c r="T15" s="43" t="s">
        <v>69</v>
      </c>
      <c r="U15" s="43" t="s">
        <v>13</v>
      </c>
      <c r="V15" s="43" t="s">
        <v>52</v>
      </c>
      <c r="W15" s="43" t="s">
        <v>48</v>
      </c>
      <c r="X15" s="43" t="s">
        <v>15</v>
      </c>
      <c r="Y15" s="47" t="s">
        <v>12</v>
      </c>
      <c r="AA15" s="89" t="s">
        <v>56</v>
      </c>
      <c r="AB15" s="89" t="s">
        <v>57</v>
      </c>
      <c r="AC15" s="89" t="s">
        <v>58</v>
      </c>
      <c r="AD15" s="89" t="s">
        <v>67</v>
      </c>
      <c r="AE15" s="89" t="s">
        <v>68</v>
      </c>
    </row>
    <row r="16" spans="1:31" s="27" customFormat="1" ht="28">
      <c r="A16" s="91" t="s">
        <v>71</v>
      </c>
      <c r="B16" s="90" t="s">
        <v>73</v>
      </c>
      <c r="C16" s="90"/>
      <c r="D16" s="90"/>
      <c r="E16" s="90"/>
      <c r="F16" s="90" t="s">
        <v>74</v>
      </c>
      <c r="G16" s="92">
        <v>4</v>
      </c>
      <c r="H16" s="100">
        <v>63.08</v>
      </c>
      <c r="I16" s="100">
        <v>0.87</v>
      </c>
      <c r="J16" s="100"/>
      <c r="K16" s="101">
        <f>H16-I16-J16</f>
        <v>62.21</v>
      </c>
      <c r="L16" s="94" t="s">
        <v>75</v>
      </c>
      <c r="M16" s="94" t="s">
        <v>76</v>
      </c>
      <c r="N16" s="95" t="s">
        <v>78</v>
      </c>
      <c r="O16" s="103">
        <v>12</v>
      </c>
      <c r="P16" s="107"/>
      <c r="Q16" s="105">
        <f>K16*IF(LEFT(F16,3)="10K",0.417*1.07,IF(LEFT(F16,3)="14K",0.585*1.05,IF(LEFT(F16,3)="18K",0.75*1.05,0)))</f>
        <v>38.212492499999996</v>
      </c>
      <c r="R16" s="34"/>
      <c r="S16" s="34"/>
      <c r="T16" s="34">
        <f>G16*0.035*(61+5)</f>
        <v>9.24</v>
      </c>
      <c r="U16" s="34">
        <f>G16*8</f>
        <v>32</v>
      </c>
      <c r="V16" s="34">
        <f>IF(RIGHT(F16,2)="WG",K16*$AA$4,IF(OR(RIGHT(F16,3)="WRG",RIGHT(F16,3)="WYG",RIGHT(F16,3)="WYR"),K16*$AA$4+3*G16,0))</f>
        <v>0</v>
      </c>
      <c r="W16" s="34"/>
      <c r="X16" s="34">
        <f>G16*(61*0.3+5*4)</f>
        <v>153.19999999999999</v>
      </c>
      <c r="Y16" s="34">
        <f t="shared" ref="Y16:Y17" si="0">K16*O16</f>
        <v>746.52</v>
      </c>
      <c r="Z16" s="27">
        <f>2*K16</f>
        <v>124.42</v>
      </c>
      <c r="AA16" s="97">
        <f>(SUM(R16:X16)+AE16)-Z16</f>
        <v>692.12</v>
      </c>
      <c r="AB16" s="97">
        <f>Q16*$AB$13+P16*$AB$14</f>
        <v>2751.2994599999997</v>
      </c>
      <c r="AC16" s="97">
        <f t="shared" ref="AC16" si="1">SUM(AA16:AB16)</f>
        <v>3443.4194599999996</v>
      </c>
      <c r="AD16" s="27">
        <v>10</v>
      </c>
      <c r="AE16" s="27">
        <f>IF(AD16&gt;0,AD16*K16,Y16)</f>
        <v>622.1</v>
      </c>
    </row>
    <row r="17" spans="1:31" s="27" customFormat="1" ht="42.5" thickBot="1">
      <c r="A17" s="91">
        <v>2</v>
      </c>
      <c r="B17" s="93" t="s">
        <v>73</v>
      </c>
      <c r="C17" s="93"/>
      <c r="D17" s="93"/>
      <c r="E17" s="90"/>
      <c r="F17" s="90" t="s">
        <v>74</v>
      </c>
      <c r="G17" s="92">
        <v>4</v>
      </c>
      <c r="H17" s="100">
        <v>62.589999999999996</v>
      </c>
      <c r="I17" s="100">
        <v>0</v>
      </c>
      <c r="J17" s="100"/>
      <c r="K17" s="101">
        <f t="shared" ref="K17" si="2">H17-I17-J17</f>
        <v>62.589999999999996</v>
      </c>
      <c r="L17" s="94" t="s">
        <v>75</v>
      </c>
      <c r="M17" s="94" t="s">
        <v>77</v>
      </c>
      <c r="N17" s="95" t="s">
        <v>78</v>
      </c>
      <c r="O17" s="103">
        <v>12</v>
      </c>
      <c r="P17" s="107"/>
      <c r="Q17" s="105">
        <f t="shared" ref="Q17" si="3">K17*IF(LEFT(F17,3)="10K",0.417*1.07,IF(LEFT(F17,3)="14K",0.585*1.05,IF(LEFT(F17,3)="18K",0.75*1.05,0)))</f>
        <v>38.445907499999997</v>
      </c>
      <c r="R17" s="34"/>
      <c r="S17" s="34"/>
      <c r="T17" s="34">
        <f>G17*0.035*(61+5)</f>
        <v>9.24</v>
      </c>
      <c r="U17" s="34">
        <f>G17*8</f>
        <v>32</v>
      </c>
      <c r="V17" s="34">
        <f>IF(RIGHT(F17,2)="WG",K17*$AA$4,IF(OR(RIGHT(F17,3)="WRG",RIGHT(F17,3)="WYG",RIGHT(F17,3)="WYR"),K17*$AA$4+3*G17,0))</f>
        <v>0</v>
      </c>
      <c r="W17" s="34"/>
      <c r="X17" s="34">
        <f>G17*(61*0.3+5*4)</f>
        <v>153.19999999999999</v>
      </c>
      <c r="Y17" s="34">
        <f t="shared" si="0"/>
        <v>751.07999999999993</v>
      </c>
      <c r="Z17" s="27">
        <f>2*K17</f>
        <v>125.17999999999999</v>
      </c>
      <c r="AA17" s="97">
        <f>(SUM(R17:X17)+AE17)-Z17</f>
        <v>695.16</v>
      </c>
      <c r="AB17" s="97">
        <f>Q17*$AB$13+P17*$AB$14</f>
        <v>2768.1053399999996</v>
      </c>
      <c r="AC17" s="97">
        <f t="shared" ref="AC17" si="4">SUM(AA17:AB17)</f>
        <v>3463.2653399999995</v>
      </c>
      <c r="AD17" s="27">
        <v>10</v>
      </c>
      <c r="AE17" s="27">
        <f>IF(AD17&gt;0,AD17*K17,Y17)</f>
        <v>625.9</v>
      </c>
    </row>
    <row r="18" spans="1:31" s="28" customFormat="1" ht="15.9" customHeight="1">
      <c r="A18" s="83" t="s">
        <v>81</v>
      </c>
      <c r="B18" s="61"/>
      <c r="C18" s="61"/>
      <c r="D18" s="61"/>
      <c r="E18" s="61"/>
      <c r="F18" s="61"/>
      <c r="G18" s="62">
        <f>SUM(G16:G17)</f>
        <v>8</v>
      </c>
      <c r="H18" s="102"/>
      <c r="I18" s="102"/>
      <c r="J18" s="102"/>
      <c r="K18" s="102">
        <f>SUM(K16:K17)</f>
        <v>124.8</v>
      </c>
      <c r="L18" s="63"/>
      <c r="M18" s="63"/>
      <c r="N18" s="63"/>
      <c r="O18" s="64"/>
      <c r="P18" s="108">
        <f t="shared" ref="P18:Y18" si="5">SUM(P16:P17)</f>
        <v>0</v>
      </c>
      <c r="Q18" s="106">
        <f t="shared" si="5"/>
        <v>76.6584</v>
      </c>
      <c r="R18" s="65">
        <f t="shared" si="5"/>
        <v>0</v>
      </c>
      <c r="S18" s="65">
        <f t="shared" si="5"/>
        <v>0</v>
      </c>
      <c r="T18" s="65">
        <f t="shared" si="5"/>
        <v>18.48</v>
      </c>
      <c r="U18" s="65">
        <f t="shared" si="5"/>
        <v>64</v>
      </c>
      <c r="V18" s="65">
        <f t="shared" si="5"/>
        <v>0</v>
      </c>
      <c r="W18" s="65">
        <f t="shared" si="5"/>
        <v>0</v>
      </c>
      <c r="X18" s="65">
        <f t="shared" si="5"/>
        <v>306.39999999999998</v>
      </c>
      <c r="Y18" s="65">
        <f t="shared" si="5"/>
        <v>1497.6</v>
      </c>
      <c r="AA18" s="98"/>
      <c r="AB18" s="98"/>
      <c r="AC18" s="98"/>
      <c r="AD18" s="98"/>
      <c r="AE18" s="98"/>
    </row>
    <row r="19" spans="1:31" ht="15.9" customHeight="1">
      <c r="A19" s="50" t="s">
        <v>80</v>
      </c>
      <c r="K19" s="45"/>
      <c r="L19" s="45"/>
      <c r="M19" s="45"/>
      <c r="N19" s="45"/>
      <c r="X19" s="46"/>
      <c r="Y19" s="80" t="s">
        <v>82</v>
      </c>
    </row>
    <row r="20" spans="1:31" s="89" customFormat="1" ht="42">
      <c r="A20" s="84" t="s">
        <v>4</v>
      </c>
      <c r="B20" s="85" t="s">
        <v>5</v>
      </c>
      <c r="C20" s="85" t="s">
        <v>23</v>
      </c>
      <c r="D20" s="85" t="s">
        <v>45</v>
      </c>
      <c r="E20" s="85" t="s">
        <v>46</v>
      </c>
      <c r="F20" s="85" t="s">
        <v>6</v>
      </c>
      <c r="G20" s="85" t="s">
        <v>7</v>
      </c>
      <c r="H20" s="86" t="s">
        <v>8</v>
      </c>
      <c r="I20" s="86" t="s">
        <v>47</v>
      </c>
      <c r="J20" s="86" t="s">
        <v>9</v>
      </c>
      <c r="K20" s="87" t="s">
        <v>14</v>
      </c>
      <c r="L20" s="87" t="s">
        <v>20</v>
      </c>
      <c r="M20" s="87" t="s">
        <v>22</v>
      </c>
      <c r="N20" s="87" t="s">
        <v>21</v>
      </c>
      <c r="O20" s="88" t="s">
        <v>10</v>
      </c>
      <c r="P20" s="88" t="s">
        <v>49</v>
      </c>
      <c r="Q20" s="104" t="s">
        <v>62</v>
      </c>
      <c r="R20" s="43" t="s">
        <v>50</v>
      </c>
      <c r="S20" s="43" t="s">
        <v>55</v>
      </c>
      <c r="T20" s="43" t="s">
        <v>69</v>
      </c>
      <c r="U20" s="43" t="s">
        <v>13</v>
      </c>
      <c r="V20" s="43" t="s">
        <v>52</v>
      </c>
      <c r="W20" s="43" t="s">
        <v>48</v>
      </c>
      <c r="X20" s="43" t="s">
        <v>15</v>
      </c>
      <c r="Y20" s="47" t="s">
        <v>12</v>
      </c>
    </row>
    <row r="21" spans="1:31" s="27" customFormat="1" ht="28">
      <c r="A21" s="91" t="s">
        <v>83</v>
      </c>
      <c r="B21" s="90" t="s">
        <v>73</v>
      </c>
      <c r="C21" s="90"/>
      <c r="D21" s="90"/>
      <c r="E21" s="90"/>
      <c r="F21" s="90" t="s">
        <v>74</v>
      </c>
      <c r="G21" s="92">
        <v>1</v>
      </c>
      <c r="H21" s="100">
        <v>15.97</v>
      </c>
      <c r="I21" s="100">
        <v>0</v>
      </c>
      <c r="J21" s="100">
        <v>0</v>
      </c>
      <c r="K21" s="101">
        <f>H21-I21-J21</f>
        <v>15.97</v>
      </c>
      <c r="L21" s="94" t="s">
        <v>75</v>
      </c>
      <c r="M21" s="94" t="s">
        <v>76</v>
      </c>
      <c r="N21" s="95" t="s">
        <v>78</v>
      </c>
      <c r="O21" s="103">
        <v>12</v>
      </c>
      <c r="P21" s="107">
        <v>0</v>
      </c>
      <c r="Q21" s="105">
        <f>K21*IF(LEFT(F21,3)="10K",0.417*1.07,IF(LEFT(F21,3)="14K",0.585*1.05,IF(LEFT(F21,3)="18K",0.75*1.05,0)))</f>
        <v>9.8095724999999998</v>
      </c>
      <c r="R21" s="34"/>
      <c r="S21" s="34"/>
      <c r="T21" s="34">
        <f>G21*0.035*(61+5)</f>
        <v>2.31</v>
      </c>
      <c r="U21" s="34">
        <f>G21*8</f>
        <v>8</v>
      </c>
      <c r="V21" s="34">
        <f>IF(RIGHT(F21,2)="WG",K21*$AA$4,IF(OR(RIGHT(F21,3)="WRG",RIGHT(F21,3)="WYG",RIGHT(F21,3)="WYR"),K21*$AA$4+3*G21,0))</f>
        <v>0</v>
      </c>
      <c r="W21" s="34"/>
      <c r="X21" s="34">
        <f>G21*(61*0.3+5*4)</f>
        <v>38.299999999999997</v>
      </c>
      <c r="Y21" s="34">
        <f t="shared" ref="Y21:Y24" si="6">K21*O21</f>
        <v>191.64000000000001</v>
      </c>
      <c r="Z21" s="27">
        <f>2*K21</f>
        <v>31.94</v>
      </c>
      <c r="AA21" s="97">
        <f>(SUM(R21:X21)+AE21)-Z21</f>
        <v>208.31</v>
      </c>
      <c r="AB21" s="97">
        <f>Q21*$AB$13+P21*$AB$14</f>
        <v>706.28922</v>
      </c>
      <c r="AC21" s="97">
        <f t="shared" ref="AC21" si="7">SUM(AA21:AB21)</f>
        <v>914.59922000000006</v>
      </c>
      <c r="AE21" s="27">
        <f>IF(AD21&gt;0,AD21*K21,Y21)</f>
        <v>191.64000000000001</v>
      </c>
    </row>
    <row r="22" spans="1:31" s="27" customFormat="1" ht="42">
      <c r="A22" s="91">
        <v>2</v>
      </c>
      <c r="B22" s="93" t="s">
        <v>73</v>
      </c>
      <c r="C22" s="93"/>
      <c r="D22" s="93"/>
      <c r="E22" s="90"/>
      <c r="F22" s="90" t="s">
        <v>74</v>
      </c>
      <c r="G22" s="92">
        <v>3</v>
      </c>
      <c r="H22" s="100">
        <v>48.74</v>
      </c>
      <c r="I22" s="100">
        <v>0.83</v>
      </c>
      <c r="J22" s="100">
        <v>0</v>
      </c>
      <c r="K22" s="101">
        <f t="shared" ref="K22:K24" si="8">H22-I22-J22</f>
        <v>47.910000000000004</v>
      </c>
      <c r="L22" s="94" t="s">
        <v>75</v>
      </c>
      <c r="M22" s="94" t="s">
        <v>77</v>
      </c>
      <c r="N22" s="95" t="s">
        <v>78</v>
      </c>
      <c r="O22" s="103">
        <v>12</v>
      </c>
      <c r="P22" s="107">
        <v>4.5350000000000001</v>
      </c>
      <c r="Q22" s="105">
        <f t="shared" ref="Q22:Q24" si="9">K22*IF(LEFT(F22,3)="10K",0.417*1.07,IF(LEFT(F22,3)="14K",0.585*1.05,IF(LEFT(F22,3)="18K",0.75*1.05,0)))</f>
        <v>29.428717500000001</v>
      </c>
      <c r="R22" s="34"/>
      <c r="S22" s="34"/>
      <c r="T22" s="34">
        <f t="shared" ref="T22:T24" si="10">G22*0.035*(61+5)</f>
        <v>6.9300000000000006</v>
      </c>
      <c r="U22" s="34">
        <f t="shared" ref="U22:U24" si="11">G22*8</f>
        <v>24</v>
      </c>
      <c r="V22" s="34">
        <f>IF(RIGHT(F22,2)="WG",K22*$AA$4,IF(OR(RIGHT(F22,3)="WRG",RIGHT(F22,3)="WYG",RIGHT(F22,3)="WYR"),K22*$AA$4+3*G22,0))</f>
        <v>0</v>
      </c>
      <c r="W22" s="34"/>
      <c r="X22" s="34">
        <f>G22*(61*0.3+5*4)</f>
        <v>114.89999999999999</v>
      </c>
      <c r="Y22" s="34">
        <f t="shared" si="6"/>
        <v>574.92000000000007</v>
      </c>
      <c r="Z22" s="27">
        <f>2*K22</f>
        <v>95.820000000000007</v>
      </c>
      <c r="AA22" s="97">
        <f>(SUM(R22:X22)+AE22)-Z22</f>
        <v>624.92999999999995</v>
      </c>
      <c r="AB22" s="97">
        <f>Q22*$AB$13+P22*$AB$14</f>
        <v>2874.2626099999998</v>
      </c>
      <c r="AC22" s="97">
        <f t="shared" ref="AC22:AC24" si="12">SUM(AA22:AB22)</f>
        <v>3499.1926099999996</v>
      </c>
      <c r="AE22" s="27">
        <f>IF(AD22&gt;0,AD22*K22,Y22)</f>
        <v>574.92000000000007</v>
      </c>
    </row>
    <row r="23" spans="1:31" s="27" customFormat="1" ht="42">
      <c r="A23" s="91">
        <v>3</v>
      </c>
      <c r="B23" s="93" t="s">
        <v>73</v>
      </c>
      <c r="C23" s="93"/>
      <c r="D23" s="90"/>
      <c r="E23" s="90"/>
      <c r="F23" s="90" t="s">
        <v>74</v>
      </c>
      <c r="G23" s="92">
        <v>2</v>
      </c>
      <c r="H23" s="100">
        <v>31.83</v>
      </c>
      <c r="I23" s="100">
        <v>0</v>
      </c>
      <c r="J23" s="100">
        <v>0</v>
      </c>
      <c r="K23" s="101">
        <f t="shared" si="8"/>
        <v>31.83</v>
      </c>
      <c r="L23" s="94" t="s">
        <v>75</v>
      </c>
      <c r="M23" s="94" t="s">
        <v>84</v>
      </c>
      <c r="N23" s="95" t="s">
        <v>78</v>
      </c>
      <c r="O23" s="103">
        <v>12</v>
      </c>
      <c r="P23" s="107">
        <v>0</v>
      </c>
      <c r="Q23" s="105">
        <f t="shared" si="9"/>
        <v>19.551577499999997</v>
      </c>
      <c r="R23" s="34"/>
      <c r="S23" s="34"/>
      <c r="T23" s="34">
        <f t="shared" si="10"/>
        <v>4.62</v>
      </c>
      <c r="U23" s="34">
        <f t="shared" si="11"/>
        <v>16</v>
      </c>
      <c r="V23" s="34">
        <f>IF(RIGHT(F23,2)="WG",K23*$AA$4,IF(OR(RIGHT(F23,3)="WRG",RIGHT(F23,3)="WYG",RIGHT(F23,3)="WYR"),K23*$AA$4+3*G23,0))</f>
        <v>0</v>
      </c>
      <c r="W23" s="34"/>
      <c r="X23" s="34">
        <f>G23*(61*0.3+5*4)</f>
        <v>76.599999999999994</v>
      </c>
      <c r="Y23" s="34">
        <f t="shared" si="6"/>
        <v>381.96</v>
      </c>
      <c r="Z23" s="27">
        <f>2*K23</f>
        <v>63.66</v>
      </c>
      <c r="AA23" s="97">
        <f>(SUM(R23:X23)+AE23)-Z23</f>
        <v>415.52</v>
      </c>
      <c r="AB23" s="97">
        <f>Q23*$AB$13+P23*$AB$14</f>
        <v>1407.7135799999999</v>
      </c>
      <c r="AC23" s="97">
        <f t="shared" si="12"/>
        <v>1823.2335799999998</v>
      </c>
      <c r="AE23" s="27">
        <f>IF(AD23&gt;0,AD23*K23,Y23)</f>
        <v>381.96</v>
      </c>
    </row>
    <row r="24" spans="1:31" s="27" customFormat="1" ht="28.5" thickBot="1">
      <c r="A24" s="91">
        <v>4</v>
      </c>
      <c r="B24" s="90" t="s">
        <v>73</v>
      </c>
      <c r="C24" s="90"/>
      <c r="D24" s="90"/>
      <c r="E24" s="90"/>
      <c r="F24" s="90" t="s">
        <v>74</v>
      </c>
      <c r="G24" s="92">
        <v>2</v>
      </c>
      <c r="H24" s="100">
        <v>31.630000000000003</v>
      </c>
      <c r="I24" s="100">
        <v>0</v>
      </c>
      <c r="J24" s="100">
        <v>0</v>
      </c>
      <c r="K24" s="101">
        <f t="shared" si="8"/>
        <v>31.630000000000003</v>
      </c>
      <c r="L24" s="94" t="s">
        <v>75</v>
      </c>
      <c r="M24" s="94" t="s">
        <v>85</v>
      </c>
      <c r="N24" s="95" t="s">
        <v>78</v>
      </c>
      <c r="O24" s="103">
        <v>12</v>
      </c>
      <c r="P24" s="107">
        <v>0</v>
      </c>
      <c r="Q24" s="105">
        <f t="shared" si="9"/>
        <v>19.428727500000001</v>
      </c>
      <c r="R24" s="34"/>
      <c r="S24" s="34"/>
      <c r="T24" s="34">
        <f t="shared" si="10"/>
        <v>4.62</v>
      </c>
      <c r="U24" s="34">
        <f t="shared" si="11"/>
        <v>16</v>
      </c>
      <c r="V24" s="34">
        <f>IF(RIGHT(F24,2)="WG",K24*$AA$4,IF(OR(RIGHT(F24,3)="WRG",RIGHT(F24,3)="WYG",RIGHT(F24,3)="WYR"),K24*$AA$4+3*G24,0))</f>
        <v>0</v>
      </c>
      <c r="W24" s="34"/>
      <c r="X24" s="34">
        <f>G24*(61*0.3+5*4)</f>
        <v>76.599999999999994</v>
      </c>
      <c r="Y24" s="34">
        <f t="shared" si="6"/>
        <v>379.56000000000006</v>
      </c>
      <c r="Z24" s="27">
        <f>2*K24</f>
        <v>63.260000000000005</v>
      </c>
      <c r="AA24" s="97">
        <f>(SUM(R24:X24)+AE24)-Z24</f>
        <v>413.5200000000001</v>
      </c>
      <c r="AB24" s="97">
        <f>Q24*$AB$13+P24*$AB$14</f>
        <v>1398.8683800000001</v>
      </c>
      <c r="AC24" s="97">
        <f t="shared" si="12"/>
        <v>1812.3883800000003</v>
      </c>
      <c r="AE24" s="27">
        <f>IF(AD24&gt;0,AD24*K24,Y24)</f>
        <v>379.56000000000006</v>
      </c>
    </row>
    <row r="25" spans="1:31" s="28" customFormat="1" ht="15.9" customHeight="1">
      <c r="A25" s="83" t="s">
        <v>81</v>
      </c>
      <c r="B25" s="61"/>
      <c r="C25" s="61"/>
      <c r="D25" s="61"/>
      <c r="E25" s="61"/>
      <c r="F25" s="61"/>
      <c r="G25" s="62">
        <f>SUM(G21:G24)</f>
        <v>8</v>
      </c>
      <c r="H25" s="102"/>
      <c r="I25" s="102"/>
      <c r="J25" s="102"/>
      <c r="K25" s="102">
        <f>SUM(K21:K24)</f>
        <v>127.34</v>
      </c>
      <c r="L25" s="63"/>
      <c r="M25" s="63"/>
      <c r="N25" s="63"/>
      <c r="O25" s="64"/>
      <c r="P25" s="108">
        <f t="shared" ref="P25:Y25" si="13">SUM(P21:P24)</f>
        <v>4.5350000000000001</v>
      </c>
      <c r="Q25" s="106">
        <f t="shared" si="13"/>
        <v>78.218594999999993</v>
      </c>
      <c r="R25" s="65">
        <f t="shared" si="13"/>
        <v>0</v>
      </c>
      <c r="S25" s="65">
        <f t="shared" si="13"/>
        <v>0</v>
      </c>
      <c r="T25" s="65">
        <f t="shared" si="13"/>
        <v>18.48</v>
      </c>
      <c r="U25" s="65">
        <f t="shared" si="13"/>
        <v>64</v>
      </c>
      <c r="V25" s="65">
        <f t="shared" si="13"/>
        <v>0</v>
      </c>
      <c r="W25" s="65">
        <f t="shared" si="13"/>
        <v>0</v>
      </c>
      <c r="X25" s="65">
        <f t="shared" si="13"/>
        <v>306.39999999999998</v>
      </c>
      <c r="Y25" s="65">
        <f t="shared" si="13"/>
        <v>1528.08</v>
      </c>
      <c r="AA25" s="98"/>
      <c r="AB25" s="98"/>
      <c r="AC25" s="98"/>
      <c r="AD25" s="98"/>
      <c r="AE25" s="98"/>
    </row>
    <row r="26" spans="1:31" ht="15.9" customHeight="1">
      <c r="A26" s="50" t="s">
        <v>80</v>
      </c>
      <c r="K26" s="45"/>
      <c r="L26" s="45"/>
      <c r="M26" s="45"/>
      <c r="N26" s="45"/>
      <c r="X26" s="46"/>
      <c r="Y26" s="80" t="s">
        <v>86</v>
      </c>
    </row>
    <row r="27" spans="1:31" s="89" customFormat="1" ht="42">
      <c r="A27" s="84" t="s">
        <v>4</v>
      </c>
      <c r="B27" s="85" t="s">
        <v>5</v>
      </c>
      <c r="C27" s="85" t="s">
        <v>23</v>
      </c>
      <c r="D27" s="85" t="s">
        <v>45</v>
      </c>
      <c r="E27" s="85" t="s">
        <v>46</v>
      </c>
      <c r="F27" s="85" t="s">
        <v>6</v>
      </c>
      <c r="G27" s="85" t="s">
        <v>7</v>
      </c>
      <c r="H27" s="86" t="s">
        <v>8</v>
      </c>
      <c r="I27" s="86" t="s">
        <v>47</v>
      </c>
      <c r="J27" s="86" t="s">
        <v>9</v>
      </c>
      <c r="K27" s="87" t="s">
        <v>14</v>
      </c>
      <c r="L27" s="87" t="s">
        <v>20</v>
      </c>
      <c r="M27" s="87" t="s">
        <v>22</v>
      </c>
      <c r="N27" s="87" t="s">
        <v>21</v>
      </c>
      <c r="O27" s="88" t="s">
        <v>10</v>
      </c>
      <c r="P27" s="88" t="s">
        <v>49</v>
      </c>
      <c r="Q27" s="104" t="s">
        <v>62</v>
      </c>
      <c r="R27" s="43" t="s">
        <v>50</v>
      </c>
      <c r="S27" s="43" t="s">
        <v>55</v>
      </c>
      <c r="T27" s="43" t="s">
        <v>69</v>
      </c>
      <c r="U27" s="43" t="s">
        <v>13</v>
      </c>
      <c r="V27" s="43" t="s">
        <v>52</v>
      </c>
      <c r="W27" s="43" t="s">
        <v>48</v>
      </c>
      <c r="X27" s="43" t="s">
        <v>15</v>
      </c>
      <c r="Y27" s="47" t="s">
        <v>12</v>
      </c>
    </row>
    <row r="28" spans="1:31" s="27" customFormat="1" ht="28">
      <c r="A28" s="91" t="s">
        <v>87</v>
      </c>
      <c r="B28" s="90" t="s">
        <v>73</v>
      </c>
      <c r="C28" s="90"/>
      <c r="D28" s="90"/>
      <c r="E28" s="90"/>
      <c r="F28" s="90" t="s">
        <v>74</v>
      </c>
      <c r="G28" s="92">
        <v>3</v>
      </c>
      <c r="H28" s="100">
        <v>47.64</v>
      </c>
      <c r="I28" s="100">
        <v>0</v>
      </c>
      <c r="J28" s="100">
        <v>0</v>
      </c>
      <c r="K28" s="101">
        <f>H28-I28-J28</f>
        <v>47.64</v>
      </c>
      <c r="L28" s="94" t="s">
        <v>75</v>
      </c>
      <c r="M28" s="94" t="s">
        <v>76</v>
      </c>
      <c r="N28" s="95" t="s">
        <v>78</v>
      </c>
      <c r="O28" s="103">
        <v>12</v>
      </c>
      <c r="P28" s="107"/>
      <c r="Q28" s="105">
        <f>K28*IF(LEFT(F28,3)="10K",0.417*1.07,IF(LEFT(F28,3)="14K",0.585*1.05,IF(LEFT(F28,3)="18K",0.75*1.05,0)))</f>
        <v>29.262869999999999</v>
      </c>
      <c r="R28" s="34"/>
      <c r="S28" s="34"/>
      <c r="T28" s="34">
        <f>G28*0.035*(61+5)</f>
        <v>6.9300000000000006</v>
      </c>
      <c r="U28" s="34">
        <f>G28*8</f>
        <v>24</v>
      </c>
      <c r="V28" s="34">
        <f>IF(RIGHT(F28,2)="WG",K28*$AA$4,IF(OR(RIGHT(F28,3)="WRG",RIGHT(F28,3)="WYG",RIGHT(F28,3)="WYR"),K28*$AA$4+3*G28,0))</f>
        <v>0</v>
      </c>
      <c r="W28" s="34"/>
      <c r="X28" s="34">
        <f>G28*(61*0.3+5*4)</f>
        <v>114.89999999999999</v>
      </c>
      <c r="Y28" s="34">
        <f t="shared" ref="Y28:Y29" si="14">K28*O28</f>
        <v>571.68000000000006</v>
      </c>
      <c r="Z28" s="27">
        <f>2*K28</f>
        <v>95.28</v>
      </c>
      <c r="AA28" s="97">
        <f>(SUM(R28:X28)+AE28)-Z28</f>
        <v>526.95000000000005</v>
      </c>
      <c r="AB28" s="97">
        <f>Q28*$AB$13+P28*$AB$14</f>
        <v>2106.9266400000001</v>
      </c>
      <c r="AC28" s="97">
        <f t="shared" ref="AC28" si="15">SUM(AA28:AB28)</f>
        <v>2633.8766400000004</v>
      </c>
      <c r="AD28" s="27">
        <v>10</v>
      </c>
      <c r="AE28" s="27">
        <f>IF(AD28&gt;0,AD28*K28,Y28)</f>
        <v>476.4</v>
      </c>
    </row>
    <row r="29" spans="1:31" s="27" customFormat="1" ht="42.5" thickBot="1">
      <c r="A29" s="91">
        <v>2</v>
      </c>
      <c r="B29" s="93" t="s">
        <v>73</v>
      </c>
      <c r="C29" s="93"/>
      <c r="D29" s="93"/>
      <c r="E29" s="90"/>
      <c r="F29" s="90" t="s">
        <v>74</v>
      </c>
      <c r="G29" s="92">
        <v>2</v>
      </c>
      <c r="H29" s="100">
        <v>31.98</v>
      </c>
      <c r="I29" s="100">
        <v>0</v>
      </c>
      <c r="J29" s="100">
        <v>0</v>
      </c>
      <c r="K29" s="101">
        <f t="shared" ref="K29" si="16">H29-I29-J29</f>
        <v>31.98</v>
      </c>
      <c r="L29" s="94" t="s">
        <v>75</v>
      </c>
      <c r="M29" s="94" t="s">
        <v>84</v>
      </c>
      <c r="N29" s="95" t="s">
        <v>78</v>
      </c>
      <c r="O29" s="103">
        <v>12</v>
      </c>
      <c r="P29" s="107"/>
      <c r="Q29" s="105">
        <f t="shared" ref="Q29" si="17">K29*IF(LEFT(F29,3)="10K",0.417*1.07,IF(LEFT(F29,3)="14K",0.585*1.05,IF(LEFT(F29,3)="18K",0.75*1.05,0)))</f>
        <v>19.643715</v>
      </c>
      <c r="R29" s="34"/>
      <c r="S29" s="34"/>
      <c r="T29" s="34">
        <f>G29*0.035*(61+5)</f>
        <v>4.62</v>
      </c>
      <c r="U29" s="34">
        <f>G29*8</f>
        <v>16</v>
      </c>
      <c r="V29" s="34">
        <f>IF(RIGHT(F29,2)="WG",K29*$AA$4,IF(OR(RIGHT(F29,3)="WRG",RIGHT(F29,3)="WYG",RIGHT(F29,3)="WYR"),K29*$AA$4+3*G29,0))</f>
        <v>0</v>
      </c>
      <c r="W29" s="34"/>
      <c r="X29" s="34">
        <f>G29*(61*0.3+5*4)</f>
        <v>76.599999999999994</v>
      </c>
      <c r="Y29" s="34">
        <f t="shared" si="14"/>
        <v>383.76</v>
      </c>
      <c r="Z29" s="27">
        <f>2*K29</f>
        <v>63.96</v>
      </c>
      <c r="AA29" s="97">
        <f>(SUM(R29:X29)+AE29)-Z29</f>
        <v>353.06</v>
      </c>
      <c r="AB29" s="97">
        <f>Q29*$AB$13+P29*$AB$14</f>
        <v>1414.3474799999999</v>
      </c>
      <c r="AC29" s="97">
        <f t="shared" ref="AC29" si="18">SUM(AA29:AB29)</f>
        <v>1767.4074799999999</v>
      </c>
      <c r="AD29" s="27">
        <v>10</v>
      </c>
      <c r="AE29" s="27">
        <f>IF(AD29&gt;0,AD29*K29,Y29)</f>
        <v>319.8</v>
      </c>
    </row>
    <row r="30" spans="1:31" s="28" customFormat="1" ht="15.9" customHeight="1">
      <c r="A30" s="83" t="s">
        <v>81</v>
      </c>
      <c r="B30" s="61"/>
      <c r="C30" s="61"/>
      <c r="D30" s="61"/>
      <c r="E30" s="61"/>
      <c r="F30" s="61"/>
      <c r="G30" s="62">
        <f>SUM(G28:G29)</f>
        <v>5</v>
      </c>
      <c r="H30" s="102"/>
      <c r="I30" s="102"/>
      <c r="J30" s="102"/>
      <c r="K30" s="102">
        <f>SUM(K28:K29)</f>
        <v>79.62</v>
      </c>
      <c r="L30" s="63"/>
      <c r="M30" s="63"/>
      <c r="N30" s="63"/>
      <c r="O30" s="64"/>
      <c r="P30" s="108">
        <f t="shared" ref="P30:Y30" si="19">SUM(P28:P29)</f>
        <v>0</v>
      </c>
      <c r="Q30" s="106">
        <f t="shared" si="19"/>
        <v>48.906585</v>
      </c>
      <c r="R30" s="65">
        <f t="shared" si="19"/>
        <v>0</v>
      </c>
      <c r="S30" s="65">
        <f t="shared" si="19"/>
        <v>0</v>
      </c>
      <c r="T30" s="65">
        <f t="shared" si="19"/>
        <v>11.55</v>
      </c>
      <c r="U30" s="65">
        <f t="shared" si="19"/>
        <v>40</v>
      </c>
      <c r="V30" s="65">
        <f t="shared" si="19"/>
        <v>0</v>
      </c>
      <c r="W30" s="65">
        <f t="shared" si="19"/>
        <v>0</v>
      </c>
      <c r="X30" s="65">
        <f t="shared" si="19"/>
        <v>191.5</v>
      </c>
      <c r="Y30" s="65">
        <f t="shared" si="19"/>
        <v>955.44</v>
      </c>
      <c r="AA30" s="98"/>
      <c r="AB30" s="98"/>
      <c r="AC30" s="98"/>
      <c r="AD30" s="98"/>
      <c r="AE30" s="98"/>
    </row>
    <row r="31" spans="1:31" ht="15.9" customHeight="1">
      <c r="A31" s="50" t="s">
        <v>80</v>
      </c>
      <c r="K31" s="45"/>
      <c r="L31" s="45"/>
      <c r="M31" s="45"/>
      <c r="N31" s="45"/>
      <c r="X31" s="46"/>
      <c r="Y31" s="80" t="s">
        <v>86</v>
      </c>
    </row>
    <row r="32" spans="1:31" s="89" customFormat="1" ht="42">
      <c r="A32" s="84" t="s">
        <v>4</v>
      </c>
      <c r="B32" s="85" t="s">
        <v>5</v>
      </c>
      <c r="C32" s="85" t="s">
        <v>23</v>
      </c>
      <c r="D32" s="85" t="s">
        <v>45</v>
      </c>
      <c r="E32" s="85" t="s">
        <v>46</v>
      </c>
      <c r="F32" s="85" t="s">
        <v>6</v>
      </c>
      <c r="G32" s="85" t="s">
        <v>7</v>
      </c>
      <c r="H32" s="86" t="s">
        <v>8</v>
      </c>
      <c r="I32" s="86" t="s">
        <v>47</v>
      </c>
      <c r="J32" s="86" t="s">
        <v>9</v>
      </c>
      <c r="K32" s="87" t="s">
        <v>14</v>
      </c>
      <c r="L32" s="87" t="s">
        <v>20</v>
      </c>
      <c r="M32" s="87" t="s">
        <v>22</v>
      </c>
      <c r="N32" s="87" t="s">
        <v>21</v>
      </c>
      <c r="O32" s="88" t="s">
        <v>10</v>
      </c>
      <c r="P32" s="88" t="s">
        <v>49</v>
      </c>
      <c r="Q32" s="104" t="s">
        <v>62</v>
      </c>
      <c r="R32" s="43" t="s">
        <v>50</v>
      </c>
      <c r="S32" s="43" t="s">
        <v>55</v>
      </c>
      <c r="T32" s="43" t="s">
        <v>69</v>
      </c>
      <c r="U32" s="43" t="s">
        <v>13</v>
      </c>
      <c r="V32" s="43" t="s">
        <v>52</v>
      </c>
      <c r="W32" s="43" t="s">
        <v>48</v>
      </c>
      <c r="X32" s="43" t="s">
        <v>15</v>
      </c>
      <c r="Y32" s="47" t="s">
        <v>12</v>
      </c>
    </row>
    <row r="33" spans="1:31" s="27" customFormat="1" ht="42.5" thickBot="1">
      <c r="A33" s="91" t="s">
        <v>88</v>
      </c>
      <c r="B33" s="90" t="s">
        <v>89</v>
      </c>
      <c r="C33" s="90"/>
      <c r="D33" s="90"/>
      <c r="E33" s="90"/>
      <c r="F33" s="90" t="s">
        <v>74</v>
      </c>
      <c r="G33" s="92">
        <v>1</v>
      </c>
      <c r="H33" s="100">
        <v>16.809999999999999</v>
      </c>
      <c r="I33" s="100">
        <v>0</v>
      </c>
      <c r="J33" s="100">
        <v>0</v>
      </c>
      <c r="K33" s="101">
        <f>H33-I33-J33</f>
        <v>16.809999999999999</v>
      </c>
      <c r="L33" s="94" t="s">
        <v>75</v>
      </c>
      <c r="M33" s="94" t="s">
        <v>77</v>
      </c>
      <c r="N33" s="95" t="s">
        <v>90</v>
      </c>
      <c r="O33" s="103">
        <v>12</v>
      </c>
      <c r="P33" s="107"/>
      <c r="Q33" s="105">
        <f>K33*IF(LEFT(F33,3)="10K",0.417*1.07,IF(LEFT(F33,3)="14K",0.585*1.05,IF(LEFT(F33,3)="18K",0.75*1.05,0)))</f>
        <v>10.325542499999999</v>
      </c>
      <c r="R33" s="34"/>
      <c r="S33" s="34"/>
      <c r="T33" s="34">
        <f>G33*0.035*(66+5)</f>
        <v>2.4850000000000003</v>
      </c>
      <c r="U33" s="34">
        <f>G33*8</f>
        <v>8</v>
      </c>
      <c r="V33" s="34">
        <f>IF(RIGHT(F33,2)="WG",K33*$AA$4,IF(OR(RIGHT(F33,3)="WRG",RIGHT(F33,3)="WYG",RIGHT(F33,3)="WYR"),K33*$AA$4+3*G33,0))</f>
        <v>0</v>
      </c>
      <c r="W33" s="34"/>
      <c r="X33" s="34">
        <f>G33*(66*0.3+5*4)</f>
        <v>39.799999999999997</v>
      </c>
      <c r="Y33" s="34">
        <f t="shared" ref="Y33" si="20">K33*O33</f>
        <v>201.71999999999997</v>
      </c>
      <c r="Z33" s="27">
        <f>2*K33</f>
        <v>33.619999999999997</v>
      </c>
      <c r="AA33" s="97">
        <f>(SUM(R33:X33)+AE33)-Z33</f>
        <v>184.76499999999999</v>
      </c>
      <c r="AB33" s="97">
        <f>Q33*$AB$13+P33*$AB$14</f>
        <v>743.43905999999993</v>
      </c>
      <c r="AC33" s="97">
        <f t="shared" ref="AC33" si="21">SUM(AA33:AB33)</f>
        <v>928.20405999999991</v>
      </c>
      <c r="AD33" s="27">
        <v>10</v>
      </c>
      <c r="AE33" s="27">
        <f>IF(AD33&gt;0,AD33*K33,Y33)</f>
        <v>168.1</v>
      </c>
    </row>
    <row r="34" spans="1:31" s="28" customFormat="1" ht="15.9" customHeight="1">
      <c r="A34" s="83" t="s">
        <v>81</v>
      </c>
      <c r="B34" s="61"/>
      <c r="C34" s="61"/>
      <c r="D34" s="61"/>
      <c r="E34" s="61"/>
      <c r="F34" s="61"/>
      <c r="G34" s="62">
        <f>SUM(G33:G33)</f>
        <v>1</v>
      </c>
      <c r="H34" s="102"/>
      <c r="I34" s="102"/>
      <c r="J34" s="102"/>
      <c r="K34" s="102">
        <f>SUM(K33:K33)</f>
        <v>16.809999999999999</v>
      </c>
      <c r="L34" s="63"/>
      <c r="M34" s="63"/>
      <c r="N34" s="63"/>
      <c r="O34" s="64"/>
      <c r="P34" s="108">
        <f t="shared" ref="P34:Y34" si="22">SUM(P33:P33)</f>
        <v>0</v>
      </c>
      <c r="Q34" s="106">
        <f t="shared" si="22"/>
        <v>10.325542499999999</v>
      </c>
      <c r="R34" s="65">
        <f t="shared" si="22"/>
        <v>0</v>
      </c>
      <c r="S34" s="65">
        <f t="shared" si="22"/>
        <v>0</v>
      </c>
      <c r="T34" s="65">
        <f t="shared" si="22"/>
        <v>2.4850000000000003</v>
      </c>
      <c r="U34" s="65">
        <f t="shared" si="22"/>
        <v>8</v>
      </c>
      <c r="V34" s="65">
        <f t="shared" si="22"/>
        <v>0</v>
      </c>
      <c r="W34" s="65">
        <f t="shared" si="22"/>
        <v>0</v>
      </c>
      <c r="X34" s="65">
        <f t="shared" si="22"/>
        <v>39.799999999999997</v>
      </c>
      <c r="Y34" s="65">
        <f t="shared" si="22"/>
        <v>201.71999999999997</v>
      </c>
      <c r="AA34" s="98"/>
      <c r="AB34" s="98"/>
      <c r="AC34" s="98"/>
      <c r="AD34" s="98"/>
      <c r="AE34" s="98"/>
    </row>
    <row r="35" spans="1:31" ht="15.9" customHeight="1">
      <c r="A35" s="50" t="s">
        <v>91</v>
      </c>
      <c r="K35" s="45"/>
      <c r="L35" s="45"/>
      <c r="M35" s="45"/>
      <c r="N35" s="45"/>
      <c r="X35" s="46"/>
      <c r="Y35" s="80" t="s">
        <v>86</v>
      </c>
    </row>
    <row r="36" spans="1:31" s="89" customFormat="1" ht="42">
      <c r="A36" s="84" t="s">
        <v>4</v>
      </c>
      <c r="B36" s="85" t="s">
        <v>5</v>
      </c>
      <c r="C36" s="85" t="s">
        <v>23</v>
      </c>
      <c r="D36" s="85" t="s">
        <v>45</v>
      </c>
      <c r="E36" s="85" t="s">
        <v>46</v>
      </c>
      <c r="F36" s="85" t="s">
        <v>6</v>
      </c>
      <c r="G36" s="85" t="s">
        <v>7</v>
      </c>
      <c r="H36" s="86" t="s">
        <v>8</v>
      </c>
      <c r="I36" s="86" t="s">
        <v>47</v>
      </c>
      <c r="J36" s="86" t="s">
        <v>9</v>
      </c>
      <c r="K36" s="87" t="s">
        <v>14</v>
      </c>
      <c r="L36" s="87" t="s">
        <v>20</v>
      </c>
      <c r="M36" s="87" t="s">
        <v>22</v>
      </c>
      <c r="N36" s="87" t="s">
        <v>21</v>
      </c>
      <c r="O36" s="88" t="s">
        <v>10</v>
      </c>
      <c r="P36" s="88" t="s">
        <v>49</v>
      </c>
      <c r="Q36" s="104" t="s">
        <v>62</v>
      </c>
      <c r="R36" s="43" t="s">
        <v>50</v>
      </c>
      <c r="S36" s="43" t="s">
        <v>55</v>
      </c>
      <c r="T36" s="43" t="s">
        <v>69</v>
      </c>
      <c r="U36" s="43" t="s">
        <v>13</v>
      </c>
      <c r="V36" s="43" t="s">
        <v>52</v>
      </c>
      <c r="W36" s="43" t="s">
        <v>48</v>
      </c>
      <c r="X36" s="43" t="s">
        <v>15</v>
      </c>
      <c r="Y36" s="47" t="s">
        <v>12</v>
      </c>
    </row>
    <row r="37" spans="1:31" s="27" customFormat="1" ht="112.5" thickBot="1">
      <c r="A37" s="91" t="s">
        <v>92</v>
      </c>
      <c r="B37" s="93" t="s">
        <v>96</v>
      </c>
      <c r="C37" s="93"/>
      <c r="D37" s="93"/>
      <c r="E37" s="90"/>
      <c r="F37" s="90" t="s">
        <v>74</v>
      </c>
      <c r="G37" s="92">
        <v>1</v>
      </c>
      <c r="H37" s="100">
        <v>9.3000000000000007</v>
      </c>
      <c r="I37" s="100">
        <v>0</v>
      </c>
      <c r="J37" s="100">
        <v>0</v>
      </c>
      <c r="K37" s="101">
        <f t="shared" ref="K37" si="23">H37-I37-J37</f>
        <v>9.3000000000000007</v>
      </c>
      <c r="L37" s="94" t="s">
        <v>93</v>
      </c>
      <c r="M37" s="94" t="s">
        <v>94</v>
      </c>
      <c r="N37" s="95" t="s">
        <v>95</v>
      </c>
      <c r="O37" s="103">
        <v>9.25</v>
      </c>
      <c r="P37" s="107"/>
      <c r="Q37" s="105">
        <f t="shared" ref="Q37" si="24">K37*IF(LEFT(F37,3)="10K",0.417*1.07,IF(LEFT(F37,3)="14K",0.585*1.05,IF(LEFT(F37,3)="18K",0.75*1.05,0)))</f>
        <v>5.7125250000000003</v>
      </c>
      <c r="R37" s="34"/>
      <c r="S37" s="34"/>
      <c r="T37" s="34"/>
      <c r="U37" s="34">
        <f>G37*2.3</f>
        <v>2.2999999999999998</v>
      </c>
      <c r="V37" s="34"/>
      <c r="W37" s="34"/>
      <c r="X37" s="34"/>
      <c r="Y37" s="34">
        <f t="shared" ref="Y37" si="25">K37*O37</f>
        <v>86.025000000000006</v>
      </c>
      <c r="Z37" s="27">
        <f>2*K37</f>
        <v>18.600000000000001</v>
      </c>
      <c r="AA37" s="97">
        <f>(SUM(R37:X37)+AE37)-Z37</f>
        <v>69.724999999999994</v>
      </c>
      <c r="AB37" s="97">
        <f>Q37*$AB$13+P37*$AB$14</f>
        <v>411.30180000000001</v>
      </c>
      <c r="AC37" s="97">
        <f t="shared" ref="AC37" si="26">SUM(AA37:AB37)</f>
        <v>481.02679999999998</v>
      </c>
      <c r="AE37" s="27">
        <f>IF(AD37&gt;0,AD37*K37,Y37)</f>
        <v>86.025000000000006</v>
      </c>
    </row>
    <row r="38" spans="1:31" s="28" customFormat="1" ht="15.9" customHeight="1">
      <c r="A38" s="83" t="s">
        <v>81</v>
      </c>
      <c r="B38" s="61"/>
      <c r="C38" s="61"/>
      <c r="D38" s="61"/>
      <c r="E38" s="61"/>
      <c r="F38" s="61"/>
      <c r="G38" s="62">
        <f>SUM(G37:G37)</f>
        <v>1</v>
      </c>
      <c r="H38" s="102"/>
      <c r="I38" s="102"/>
      <c r="J38" s="102"/>
      <c r="K38" s="102">
        <f>SUM(K37:K37)</f>
        <v>9.3000000000000007</v>
      </c>
      <c r="L38" s="63"/>
      <c r="M38" s="63"/>
      <c r="N38" s="63"/>
      <c r="O38" s="64"/>
      <c r="P38" s="108">
        <f t="shared" ref="P38:Y38" si="27">SUM(P37:P37)</f>
        <v>0</v>
      </c>
      <c r="Q38" s="106">
        <f t="shared" si="27"/>
        <v>5.7125250000000003</v>
      </c>
      <c r="R38" s="65">
        <f t="shared" si="27"/>
        <v>0</v>
      </c>
      <c r="S38" s="65">
        <f t="shared" si="27"/>
        <v>0</v>
      </c>
      <c r="T38" s="65">
        <f t="shared" si="27"/>
        <v>0</v>
      </c>
      <c r="U38" s="65">
        <f t="shared" si="27"/>
        <v>2.2999999999999998</v>
      </c>
      <c r="V38" s="65">
        <f t="shared" si="27"/>
        <v>0</v>
      </c>
      <c r="W38" s="65">
        <f t="shared" si="27"/>
        <v>0</v>
      </c>
      <c r="X38" s="65">
        <f t="shared" si="27"/>
        <v>0</v>
      </c>
      <c r="Y38" s="65">
        <f t="shared" si="27"/>
        <v>86.025000000000006</v>
      </c>
      <c r="AA38" s="98"/>
      <c r="AB38" s="98"/>
      <c r="AC38" s="98"/>
      <c r="AD38" s="98"/>
      <c r="AE38" s="98"/>
    </row>
    <row r="39" spans="1:31" ht="15.9" customHeight="1">
      <c r="A39" s="50" t="s">
        <v>80</v>
      </c>
      <c r="K39" s="45"/>
      <c r="L39" s="45"/>
      <c r="M39" s="45"/>
      <c r="N39" s="45"/>
      <c r="X39" s="46"/>
      <c r="Y39" s="80" t="s">
        <v>86</v>
      </c>
    </row>
    <row r="40" spans="1:31" s="89" customFormat="1" ht="42">
      <c r="A40" s="84" t="s">
        <v>4</v>
      </c>
      <c r="B40" s="85" t="s">
        <v>5</v>
      </c>
      <c r="C40" s="85" t="s">
        <v>23</v>
      </c>
      <c r="D40" s="85" t="s">
        <v>45</v>
      </c>
      <c r="E40" s="85" t="s">
        <v>46</v>
      </c>
      <c r="F40" s="85" t="s">
        <v>6</v>
      </c>
      <c r="G40" s="85" t="s">
        <v>7</v>
      </c>
      <c r="H40" s="86" t="s">
        <v>8</v>
      </c>
      <c r="I40" s="86" t="s">
        <v>47</v>
      </c>
      <c r="J40" s="86" t="s">
        <v>9</v>
      </c>
      <c r="K40" s="87" t="s">
        <v>14</v>
      </c>
      <c r="L40" s="87" t="s">
        <v>20</v>
      </c>
      <c r="M40" s="87" t="s">
        <v>22</v>
      </c>
      <c r="N40" s="87" t="s">
        <v>21</v>
      </c>
      <c r="O40" s="88" t="s">
        <v>10</v>
      </c>
      <c r="P40" s="88" t="s">
        <v>49</v>
      </c>
      <c r="Q40" s="104" t="s">
        <v>62</v>
      </c>
      <c r="R40" s="43" t="s">
        <v>50</v>
      </c>
      <c r="S40" s="43" t="s">
        <v>55</v>
      </c>
      <c r="T40" s="43" t="s">
        <v>69</v>
      </c>
      <c r="U40" s="43" t="s">
        <v>13</v>
      </c>
      <c r="V40" s="43" t="s">
        <v>52</v>
      </c>
      <c r="W40" s="43" t="s">
        <v>48</v>
      </c>
      <c r="X40" s="43" t="s">
        <v>15</v>
      </c>
      <c r="Y40" s="47" t="s">
        <v>12</v>
      </c>
    </row>
    <row r="41" spans="1:31" s="27" customFormat="1" ht="28">
      <c r="A41" s="91" t="s">
        <v>100</v>
      </c>
      <c r="B41" s="90" t="s">
        <v>101</v>
      </c>
      <c r="C41" s="90"/>
      <c r="D41" s="90"/>
      <c r="E41" s="90"/>
      <c r="F41" s="90" t="s">
        <v>74</v>
      </c>
      <c r="G41" s="131">
        <v>3</v>
      </c>
      <c r="H41" s="132">
        <v>21.41</v>
      </c>
      <c r="I41" s="132">
        <v>0.30000000000000004</v>
      </c>
      <c r="J41" s="132">
        <v>1.32</v>
      </c>
      <c r="K41" s="133">
        <f>H41-I41-J41</f>
        <v>19.79</v>
      </c>
      <c r="L41" s="94">
        <v>1.8</v>
      </c>
      <c r="M41" s="94" t="s">
        <v>99</v>
      </c>
      <c r="N41" s="95">
        <v>20</v>
      </c>
      <c r="O41" s="103">
        <v>10.25</v>
      </c>
      <c r="P41" s="107">
        <v>1.5099999999999998</v>
      </c>
      <c r="Q41" s="105">
        <f>K41*IF(LEFT(F41,3)="10K",0.417*1.07,IF(LEFT(F41,3)="14K",0.585*1.05,IF(LEFT(F41,3)="18K",0.75*1.05,0)))</f>
        <v>12.156007499999999</v>
      </c>
      <c r="R41" s="34"/>
      <c r="S41" s="34"/>
      <c r="T41" s="34">
        <f>G41*0.035*N41</f>
        <v>2.1</v>
      </c>
      <c r="U41" s="34">
        <f>G41*2.3</f>
        <v>6.8999999999999995</v>
      </c>
      <c r="V41" s="34">
        <f t="shared" ref="V41:V45" si="28">IF(RIGHT(F41,2)="WG",K41*$AA$4,IF(OR(RIGHT(F41,3)="WRG",RIGHT(F41,3)="WYG",RIGHT(F41,3)="WYR"),K41*$AA$4+3*G41,0))</f>
        <v>0</v>
      </c>
      <c r="W41" s="34"/>
      <c r="X41" s="34">
        <f>G41*N41*1</f>
        <v>60</v>
      </c>
      <c r="Y41" s="34">
        <f t="shared" ref="Y41:Y45" si="29">K41*O41</f>
        <v>202.8475</v>
      </c>
      <c r="Z41" s="27">
        <f t="shared" ref="Z41:Z45" si="30">2*K41</f>
        <v>39.58</v>
      </c>
      <c r="AA41" s="97">
        <f t="shared" ref="AA41:AA45" si="31">(SUM(R41:X41)+AE41)-Z41</f>
        <v>232.26749999999998</v>
      </c>
      <c r="AB41" s="97">
        <f t="shared" ref="AB41:AB45" si="32">Q41*$AB$13+P41*$AB$14</f>
        <v>1126.75324</v>
      </c>
      <c r="AC41" s="97">
        <f t="shared" ref="AC41" si="33">SUM(AA41:AB41)</f>
        <v>1359.0207399999999</v>
      </c>
      <c r="AE41" s="27">
        <f t="shared" ref="AE41:AE45" si="34">IF(AD41&gt;0,AD41*K41,Y41)</f>
        <v>202.8475</v>
      </c>
    </row>
    <row r="42" spans="1:31" s="27" customFormat="1" ht="28">
      <c r="A42" s="91">
        <v>2</v>
      </c>
      <c r="B42" s="93" t="s">
        <v>102</v>
      </c>
      <c r="C42" s="93"/>
      <c r="D42" s="93"/>
      <c r="E42" s="90"/>
      <c r="F42" s="90" t="s">
        <v>98</v>
      </c>
      <c r="G42" s="131">
        <v>1</v>
      </c>
      <c r="H42" s="132">
        <v>10.24</v>
      </c>
      <c r="I42" s="132">
        <v>0.71</v>
      </c>
      <c r="J42" s="132">
        <v>0.44</v>
      </c>
      <c r="K42" s="133">
        <f t="shared" ref="K42:K45" si="35">H42-I42-J42</f>
        <v>9.0900000000000016</v>
      </c>
      <c r="L42" s="94">
        <v>3.45</v>
      </c>
      <c r="M42" s="94" t="s">
        <v>99</v>
      </c>
      <c r="N42" s="95">
        <v>22</v>
      </c>
      <c r="O42" s="103">
        <v>9.25</v>
      </c>
      <c r="P42" s="107">
        <v>3.56</v>
      </c>
      <c r="Q42" s="105">
        <f t="shared" ref="Q42:Q45" si="36">K42*IF(LEFT(F42,3)="10K",0.417*1.07,IF(LEFT(F42,3)="14K",0.585*1.05,IF(LEFT(F42,3)="18K",0.75*1.05,0)))</f>
        <v>5.5835325000000005</v>
      </c>
      <c r="R42" s="34"/>
      <c r="S42" s="34"/>
      <c r="T42" s="34">
        <f>G42*0.035*N42</f>
        <v>0.77</v>
      </c>
      <c r="U42" s="34">
        <f t="shared" ref="U42:U45" si="37">G42*2.3</f>
        <v>2.2999999999999998</v>
      </c>
      <c r="V42" s="34">
        <f t="shared" si="28"/>
        <v>2.1816000000000004</v>
      </c>
      <c r="W42" s="34"/>
      <c r="X42" s="34">
        <f>G42*N42*0.75</f>
        <v>16.5</v>
      </c>
      <c r="Y42" s="34">
        <f t="shared" si="29"/>
        <v>84.08250000000001</v>
      </c>
      <c r="Z42" s="27">
        <f t="shared" si="30"/>
        <v>18.180000000000003</v>
      </c>
      <c r="AA42" s="97">
        <f t="shared" si="31"/>
        <v>87.6541</v>
      </c>
      <c r="AB42" s="97">
        <f t="shared" si="32"/>
        <v>995.00354000000004</v>
      </c>
      <c r="AC42" s="97">
        <f t="shared" ref="AC42:AC45" si="38">SUM(AA42:AB42)</f>
        <v>1082.6576400000001</v>
      </c>
      <c r="AE42" s="27">
        <f t="shared" si="34"/>
        <v>84.08250000000001</v>
      </c>
    </row>
    <row r="43" spans="1:31" s="27" customFormat="1" ht="28">
      <c r="A43" s="91">
        <v>2</v>
      </c>
      <c r="B43" s="93" t="s">
        <v>102</v>
      </c>
      <c r="C43" s="93"/>
      <c r="D43" s="90"/>
      <c r="E43" s="90"/>
      <c r="F43" s="90" t="s">
        <v>74</v>
      </c>
      <c r="G43" s="131">
        <v>4</v>
      </c>
      <c r="H43" s="132">
        <v>41.95</v>
      </c>
      <c r="I43" s="132">
        <v>2.83</v>
      </c>
      <c r="J43" s="132">
        <v>1.76</v>
      </c>
      <c r="K43" s="133">
        <f t="shared" si="35"/>
        <v>37.360000000000007</v>
      </c>
      <c r="L43" s="94">
        <v>3.45</v>
      </c>
      <c r="M43" s="94" t="s">
        <v>99</v>
      </c>
      <c r="N43" s="95">
        <v>22</v>
      </c>
      <c r="O43" s="103">
        <v>9.25</v>
      </c>
      <c r="P43" s="107">
        <v>14.115</v>
      </c>
      <c r="Q43" s="105">
        <f t="shared" si="36"/>
        <v>22.948380000000004</v>
      </c>
      <c r="R43" s="34"/>
      <c r="S43" s="34"/>
      <c r="T43" s="34">
        <f>G43*0.035*N43</f>
        <v>3.08</v>
      </c>
      <c r="U43" s="34">
        <f t="shared" si="37"/>
        <v>9.1999999999999993</v>
      </c>
      <c r="V43" s="34">
        <f t="shared" si="28"/>
        <v>0</v>
      </c>
      <c r="W43" s="34"/>
      <c r="X43" s="34">
        <f>G43*N43*0.75</f>
        <v>66</v>
      </c>
      <c r="Y43" s="34">
        <f t="shared" si="29"/>
        <v>345.58000000000004</v>
      </c>
      <c r="Z43" s="27">
        <f t="shared" si="30"/>
        <v>74.720000000000013</v>
      </c>
      <c r="AA43" s="97">
        <f t="shared" si="31"/>
        <v>349.14</v>
      </c>
      <c r="AB43" s="97">
        <f t="shared" si="32"/>
        <v>4003.4189100000003</v>
      </c>
      <c r="AC43" s="97">
        <f t="shared" si="38"/>
        <v>4352.5589100000007</v>
      </c>
      <c r="AE43" s="27">
        <f t="shared" si="34"/>
        <v>345.58000000000004</v>
      </c>
    </row>
    <row r="44" spans="1:31" s="27" customFormat="1" ht="28">
      <c r="A44" s="91">
        <v>3</v>
      </c>
      <c r="B44" s="90" t="s">
        <v>103</v>
      </c>
      <c r="C44" s="90"/>
      <c r="D44" s="90"/>
      <c r="E44" s="90"/>
      <c r="F44" s="90" t="s">
        <v>98</v>
      </c>
      <c r="G44" s="131">
        <v>2</v>
      </c>
      <c r="H44" s="132">
        <v>15.1</v>
      </c>
      <c r="I44" s="132">
        <v>1.1200000000000001</v>
      </c>
      <c r="J44" s="132">
        <v>0.88</v>
      </c>
      <c r="K44" s="133">
        <f t="shared" si="35"/>
        <v>13.1</v>
      </c>
      <c r="L44" s="94">
        <v>3</v>
      </c>
      <c r="M44" s="94" t="s">
        <v>99</v>
      </c>
      <c r="N44" s="95">
        <v>26</v>
      </c>
      <c r="O44" s="103">
        <v>9.25</v>
      </c>
      <c r="P44" s="107">
        <v>5.57</v>
      </c>
      <c r="Q44" s="105">
        <f t="shared" si="36"/>
        <v>8.0466749999999987</v>
      </c>
      <c r="R44" s="34"/>
      <c r="S44" s="34"/>
      <c r="T44" s="34">
        <f>G44*0.035*N44</f>
        <v>1.8200000000000003</v>
      </c>
      <c r="U44" s="34">
        <f t="shared" si="37"/>
        <v>4.5999999999999996</v>
      </c>
      <c r="V44" s="34">
        <f t="shared" si="28"/>
        <v>3.1439999999999997</v>
      </c>
      <c r="W44" s="34"/>
      <c r="X44" s="34">
        <f>G44*N44*0.5</f>
        <v>26</v>
      </c>
      <c r="Y44" s="34">
        <f t="shared" si="29"/>
        <v>121.175</v>
      </c>
      <c r="Z44" s="27">
        <f t="shared" si="30"/>
        <v>26.2</v>
      </c>
      <c r="AA44" s="97">
        <f t="shared" si="31"/>
        <v>130.53900000000002</v>
      </c>
      <c r="AB44" s="97">
        <f t="shared" si="32"/>
        <v>1507.1554999999998</v>
      </c>
      <c r="AC44" s="97">
        <f t="shared" si="38"/>
        <v>1637.6944999999998</v>
      </c>
      <c r="AE44" s="27">
        <f t="shared" si="34"/>
        <v>121.175</v>
      </c>
    </row>
    <row r="45" spans="1:31" s="27" customFormat="1" ht="28.5" thickBot="1">
      <c r="A45" s="91">
        <v>3</v>
      </c>
      <c r="B45" s="90" t="s">
        <v>103</v>
      </c>
      <c r="C45" s="93"/>
      <c r="D45" s="90"/>
      <c r="E45" s="90"/>
      <c r="F45" s="90" t="s">
        <v>74</v>
      </c>
      <c r="G45" s="131">
        <v>4</v>
      </c>
      <c r="H45" s="132">
        <v>30.86</v>
      </c>
      <c r="I45" s="132">
        <v>2.29</v>
      </c>
      <c r="J45" s="132">
        <v>1.76</v>
      </c>
      <c r="K45" s="133">
        <f t="shared" si="35"/>
        <v>26.81</v>
      </c>
      <c r="L45" s="94">
        <v>3</v>
      </c>
      <c r="M45" s="94" t="s">
        <v>99</v>
      </c>
      <c r="N45" s="95">
        <v>26</v>
      </c>
      <c r="O45" s="103">
        <v>9.25</v>
      </c>
      <c r="P45" s="107">
        <v>11.420000000000002</v>
      </c>
      <c r="Q45" s="105">
        <f t="shared" si="36"/>
        <v>16.468042499999999</v>
      </c>
      <c r="R45" s="34"/>
      <c r="S45" s="34"/>
      <c r="T45" s="34">
        <f>G45*0.035*N45</f>
        <v>3.6400000000000006</v>
      </c>
      <c r="U45" s="34">
        <f t="shared" si="37"/>
        <v>9.1999999999999993</v>
      </c>
      <c r="V45" s="34">
        <f t="shared" si="28"/>
        <v>0</v>
      </c>
      <c r="W45" s="34"/>
      <c r="X45" s="34">
        <f>G45*N45*0.5</f>
        <v>52</v>
      </c>
      <c r="Y45" s="34">
        <f t="shared" si="29"/>
        <v>247.99249999999998</v>
      </c>
      <c r="Z45" s="27">
        <f t="shared" si="30"/>
        <v>53.62</v>
      </c>
      <c r="AA45" s="97">
        <f t="shared" si="31"/>
        <v>259.21249999999998</v>
      </c>
      <c r="AB45" s="97">
        <f t="shared" si="32"/>
        <v>3087.9284600000001</v>
      </c>
      <c r="AC45" s="97">
        <f t="shared" si="38"/>
        <v>3347.1409600000002</v>
      </c>
      <c r="AE45" s="27">
        <f t="shared" si="34"/>
        <v>247.99249999999998</v>
      </c>
    </row>
    <row r="46" spans="1:31" s="28" customFormat="1" ht="15.9" customHeight="1">
      <c r="A46" s="83" t="s">
        <v>81</v>
      </c>
      <c r="B46" s="61"/>
      <c r="C46" s="61"/>
      <c r="D46" s="61"/>
      <c r="E46" s="61"/>
      <c r="F46" s="61"/>
      <c r="G46" s="134">
        <f>SUM(G41:G45)</f>
        <v>14</v>
      </c>
      <c r="H46" s="135"/>
      <c r="I46" s="135"/>
      <c r="J46" s="135"/>
      <c r="K46" s="135">
        <f>SUM(K41:K45)</f>
        <v>106.15</v>
      </c>
      <c r="L46" s="63"/>
      <c r="M46" s="63"/>
      <c r="N46" s="63"/>
      <c r="O46" s="64"/>
      <c r="P46" s="108">
        <f t="shared" ref="P46:Y46" si="39">SUM(P41:P45)</f>
        <v>36.175000000000004</v>
      </c>
      <c r="Q46" s="106">
        <f t="shared" si="39"/>
        <v>65.202637500000009</v>
      </c>
      <c r="R46" s="65">
        <f t="shared" si="39"/>
        <v>0</v>
      </c>
      <c r="S46" s="65">
        <f t="shared" si="39"/>
        <v>0</v>
      </c>
      <c r="T46" s="65">
        <f t="shared" si="39"/>
        <v>11.41</v>
      </c>
      <c r="U46" s="65">
        <f t="shared" si="39"/>
        <v>32.200000000000003</v>
      </c>
      <c r="V46" s="65">
        <f t="shared" si="39"/>
        <v>5.3255999999999997</v>
      </c>
      <c r="W46" s="65">
        <f t="shared" si="39"/>
        <v>0</v>
      </c>
      <c r="X46" s="65">
        <f t="shared" si="39"/>
        <v>220.5</v>
      </c>
      <c r="Y46" s="65">
        <f t="shared" si="39"/>
        <v>1001.6774999999999</v>
      </c>
      <c r="AA46" s="98"/>
      <c r="AB46" s="98"/>
      <c r="AC46" s="98"/>
      <c r="AD46" s="98"/>
      <c r="AE46" s="98"/>
    </row>
    <row r="47" spans="1:31" ht="15.9" customHeight="1">
      <c r="A47" s="50" t="s">
        <v>91</v>
      </c>
      <c r="K47" s="45"/>
      <c r="L47" s="45"/>
      <c r="M47" s="45"/>
      <c r="N47" s="45"/>
      <c r="X47" s="46"/>
      <c r="Y47" s="80" t="s">
        <v>86</v>
      </c>
    </row>
    <row r="48" spans="1:31" s="89" customFormat="1" ht="42">
      <c r="A48" s="84" t="s">
        <v>4</v>
      </c>
      <c r="B48" s="85" t="s">
        <v>5</v>
      </c>
      <c r="C48" s="85" t="s">
        <v>23</v>
      </c>
      <c r="D48" s="85" t="s">
        <v>45</v>
      </c>
      <c r="E48" s="85" t="s">
        <v>46</v>
      </c>
      <c r="F48" s="85" t="s">
        <v>6</v>
      </c>
      <c r="G48" s="85" t="s">
        <v>7</v>
      </c>
      <c r="H48" s="86" t="s">
        <v>8</v>
      </c>
      <c r="I48" s="86" t="s">
        <v>47</v>
      </c>
      <c r="J48" s="86" t="s">
        <v>9</v>
      </c>
      <c r="K48" s="87" t="s">
        <v>14</v>
      </c>
      <c r="L48" s="87" t="s">
        <v>20</v>
      </c>
      <c r="M48" s="87" t="s">
        <v>22</v>
      </c>
      <c r="N48" s="87" t="s">
        <v>21</v>
      </c>
      <c r="O48" s="88" t="s">
        <v>10</v>
      </c>
      <c r="P48" s="88" t="s">
        <v>49</v>
      </c>
      <c r="Q48" s="104" t="s">
        <v>62</v>
      </c>
      <c r="R48" s="43" t="s">
        <v>50</v>
      </c>
      <c r="S48" s="43" t="s">
        <v>55</v>
      </c>
      <c r="T48" s="43" t="s">
        <v>69</v>
      </c>
      <c r="U48" s="43" t="s">
        <v>13</v>
      </c>
      <c r="V48" s="43" t="s">
        <v>52</v>
      </c>
      <c r="W48" s="43" t="s">
        <v>48</v>
      </c>
      <c r="X48" s="43" t="s">
        <v>15</v>
      </c>
      <c r="Y48" s="47" t="s">
        <v>12</v>
      </c>
    </row>
    <row r="49" spans="1:31" s="27" customFormat="1" ht="28">
      <c r="A49" s="91" t="s">
        <v>104</v>
      </c>
      <c r="B49" s="90" t="s">
        <v>97</v>
      </c>
      <c r="C49" s="90"/>
      <c r="D49" s="90"/>
      <c r="E49" s="90"/>
      <c r="F49" s="90" t="s">
        <v>105</v>
      </c>
      <c r="G49" s="92">
        <v>1</v>
      </c>
      <c r="H49" s="100">
        <v>8.31</v>
      </c>
      <c r="I49" s="100">
        <v>0</v>
      </c>
      <c r="J49" s="100">
        <v>0</v>
      </c>
      <c r="K49" s="101">
        <f>H49-I49-J49</f>
        <v>8.31</v>
      </c>
      <c r="L49" s="94">
        <v>2</v>
      </c>
      <c r="M49" s="94"/>
      <c r="N49" s="95">
        <v>62</v>
      </c>
      <c r="O49" s="103">
        <v>9.5</v>
      </c>
      <c r="P49" s="107"/>
      <c r="Q49" s="105">
        <f>K49*IF(LEFT(F49,3)="10K",0.417*1.07,IF(LEFT(F49,3)="14K",0.585*1.05,IF(LEFT(F49,3)="18K",0.75*1.05,0)))</f>
        <v>6.5441250000000011</v>
      </c>
      <c r="R49" s="34"/>
      <c r="S49" s="34"/>
      <c r="T49" s="34"/>
      <c r="U49" s="34"/>
      <c r="V49" s="34"/>
      <c r="W49" s="34"/>
      <c r="X49" s="34"/>
      <c r="Y49" s="34">
        <f t="shared" ref="Y49:Y51" si="40">K49*O49</f>
        <v>78.945000000000007</v>
      </c>
      <c r="Z49" s="27">
        <f t="shared" ref="Z49:Z51" si="41">2*K49</f>
        <v>16.62</v>
      </c>
      <c r="AA49" s="97">
        <f t="shared" ref="AA49:AA51" si="42">(SUM(R49:X49)+AE49)-Z49</f>
        <v>62.325000000000003</v>
      </c>
      <c r="AB49" s="97">
        <f t="shared" ref="AB49:AB51" si="43">Q49*$AB$13+P49*$AB$14</f>
        <v>471.17700000000008</v>
      </c>
      <c r="AC49" s="97">
        <f t="shared" ref="AC49" si="44">SUM(AA49:AB49)</f>
        <v>533.50200000000007</v>
      </c>
      <c r="AE49" s="27">
        <f t="shared" ref="AE49:AE51" si="45">IF(AD49&gt;0,AD49*K49,Y49)</f>
        <v>78.945000000000007</v>
      </c>
    </row>
    <row r="50" spans="1:31" s="27" customFormat="1" ht="28">
      <c r="A50" s="91">
        <v>2</v>
      </c>
      <c r="B50" s="93" t="s">
        <v>106</v>
      </c>
      <c r="C50" s="93"/>
      <c r="D50" s="93"/>
      <c r="E50" s="90"/>
      <c r="F50" s="90" t="s">
        <v>105</v>
      </c>
      <c r="G50" s="92">
        <v>1</v>
      </c>
      <c r="H50" s="100">
        <v>8.86</v>
      </c>
      <c r="I50" s="100">
        <v>0</v>
      </c>
      <c r="J50" s="100">
        <v>0</v>
      </c>
      <c r="K50" s="101">
        <f t="shared" ref="K50:K51" si="46">H50-I50-J50</f>
        <v>8.86</v>
      </c>
      <c r="L50" s="94">
        <v>2.25</v>
      </c>
      <c r="M50" s="94"/>
      <c r="N50" s="95">
        <v>56</v>
      </c>
      <c r="O50" s="103">
        <v>9</v>
      </c>
      <c r="P50" s="107"/>
      <c r="Q50" s="105">
        <f t="shared" ref="Q50:Q51" si="47">K50*IF(LEFT(F50,3)="10K",0.417*1.07,IF(LEFT(F50,3)="14K",0.585*1.05,IF(LEFT(F50,3)="18K",0.75*1.05,0)))</f>
        <v>6.9772500000000006</v>
      </c>
      <c r="R50" s="34"/>
      <c r="S50" s="34"/>
      <c r="T50" s="34"/>
      <c r="U50" s="34"/>
      <c r="V50" s="34"/>
      <c r="W50" s="34"/>
      <c r="X50" s="34"/>
      <c r="Y50" s="34">
        <f t="shared" si="40"/>
        <v>79.739999999999995</v>
      </c>
      <c r="Z50" s="27">
        <f t="shared" si="41"/>
        <v>17.72</v>
      </c>
      <c r="AA50" s="97">
        <f t="shared" si="42"/>
        <v>62.019999999999996</v>
      </c>
      <c r="AB50" s="97">
        <f t="shared" si="43"/>
        <v>502.36200000000002</v>
      </c>
      <c r="AC50" s="97">
        <f t="shared" ref="AC50:AC51" si="48">SUM(AA50:AB50)</f>
        <v>564.38200000000006</v>
      </c>
      <c r="AE50" s="27">
        <f t="shared" si="45"/>
        <v>79.739999999999995</v>
      </c>
    </row>
    <row r="51" spans="1:31" s="27" customFormat="1" ht="28.5" thickBot="1">
      <c r="A51" s="91">
        <v>3</v>
      </c>
      <c r="B51" s="93" t="s">
        <v>107</v>
      </c>
      <c r="C51" s="93"/>
      <c r="D51" s="90"/>
      <c r="E51" s="90"/>
      <c r="F51" s="90" t="s">
        <v>105</v>
      </c>
      <c r="G51" s="92">
        <v>1</v>
      </c>
      <c r="H51" s="100">
        <v>8.44</v>
      </c>
      <c r="I51" s="100">
        <v>0</v>
      </c>
      <c r="J51" s="100">
        <v>0</v>
      </c>
      <c r="K51" s="101">
        <f t="shared" si="46"/>
        <v>8.44</v>
      </c>
      <c r="L51" s="94">
        <v>2.5</v>
      </c>
      <c r="M51" s="94"/>
      <c r="N51" s="95">
        <v>52</v>
      </c>
      <c r="O51" s="103">
        <v>9</v>
      </c>
      <c r="P51" s="107"/>
      <c r="Q51" s="105">
        <f t="shared" si="47"/>
        <v>6.6465000000000005</v>
      </c>
      <c r="R51" s="34"/>
      <c r="S51" s="34"/>
      <c r="T51" s="34"/>
      <c r="U51" s="34"/>
      <c r="V51" s="34"/>
      <c r="W51" s="34"/>
      <c r="X51" s="34"/>
      <c r="Y51" s="34">
        <f t="shared" si="40"/>
        <v>75.959999999999994</v>
      </c>
      <c r="Z51" s="27">
        <f t="shared" si="41"/>
        <v>16.88</v>
      </c>
      <c r="AA51" s="97">
        <f t="shared" si="42"/>
        <v>59.08</v>
      </c>
      <c r="AB51" s="97">
        <f t="shared" si="43"/>
        <v>478.54800000000006</v>
      </c>
      <c r="AC51" s="97">
        <f t="shared" si="48"/>
        <v>537.62800000000004</v>
      </c>
      <c r="AE51" s="27">
        <f t="shared" si="45"/>
        <v>75.959999999999994</v>
      </c>
    </row>
    <row r="52" spans="1:31" s="28" customFormat="1" ht="15.9" customHeight="1">
      <c r="A52" s="83" t="s">
        <v>81</v>
      </c>
      <c r="B52" s="61"/>
      <c r="C52" s="61"/>
      <c r="D52" s="61"/>
      <c r="E52" s="61"/>
      <c r="F52" s="61"/>
      <c r="G52" s="62">
        <f>SUM(G49:G51)</f>
        <v>3</v>
      </c>
      <c r="H52" s="102"/>
      <c r="I52" s="102"/>
      <c r="J52" s="102"/>
      <c r="K52" s="102">
        <f>SUM(K49:K51)</f>
        <v>25.61</v>
      </c>
      <c r="L52" s="63"/>
      <c r="M52" s="63"/>
      <c r="N52" s="63"/>
      <c r="O52" s="64"/>
      <c r="P52" s="108">
        <f t="shared" ref="P52:Y52" si="49">SUM(P49:P51)</f>
        <v>0</v>
      </c>
      <c r="Q52" s="106">
        <f t="shared" si="49"/>
        <v>20.167875000000002</v>
      </c>
      <c r="R52" s="65">
        <f t="shared" si="49"/>
        <v>0</v>
      </c>
      <c r="S52" s="65">
        <f t="shared" si="49"/>
        <v>0</v>
      </c>
      <c r="T52" s="65">
        <f t="shared" si="49"/>
        <v>0</v>
      </c>
      <c r="U52" s="65">
        <f t="shared" si="49"/>
        <v>0</v>
      </c>
      <c r="V52" s="65">
        <f t="shared" si="49"/>
        <v>0</v>
      </c>
      <c r="W52" s="65">
        <f t="shared" si="49"/>
        <v>0</v>
      </c>
      <c r="X52" s="65">
        <f t="shared" si="49"/>
        <v>0</v>
      </c>
      <c r="Y52" s="65">
        <f t="shared" si="49"/>
        <v>234.64499999999998</v>
      </c>
      <c r="AA52" s="98">
        <f>SUM(AA16:AA51)</f>
        <v>5426.2981</v>
      </c>
      <c r="AB52" s="98">
        <f>SUM(AB16:AB51)</f>
        <v>28754.900220000003</v>
      </c>
      <c r="AC52" s="98">
        <f>SUM(AC16:AC51)</f>
        <v>34181.198319999996</v>
      </c>
      <c r="AD52" s="98"/>
      <c r="AE52" s="98">
        <f>SUM(AE16:AE51)</f>
        <v>5062.7275</v>
      </c>
    </row>
    <row r="53" spans="1:31" s="28" customFormat="1" ht="15.9" customHeight="1">
      <c r="A53" s="122" t="s">
        <v>54</v>
      </c>
      <c r="B53" s="123"/>
      <c r="C53" s="123"/>
      <c r="D53" s="123"/>
      <c r="E53" s="123"/>
      <c r="F53" s="123"/>
      <c r="G53" s="124">
        <f>SUM(G52,G46,G38,G34,G30,G25,G18)</f>
        <v>40</v>
      </c>
      <c r="H53" s="125"/>
      <c r="I53" s="125"/>
      <c r="J53" s="125"/>
      <c r="K53" s="125">
        <f>SUM(K52,K46,K38,K34,K30,K25,K18)</f>
        <v>489.63000000000005</v>
      </c>
      <c r="L53" s="126"/>
      <c r="M53" s="126"/>
      <c r="N53" s="126"/>
      <c r="O53" s="127"/>
      <c r="P53" s="128">
        <f t="shared" ref="P53:Y53" si="50">SUM(P52,P46,P38,P34,P30,P25,P18)</f>
        <v>40.710000000000008</v>
      </c>
      <c r="Q53" s="129">
        <f t="shared" si="50"/>
        <v>305.19216</v>
      </c>
      <c r="R53" s="130">
        <f t="shared" si="50"/>
        <v>0</v>
      </c>
      <c r="S53" s="130">
        <f t="shared" si="50"/>
        <v>0</v>
      </c>
      <c r="T53" s="130">
        <f t="shared" si="50"/>
        <v>62.405000000000001</v>
      </c>
      <c r="U53" s="130">
        <f t="shared" si="50"/>
        <v>210.5</v>
      </c>
      <c r="V53" s="130">
        <f t="shared" si="50"/>
        <v>5.3255999999999997</v>
      </c>
      <c r="W53" s="130">
        <f t="shared" si="50"/>
        <v>0</v>
      </c>
      <c r="X53" s="130">
        <f t="shared" si="50"/>
        <v>1064.5999999999999</v>
      </c>
      <c r="Y53" s="130">
        <f t="shared" si="50"/>
        <v>5505.1875</v>
      </c>
      <c r="AA53" s="98"/>
      <c r="AB53" s="98"/>
      <c r="AC53" s="98"/>
      <c r="AD53" s="98"/>
      <c r="AE53" s="98"/>
    </row>
    <row r="54" spans="1:31" s="28" customFormat="1" ht="15.9" customHeight="1" thickBot="1">
      <c r="A54" s="66"/>
      <c r="B54" s="67"/>
      <c r="C54" s="67"/>
      <c r="D54" s="67"/>
      <c r="E54" s="67"/>
      <c r="F54" s="67"/>
      <c r="G54" s="67"/>
      <c r="H54" s="67"/>
      <c r="I54" s="67"/>
      <c r="J54" s="56"/>
      <c r="K54" s="57"/>
      <c r="L54" s="57"/>
      <c r="M54" s="57"/>
      <c r="N54" s="57"/>
      <c r="O54" s="58"/>
      <c r="P54" s="58"/>
      <c r="Q54" s="58"/>
      <c r="R54" s="59"/>
      <c r="S54" s="59"/>
      <c r="T54" s="59"/>
      <c r="U54" s="59"/>
      <c r="V54" s="59"/>
      <c r="W54" s="60"/>
      <c r="X54" s="68" t="s">
        <v>25</v>
      </c>
      <c r="Y54" s="60"/>
    </row>
    <row r="55" spans="1:31" s="28" customFormat="1" ht="18.5" thickTop="1">
      <c r="A55" s="44"/>
      <c r="B55" s="136"/>
      <c r="C55" s="136"/>
      <c r="D55" s="136"/>
      <c r="E55" s="136"/>
      <c r="F55" s="136"/>
      <c r="G55" s="136"/>
      <c r="H55" s="136"/>
      <c r="I55" s="23"/>
      <c r="J55" s="48"/>
      <c r="K55" s="25"/>
      <c r="L55" s="25"/>
      <c r="M55" s="25"/>
      <c r="N55" s="25"/>
      <c r="O55" s="26"/>
      <c r="P55" s="26"/>
      <c r="Q55" s="26"/>
      <c r="R55" s="49"/>
      <c r="S55" s="49"/>
      <c r="T55" s="49"/>
      <c r="U55" s="49"/>
      <c r="V55" s="49"/>
      <c r="X55" s="69" t="s">
        <v>16</v>
      </c>
      <c r="Y55" s="120">
        <f>SUM(R53:Y53)</f>
        <v>6848.0180999999993</v>
      </c>
    </row>
    <row r="56" spans="1:31" s="28" customFormat="1" ht="18">
      <c r="A56" s="96" t="s">
        <v>53</v>
      </c>
      <c r="B56" s="78"/>
      <c r="C56" s="78"/>
      <c r="D56" s="78"/>
      <c r="E56" s="78"/>
      <c r="F56" s="79"/>
      <c r="G56" s="79"/>
      <c r="H56" s="79"/>
      <c r="I56" s="23"/>
      <c r="J56" s="48"/>
      <c r="K56" s="25"/>
      <c r="L56" s="25"/>
      <c r="M56" s="25"/>
      <c r="N56" s="25"/>
      <c r="O56" s="26"/>
      <c r="P56" s="26"/>
      <c r="Q56" s="26"/>
      <c r="R56" s="49"/>
      <c r="S56" s="49"/>
      <c r="T56" s="49"/>
      <c r="U56" s="49"/>
      <c r="V56" s="49"/>
      <c r="X56" s="69" t="s">
        <v>17</v>
      </c>
      <c r="Y56" s="121"/>
    </row>
    <row r="57" spans="1:31" ht="15">
      <c r="A57" s="44"/>
      <c r="B57" s="36"/>
      <c r="C57" s="36"/>
      <c r="D57" s="36"/>
      <c r="E57" s="36"/>
      <c r="G57" s="22"/>
      <c r="H57" s="23"/>
      <c r="J57" s="48"/>
      <c r="K57" s="25"/>
      <c r="L57" s="25"/>
      <c r="M57" s="25"/>
      <c r="N57" s="25"/>
      <c r="O57" s="26"/>
      <c r="P57" s="26"/>
      <c r="Q57" s="26"/>
      <c r="W57" s="22"/>
      <c r="X57" s="69" t="s">
        <v>18</v>
      </c>
      <c r="Y57" s="121">
        <f>Y55-Y56</f>
        <v>6848.0180999999993</v>
      </c>
      <c r="AC57" s="99"/>
    </row>
    <row r="58" spans="1:31" ht="21" customHeight="1">
      <c r="A58" s="50" t="s">
        <v>64</v>
      </c>
      <c r="G58" s="22"/>
      <c r="H58" s="23"/>
      <c r="J58" s="48"/>
      <c r="K58" s="25"/>
      <c r="L58" s="25"/>
      <c r="M58" s="25"/>
      <c r="N58" s="25"/>
      <c r="O58" s="26"/>
      <c r="P58" s="26"/>
      <c r="Q58" s="26"/>
      <c r="W58" s="109"/>
      <c r="X58" s="109"/>
      <c r="Y58" s="119"/>
    </row>
    <row r="59" spans="1:31" ht="21" customHeight="1">
      <c r="A59" s="50" t="s">
        <v>63</v>
      </c>
      <c r="B59" s="110"/>
      <c r="C59" s="110"/>
      <c r="D59" s="110"/>
      <c r="E59" s="110"/>
      <c r="G59" s="22"/>
      <c r="H59" s="23"/>
      <c r="J59" s="48"/>
      <c r="K59" s="25"/>
      <c r="L59" s="25"/>
      <c r="M59" s="25"/>
      <c r="N59" s="25"/>
      <c r="O59" s="26"/>
      <c r="P59" s="26"/>
      <c r="Q59" s="26"/>
      <c r="W59" s="109"/>
      <c r="X59" s="109"/>
      <c r="Y59" s="111"/>
    </row>
    <row r="60" spans="1:31" ht="21" customHeight="1">
      <c r="A60" s="112" t="s">
        <v>65</v>
      </c>
      <c r="B60" s="110"/>
      <c r="C60" s="110"/>
      <c r="D60" s="110"/>
      <c r="E60" s="110"/>
      <c r="F60" s="113"/>
      <c r="G60" s="113"/>
      <c r="H60" s="113"/>
      <c r="I60" s="113"/>
      <c r="J60" s="114"/>
      <c r="K60" s="113"/>
      <c r="L60" s="113"/>
      <c r="M60" s="113"/>
      <c r="N60" s="113"/>
      <c r="O60" s="115"/>
      <c r="P60" s="115"/>
      <c r="Q60" s="115"/>
      <c r="R60" s="115"/>
      <c r="S60" s="115"/>
      <c r="T60" s="115"/>
      <c r="U60" s="115"/>
      <c r="V60" s="115"/>
      <c r="W60" s="22"/>
      <c r="X60" s="116"/>
      <c r="Y60" s="117"/>
    </row>
    <row r="61" spans="1:31" ht="21" customHeight="1">
      <c r="A61" s="112" t="s">
        <v>66</v>
      </c>
      <c r="B61" s="110"/>
      <c r="C61" s="110"/>
      <c r="D61" s="110"/>
      <c r="E61" s="110"/>
      <c r="F61" s="113"/>
      <c r="G61" s="113"/>
      <c r="H61" s="113"/>
      <c r="I61" s="113"/>
      <c r="J61" s="113"/>
      <c r="K61" s="113"/>
      <c r="L61" s="113"/>
      <c r="M61" s="113"/>
      <c r="N61" s="113"/>
      <c r="O61" s="115"/>
      <c r="P61" s="115"/>
      <c r="Q61" s="115"/>
      <c r="R61" s="115"/>
      <c r="S61" s="115"/>
      <c r="T61" s="115"/>
      <c r="U61" s="115"/>
      <c r="V61" s="115"/>
      <c r="W61" s="118"/>
      <c r="X61" s="118"/>
      <c r="Y61" s="113"/>
    </row>
    <row r="62" spans="1:31">
      <c r="A62" s="51"/>
      <c r="B62" s="37"/>
      <c r="C62" s="37"/>
      <c r="D62" s="37"/>
      <c r="E62" s="37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70" t="s">
        <v>11</v>
      </c>
      <c r="X62" s="30"/>
      <c r="Y62" s="33" t="s">
        <v>24</v>
      </c>
    </row>
    <row r="63" spans="1:31" s="31" customFormat="1" ht="12.75" customHeight="1">
      <c r="A63" s="52"/>
      <c r="B63" s="53"/>
      <c r="C63" s="53"/>
      <c r="D63" s="53"/>
      <c r="E63" s="53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5"/>
      <c r="X63" s="55"/>
      <c r="Y63" s="54"/>
    </row>
    <row r="64" spans="1:31" s="32" customFormat="1" ht="12.75" customHeight="1">
      <c r="A64" s="21"/>
      <c r="B64" s="21"/>
      <c r="C64" s="21"/>
      <c r="D64" s="21"/>
      <c r="E64" s="21"/>
      <c r="F64" s="21"/>
      <c r="G64" s="21"/>
      <c r="H64" s="22"/>
      <c r="I64" s="23"/>
      <c r="J64" s="23"/>
      <c r="K64" s="24"/>
      <c r="L64" s="24"/>
      <c r="M64" s="24"/>
      <c r="N64" s="24"/>
      <c r="O64" s="25"/>
      <c r="P64" s="25"/>
      <c r="Q64" s="25"/>
      <c r="R64" s="26"/>
      <c r="S64" s="26"/>
      <c r="T64" s="26"/>
      <c r="U64" s="26"/>
      <c r="V64" s="26"/>
      <c r="W64" s="26"/>
      <c r="X64" s="26"/>
      <c r="Y64" s="29"/>
    </row>
    <row r="65" spans="1:25" s="31" customFormat="1" ht="12.75" customHeight="1">
      <c r="A65" s="21"/>
      <c r="B65" s="21"/>
      <c r="C65" s="21"/>
      <c r="D65" s="21"/>
      <c r="E65" s="21"/>
      <c r="F65" s="21"/>
      <c r="G65" s="21"/>
      <c r="H65" s="22"/>
      <c r="I65" s="23"/>
      <c r="J65" s="23"/>
      <c r="K65" s="24"/>
      <c r="L65" s="24"/>
      <c r="M65" s="24"/>
      <c r="N65" s="24"/>
      <c r="O65" s="25"/>
      <c r="P65" s="25"/>
      <c r="Q65" s="25"/>
      <c r="R65" s="26"/>
      <c r="S65" s="26"/>
      <c r="T65" s="26"/>
      <c r="U65" s="26"/>
      <c r="V65" s="26"/>
      <c r="W65" s="26"/>
      <c r="X65" s="26"/>
      <c r="Y65" s="29"/>
    </row>
    <row r="66" spans="1:25" s="31" customFormat="1" ht="12.75" customHeight="1">
      <c r="A66" s="21"/>
      <c r="B66" s="21"/>
      <c r="C66" s="21"/>
      <c r="D66" s="21"/>
      <c r="E66" s="21"/>
      <c r="F66" s="21"/>
      <c r="G66" s="21"/>
      <c r="H66" s="22"/>
      <c r="I66" s="23"/>
      <c r="J66" s="23"/>
      <c r="K66" s="24"/>
      <c r="L66" s="24"/>
      <c r="M66" s="24"/>
      <c r="N66" s="24"/>
      <c r="O66" s="25"/>
      <c r="P66" s="25"/>
      <c r="Q66" s="25"/>
      <c r="R66" s="26"/>
      <c r="S66" s="26"/>
      <c r="T66" s="26"/>
      <c r="U66" s="26"/>
      <c r="V66" s="26"/>
      <c r="W66" s="26"/>
      <c r="X66" s="26"/>
      <c r="Y66" s="29"/>
    </row>
    <row r="67" spans="1:25" s="31" customFormat="1" ht="12.75" customHeight="1">
      <c r="A67" s="21"/>
      <c r="B67" s="21"/>
      <c r="C67" s="21"/>
      <c r="D67" s="21"/>
      <c r="E67" s="21"/>
      <c r="F67" s="21"/>
      <c r="G67" s="21"/>
      <c r="H67" s="22"/>
      <c r="I67" s="23"/>
      <c r="J67" s="23"/>
      <c r="K67" s="24"/>
      <c r="L67" s="24"/>
      <c r="M67" s="24"/>
      <c r="N67" s="24"/>
      <c r="O67" s="25"/>
      <c r="P67" s="25"/>
      <c r="Q67" s="25"/>
      <c r="R67" s="26"/>
      <c r="S67" s="26"/>
      <c r="T67" s="26"/>
      <c r="U67" s="26"/>
      <c r="V67" s="26"/>
      <c r="W67" s="26"/>
      <c r="X67" s="26"/>
      <c r="Y67" s="29"/>
    </row>
  </sheetData>
  <mergeCells count="4">
    <mergeCell ref="B55:H55"/>
    <mergeCell ref="A1:Y1"/>
    <mergeCell ref="A2:Y2"/>
    <mergeCell ref="A3:Y3"/>
  </mergeCells>
  <phoneticPr fontId="3" type="noConversion"/>
  <conditionalFormatting sqref="F16:F17 F37">
    <cfRule type="containsText" dxfId="5" priority="7" operator="containsText" text="18K">
      <formula>NOT(ISERROR(SEARCH("18K",F16)))</formula>
    </cfRule>
  </conditionalFormatting>
  <conditionalFormatting sqref="F21:F24">
    <cfRule type="containsText" dxfId="4" priority="6" operator="containsText" text="18K">
      <formula>NOT(ISERROR(SEARCH("18K",F21)))</formula>
    </cfRule>
  </conditionalFormatting>
  <conditionalFormatting sqref="F28:F29">
    <cfRule type="containsText" dxfId="3" priority="5" operator="containsText" text="18K">
      <formula>NOT(ISERROR(SEARCH("18K",F28)))</formula>
    </cfRule>
  </conditionalFormatting>
  <conditionalFormatting sqref="F33">
    <cfRule type="containsText" dxfId="2" priority="4" operator="containsText" text="18K">
      <formula>NOT(ISERROR(SEARCH("18K",F33)))</formula>
    </cfRule>
  </conditionalFormatting>
  <conditionalFormatting sqref="F41:F45">
    <cfRule type="containsText" dxfId="1" priority="2" operator="containsText" text="18K">
      <formula>NOT(ISERROR(SEARCH("18K",F41)))</formula>
    </cfRule>
  </conditionalFormatting>
  <conditionalFormatting sqref="F49:F51">
    <cfRule type="containsText" dxfId="0" priority="1" operator="containsText" text="18K">
      <formula>NOT(ISERROR(SEARCH("18K",F49)))</formula>
    </cfRule>
  </conditionalFormatting>
  <pageMargins left="0" right="0" top="0.19685039370078741" bottom="0" header="0.31496062992125984" footer="0.31496062992125984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2025-05-08T13:11:04Z</dcterms:modified>
</cp:coreProperties>
</file>