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10.10.11.69\Sharing EPO Team\GOLD EXPORT\250510\CLEARANCE\"/>
    </mc:Choice>
  </mc:AlternateContent>
  <xr:revisionPtr revIDLastSave="0" documentId="13_ncr:1_{71C96D42-48AE-4282-A10B-3AABB3A2881A}" xr6:coauthVersionLast="45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" sheetId="1" r:id="rId1"/>
  </sheets>
  <definedNames>
    <definedName name="GOLD">PI!#REF!</definedName>
    <definedName name="GOLD_1102">PI!#REF!</definedName>
    <definedName name="LABOR">#REF!</definedName>
    <definedName name="LABOR1">PI!#REF!</definedName>
    <definedName name="_xlnm.Print_Area" localSheetId="0">PI!$A$1:$Z$450</definedName>
    <definedName name="_xlnm.Print_Titles" localSheetId="0">PI!$1:$13</definedName>
    <definedName name="SETTING">PI!#REF!</definedName>
    <definedName name="SETTING1">#REF!</definedName>
    <definedName name="SILVER">PI!#REF!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42" i="1" l="1"/>
  <c r="Y385" i="1"/>
  <c r="Z385" i="1"/>
  <c r="Z384" i="1"/>
  <c r="Y384" i="1"/>
  <c r="Y339" i="1"/>
  <c r="Z339" i="1"/>
  <c r="Y340" i="1"/>
  <c r="Z340" i="1"/>
  <c r="Z338" i="1"/>
  <c r="Y338" i="1"/>
  <c r="Y268" i="1"/>
  <c r="Z268" i="1"/>
  <c r="Y269" i="1"/>
  <c r="Z269" i="1"/>
  <c r="Y270" i="1"/>
  <c r="Z270" i="1"/>
  <c r="Y271" i="1"/>
  <c r="Z271" i="1"/>
  <c r="Y272" i="1"/>
  <c r="Z272" i="1"/>
  <c r="Y273" i="1"/>
  <c r="Z273" i="1"/>
  <c r="Y274" i="1"/>
  <c r="Z274" i="1"/>
  <c r="Y275" i="1"/>
  <c r="Z275" i="1"/>
  <c r="Z267" i="1"/>
  <c r="Y267" i="1"/>
  <c r="Y263" i="1"/>
  <c r="Z263" i="1"/>
  <c r="Z262" i="1"/>
  <c r="Y262" i="1"/>
  <c r="Y258" i="1"/>
  <c r="Z258" i="1"/>
  <c r="Z257" i="1"/>
  <c r="Y257" i="1"/>
  <c r="Y230" i="1"/>
  <c r="Z230" i="1"/>
  <c r="Y231" i="1"/>
  <c r="Z231" i="1"/>
  <c r="Y232" i="1"/>
  <c r="Z232" i="1"/>
  <c r="Y233" i="1"/>
  <c r="Z233" i="1"/>
  <c r="Z229" i="1"/>
  <c r="Y229" i="1"/>
  <c r="Y185" i="1"/>
  <c r="Z185" i="1"/>
  <c r="Y186" i="1"/>
  <c r="Z186" i="1"/>
  <c r="Y187" i="1"/>
  <c r="Z187" i="1"/>
  <c r="Y188" i="1"/>
  <c r="Z188" i="1"/>
  <c r="Z184" i="1"/>
  <c r="Y184" i="1"/>
  <c r="Z111" i="1"/>
  <c r="Y111" i="1"/>
  <c r="Y104" i="1"/>
  <c r="Z104" i="1"/>
  <c r="Y105" i="1"/>
  <c r="Z105" i="1"/>
  <c r="Y106" i="1"/>
  <c r="Z106" i="1"/>
  <c r="Y107" i="1"/>
  <c r="Z107" i="1"/>
  <c r="Z103" i="1"/>
  <c r="Y103" i="1"/>
  <c r="Y82" i="1"/>
  <c r="Z82" i="1"/>
  <c r="Y83" i="1"/>
  <c r="Z83" i="1"/>
  <c r="Y84" i="1"/>
  <c r="Z84" i="1"/>
  <c r="Y85" i="1"/>
  <c r="Z85" i="1"/>
  <c r="Y86" i="1"/>
  <c r="Z86" i="1"/>
  <c r="Z81" i="1"/>
  <c r="Y81" i="1"/>
  <c r="AG439" i="1"/>
  <c r="AE439" i="1"/>
  <c r="AB439" i="1"/>
  <c r="X440" i="1"/>
  <c r="W440" i="1"/>
  <c r="V440" i="1"/>
  <c r="U440" i="1"/>
  <c r="T440" i="1"/>
  <c r="S440" i="1"/>
  <c r="R440" i="1"/>
  <c r="Q440" i="1"/>
  <c r="P440" i="1"/>
  <c r="K440" i="1"/>
  <c r="G440" i="1"/>
  <c r="P133" i="1" l="1"/>
  <c r="G17" i="1" l="1"/>
  <c r="V439" i="1"/>
  <c r="R439" i="1"/>
  <c r="P439" i="1"/>
  <c r="G439" i="1"/>
  <c r="W438" i="1"/>
  <c r="T438" i="1"/>
  <c r="S438" i="1"/>
  <c r="K438" i="1"/>
  <c r="W437" i="1"/>
  <c r="U437" i="1"/>
  <c r="T437" i="1"/>
  <c r="S437" i="1"/>
  <c r="K437" i="1"/>
  <c r="X437" i="1" s="1"/>
  <c r="AG437" i="1" s="1"/>
  <c r="Q439" i="1"/>
  <c r="Z435" i="1"/>
  <c r="Y435" i="1"/>
  <c r="AE438" i="1" l="1"/>
  <c r="AC438" i="1" s="1"/>
  <c r="AA438" i="1"/>
  <c r="AE437" i="1"/>
  <c r="AC437" i="1" s="1"/>
  <c r="AA437" i="1"/>
  <c r="AB437" i="1" s="1"/>
  <c r="W439" i="1"/>
  <c r="T439" i="1"/>
  <c r="S439" i="1"/>
  <c r="U438" i="1"/>
  <c r="X438" i="1"/>
  <c r="AG438" i="1" s="1"/>
  <c r="K439" i="1"/>
  <c r="U439" i="1" l="1"/>
  <c r="AB438" i="1"/>
  <c r="AD438" i="1" s="1"/>
  <c r="AD437" i="1"/>
  <c r="X439" i="1"/>
  <c r="V434" i="1" l="1"/>
  <c r="R434" i="1"/>
  <c r="Q434" i="1"/>
  <c r="P434" i="1"/>
  <c r="G434" i="1"/>
  <c r="W433" i="1"/>
  <c r="T433" i="1"/>
  <c r="S433" i="1"/>
  <c r="K433" i="1"/>
  <c r="W432" i="1"/>
  <c r="T432" i="1"/>
  <c r="S432" i="1"/>
  <c r="K432" i="1"/>
  <c r="W431" i="1"/>
  <c r="T431" i="1"/>
  <c r="S431" i="1"/>
  <c r="K431" i="1"/>
  <c r="Z429" i="1"/>
  <c r="Y429" i="1"/>
  <c r="V428" i="1"/>
  <c r="R428" i="1"/>
  <c r="P428" i="1"/>
  <c r="G428" i="1"/>
  <c r="W427" i="1"/>
  <c r="T427" i="1"/>
  <c r="S427" i="1"/>
  <c r="K427" i="1"/>
  <c r="W426" i="1"/>
  <c r="U426" i="1"/>
  <c r="T426" i="1"/>
  <c r="S426" i="1"/>
  <c r="K426" i="1"/>
  <c r="Z424" i="1"/>
  <c r="Y424" i="1"/>
  <c r="V423" i="1"/>
  <c r="R423" i="1"/>
  <c r="Q423" i="1"/>
  <c r="P423" i="1"/>
  <c r="G423" i="1"/>
  <c r="W422" i="1"/>
  <c r="U422" i="1"/>
  <c r="T422" i="1"/>
  <c r="S422" i="1"/>
  <c r="K422" i="1"/>
  <c r="W421" i="1"/>
  <c r="U421" i="1"/>
  <c r="T421" i="1"/>
  <c r="S421" i="1"/>
  <c r="K421" i="1"/>
  <c r="Z419" i="1"/>
  <c r="Y419" i="1"/>
  <c r="W423" i="1" l="1"/>
  <c r="S423" i="1"/>
  <c r="AA432" i="1"/>
  <c r="AE432" i="1"/>
  <c r="AC432" i="1" s="1"/>
  <c r="AA422" i="1"/>
  <c r="AE422" i="1"/>
  <c r="AC422" i="1" s="1"/>
  <c r="AA427" i="1"/>
  <c r="AE427" i="1"/>
  <c r="AC427" i="1" s="1"/>
  <c r="AA433" i="1"/>
  <c r="AE433" i="1"/>
  <c r="AC433" i="1" s="1"/>
  <c r="AE426" i="1"/>
  <c r="AC426" i="1" s="1"/>
  <c r="AA426" i="1"/>
  <c r="AE421" i="1"/>
  <c r="AC421" i="1" s="1"/>
  <c r="AA421" i="1"/>
  <c r="U431" i="1"/>
  <c r="AE431" i="1"/>
  <c r="AC431" i="1" s="1"/>
  <c r="AA431" i="1"/>
  <c r="X426" i="1"/>
  <c r="AG426" i="1" s="1"/>
  <c r="K428" i="1"/>
  <c r="X421" i="1"/>
  <c r="AG421" i="1" s="1"/>
  <c r="X422" i="1"/>
  <c r="AG422" i="1" s="1"/>
  <c r="X431" i="1"/>
  <c r="AG431" i="1" s="1"/>
  <c r="K434" i="1"/>
  <c r="X427" i="1"/>
  <c r="AG427" i="1" s="1"/>
  <c r="X433" i="1"/>
  <c r="AG433" i="1" s="1"/>
  <c r="U433" i="1"/>
  <c r="S428" i="1"/>
  <c r="T428" i="1"/>
  <c r="W428" i="1"/>
  <c r="S434" i="1"/>
  <c r="T423" i="1"/>
  <c r="T434" i="1"/>
  <c r="W434" i="1"/>
  <c r="K423" i="1"/>
  <c r="Q428" i="1"/>
  <c r="X432" i="1"/>
  <c r="AG432" i="1" s="1"/>
  <c r="U432" i="1"/>
  <c r="AB431" i="1" l="1"/>
  <c r="AD431" i="1" s="1"/>
  <c r="AB432" i="1"/>
  <c r="AD432" i="1" s="1"/>
  <c r="AB421" i="1"/>
  <c r="AD421" i="1" s="1"/>
  <c r="AB433" i="1"/>
  <c r="AD433" i="1" s="1"/>
  <c r="AB427" i="1"/>
  <c r="AD427" i="1" s="1"/>
  <c r="AB422" i="1"/>
  <c r="AD422" i="1" s="1"/>
  <c r="U434" i="1"/>
  <c r="AB426" i="1"/>
  <c r="AD426" i="1" s="1"/>
  <c r="X428" i="1"/>
  <c r="X434" i="1"/>
  <c r="U423" i="1"/>
  <c r="U428" i="1"/>
  <c r="X423" i="1"/>
  <c r="V418" i="1" l="1"/>
  <c r="R418" i="1"/>
  <c r="P418" i="1"/>
  <c r="G418" i="1"/>
  <c r="W417" i="1"/>
  <c r="W418" i="1" s="1"/>
  <c r="U417" i="1"/>
  <c r="U418" i="1" s="1"/>
  <c r="T417" i="1"/>
  <c r="T418" i="1" s="1"/>
  <c r="S417" i="1"/>
  <c r="S418" i="1" s="1"/>
  <c r="Q417" i="1"/>
  <c r="Q418" i="1" s="1"/>
  <c r="O417" i="1"/>
  <c r="K417" i="1"/>
  <c r="Z415" i="1"/>
  <c r="Y415" i="1"/>
  <c r="V414" i="1"/>
  <c r="R414" i="1"/>
  <c r="Q414" i="1"/>
  <c r="P414" i="1"/>
  <c r="G414" i="1"/>
  <c r="W413" i="1"/>
  <c r="U413" i="1"/>
  <c r="T413" i="1"/>
  <c r="S413" i="1"/>
  <c r="K413" i="1"/>
  <c r="W412" i="1"/>
  <c r="T412" i="1"/>
  <c r="S412" i="1"/>
  <c r="O412" i="1"/>
  <c r="K412" i="1"/>
  <c r="W411" i="1"/>
  <c r="T411" i="1"/>
  <c r="S411" i="1"/>
  <c r="O411" i="1"/>
  <c r="K411" i="1"/>
  <c r="W410" i="1"/>
  <c r="T410" i="1"/>
  <c r="S410" i="1"/>
  <c r="O410" i="1"/>
  <c r="K410" i="1"/>
  <c r="Z408" i="1"/>
  <c r="Y408" i="1"/>
  <c r="V407" i="1"/>
  <c r="R407" i="1"/>
  <c r="P407" i="1"/>
  <c r="G407" i="1"/>
  <c r="W406" i="1"/>
  <c r="T406" i="1"/>
  <c r="S406" i="1"/>
  <c r="O406" i="1"/>
  <c r="K406" i="1"/>
  <c r="Q407" i="1"/>
  <c r="W405" i="1"/>
  <c r="U405" i="1"/>
  <c r="T405" i="1"/>
  <c r="S405" i="1"/>
  <c r="O405" i="1"/>
  <c r="K405" i="1"/>
  <c r="W404" i="1"/>
  <c r="U404" i="1"/>
  <c r="T404" i="1"/>
  <c r="S404" i="1"/>
  <c r="K404" i="1"/>
  <c r="W403" i="1"/>
  <c r="T403" i="1"/>
  <c r="S403" i="1"/>
  <c r="K403" i="1"/>
  <c r="Z401" i="1"/>
  <c r="Y401" i="1"/>
  <c r="X411" i="1" l="1"/>
  <c r="AG411" i="1" s="1"/>
  <c r="AE403" i="1"/>
  <c r="AC403" i="1" s="1"/>
  <c r="AA403" i="1"/>
  <c r="AA405" i="1"/>
  <c r="AE405" i="1"/>
  <c r="AC405" i="1" s="1"/>
  <c r="AA412" i="1"/>
  <c r="AE412" i="1"/>
  <c r="AC412" i="1" s="1"/>
  <c r="X412" i="1"/>
  <c r="AG412" i="1" s="1"/>
  <c r="U412" i="1"/>
  <c r="AE410" i="1"/>
  <c r="AC410" i="1" s="1"/>
  <c r="AA410" i="1"/>
  <c r="AA411" i="1"/>
  <c r="AE411" i="1"/>
  <c r="AC411" i="1" s="1"/>
  <c r="AA404" i="1"/>
  <c r="AE404" i="1"/>
  <c r="AC404" i="1" s="1"/>
  <c r="AA413" i="1"/>
  <c r="AE413" i="1"/>
  <c r="AC413" i="1" s="1"/>
  <c r="AA406" i="1"/>
  <c r="AE406" i="1"/>
  <c r="AC406" i="1" s="1"/>
  <c r="AA417" i="1"/>
  <c r="AE417" i="1"/>
  <c r="AC417" i="1" s="1"/>
  <c r="S407" i="1"/>
  <c r="T414" i="1"/>
  <c r="W414" i="1"/>
  <c r="X406" i="1"/>
  <c r="AG406" i="1" s="1"/>
  <c r="U406" i="1"/>
  <c r="X413" i="1"/>
  <c r="AG413" i="1" s="1"/>
  <c r="X404" i="1"/>
  <c r="AG404" i="1" s="1"/>
  <c r="X410" i="1"/>
  <c r="AG410" i="1" s="1"/>
  <c r="U410" i="1"/>
  <c r="X417" i="1"/>
  <c r="K418" i="1"/>
  <c r="W407" i="1"/>
  <c r="X403" i="1"/>
  <c r="AG403" i="1" s="1"/>
  <c r="X405" i="1"/>
  <c r="AG405" i="1" s="1"/>
  <c r="U403" i="1"/>
  <c r="K414" i="1"/>
  <c r="U411" i="1"/>
  <c r="K407" i="1"/>
  <c r="T407" i="1"/>
  <c r="S414" i="1"/>
  <c r="AB413" i="1" l="1"/>
  <c r="AD413" i="1" s="1"/>
  <c r="AB411" i="1"/>
  <c r="AD411" i="1" s="1"/>
  <c r="AB412" i="1"/>
  <c r="AD412" i="1" s="1"/>
  <c r="AB405" i="1"/>
  <c r="AD405" i="1" s="1"/>
  <c r="U414" i="1"/>
  <c r="AB404" i="1"/>
  <c r="AD404" i="1" s="1"/>
  <c r="AB403" i="1"/>
  <c r="AD403" i="1" s="1"/>
  <c r="X414" i="1"/>
  <c r="X418" i="1"/>
  <c r="AG417" i="1"/>
  <c r="AB417" i="1" s="1"/>
  <c r="AD417" i="1" s="1"/>
  <c r="AB406" i="1"/>
  <c r="AD406" i="1" s="1"/>
  <c r="U407" i="1"/>
  <c r="AB410" i="1"/>
  <c r="AD410" i="1" s="1"/>
  <c r="X407" i="1"/>
  <c r="V400" i="1" l="1"/>
  <c r="R400" i="1"/>
  <c r="P400" i="1"/>
  <c r="G400" i="1"/>
  <c r="W399" i="1"/>
  <c r="T399" i="1"/>
  <c r="S399" i="1"/>
  <c r="K399" i="1"/>
  <c r="W398" i="1"/>
  <c r="U398" i="1"/>
  <c r="T398" i="1"/>
  <c r="S398" i="1"/>
  <c r="K398" i="1"/>
  <c r="W397" i="1"/>
  <c r="T397" i="1"/>
  <c r="S397" i="1"/>
  <c r="K397" i="1"/>
  <c r="Z395" i="1"/>
  <c r="Y395" i="1"/>
  <c r="V394" i="1"/>
  <c r="R394" i="1"/>
  <c r="Q394" i="1"/>
  <c r="P394" i="1"/>
  <c r="G394" i="1"/>
  <c r="W393" i="1"/>
  <c r="T393" i="1"/>
  <c r="S393" i="1"/>
  <c r="K393" i="1"/>
  <c r="W392" i="1"/>
  <c r="T392" i="1"/>
  <c r="S392" i="1"/>
  <c r="K392" i="1"/>
  <c r="W391" i="1"/>
  <c r="T391" i="1"/>
  <c r="S391" i="1"/>
  <c r="K391" i="1"/>
  <c r="W390" i="1"/>
  <c r="U390" i="1"/>
  <c r="T390" i="1"/>
  <c r="S390" i="1"/>
  <c r="K390" i="1"/>
  <c r="W389" i="1"/>
  <c r="T389" i="1"/>
  <c r="S389" i="1"/>
  <c r="K389" i="1"/>
  <c r="Z387" i="1"/>
  <c r="Y387" i="1"/>
  <c r="V386" i="1"/>
  <c r="R386" i="1"/>
  <c r="Q386" i="1"/>
  <c r="P386" i="1"/>
  <c r="G386" i="1"/>
  <c r="W385" i="1"/>
  <c r="T385" i="1"/>
  <c r="S385" i="1"/>
  <c r="K385" i="1"/>
  <c r="X385" i="1" s="1"/>
  <c r="AG385" i="1" s="1"/>
  <c r="W384" i="1"/>
  <c r="T384" i="1"/>
  <c r="S384" i="1"/>
  <c r="K384" i="1"/>
  <c r="Z382" i="1"/>
  <c r="Y382" i="1"/>
  <c r="Q400" i="1" l="1"/>
  <c r="S386" i="1"/>
  <c r="T386" i="1"/>
  <c r="AE392" i="1"/>
  <c r="AC392" i="1" s="1"/>
  <c r="AA392" i="1"/>
  <c r="K386" i="1"/>
  <c r="AA393" i="1"/>
  <c r="AE393" i="1"/>
  <c r="AC393" i="1" s="1"/>
  <c r="X393" i="1"/>
  <c r="AG393" i="1" s="1"/>
  <c r="U393" i="1"/>
  <c r="U397" i="1"/>
  <c r="AE397" i="1"/>
  <c r="AC397" i="1" s="1"/>
  <c r="AA397" i="1"/>
  <c r="X397" i="1"/>
  <c r="AG397" i="1" s="1"/>
  <c r="AA390" i="1"/>
  <c r="AE390" i="1"/>
  <c r="AC390" i="1" s="1"/>
  <c r="W400" i="1"/>
  <c r="AE398" i="1"/>
  <c r="AC398" i="1" s="1"/>
  <c r="AA398" i="1"/>
  <c r="AA389" i="1"/>
  <c r="AE389" i="1"/>
  <c r="AC389" i="1" s="1"/>
  <c r="AE384" i="1"/>
  <c r="AC384" i="1" s="1"/>
  <c r="AA384" i="1"/>
  <c r="W394" i="1"/>
  <c r="AA399" i="1"/>
  <c r="AE399" i="1"/>
  <c r="AC399" i="1" s="1"/>
  <c r="AE385" i="1"/>
  <c r="AC385" i="1" s="1"/>
  <c r="AA385" i="1"/>
  <c r="AA391" i="1"/>
  <c r="AE391" i="1"/>
  <c r="AC391" i="1" s="1"/>
  <c r="X391" i="1"/>
  <c r="AG391" i="1" s="1"/>
  <c r="U391" i="1"/>
  <c r="K400" i="1"/>
  <c r="X398" i="1"/>
  <c r="AG398" i="1" s="1"/>
  <c r="X390" i="1"/>
  <c r="AG390" i="1" s="1"/>
  <c r="K394" i="1"/>
  <c r="X389" i="1"/>
  <c r="AG389" i="1" s="1"/>
  <c r="U389" i="1"/>
  <c r="X399" i="1"/>
  <c r="AG399" i="1" s="1"/>
  <c r="U399" i="1"/>
  <c r="S400" i="1"/>
  <c r="W386" i="1"/>
  <c r="U384" i="1"/>
  <c r="X384" i="1"/>
  <c r="AG384" i="1" s="1"/>
  <c r="U392" i="1"/>
  <c r="X392" i="1"/>
  <c r="AG392" i="1" s="1"/>
  <c r="S394" i="1"/>
  <c r="U385" i="1"/>
  <c r="T400" i="1"/>
  <c r="T394" i="1"/>
  <c r="AB397" i="1" l="1"/>
  <c r="AD397" i="1" s="1"/>
  <c r="U394" i="1"/>
  <c r="AB384" i="1"/>
  <c r="AD384" i="1" s="1"/>
  <c r="AB390" i="1"/>
  <c r="AD390" i="1" s="1"/>
  <c r="AB391" i="1"/>
  <c r="AD391" i="1" s="1"/>
  <c r="AB385" i="1"/>
  <c r="AD385" i="1" s="1"/>
  <c r="AB392" i="1"/>
  <c r="AD392" i="1" s="1"/>
  <c r="AB399" i="1"/>
  <c r="AD399" i="1" s="1"/>
  <c r="AB398" i="1"/>
  <c r="AD398" i="1" s="1"/>
  <c r="AB389" i="1"/>
  <c r="AD389" i="1" s="1"/>
  <c r="AB393" i="1"/>
  <c r="AD393" i="1" s="1"/>
  <c r="U400" i="1"/>
  <c r="U386" i="1"/>
  <c r="X400" i="1"/>
  <c r="X394" i="1"/>
  <c r="X386" i="1"/>
  <c r="V381" i="1" l="1"/>
  <c r="R381" i="1"/>
  <c r="Q381" i="1"/>
  <c r="P381" i="1"/>
  <c r="G381" i="1"/>
  <c r="W380" i="1"/>
  <c r="T380" i="1"/>
  <c r="S380" i="1"/>
  <c r="O380" i="1"/>
  <c r="K380" i="1"/>
  <c r="Z378" i="1"/>
  <c r="Y378" i="1"/>
  <c r="V377" i="1"/>
  <c r="R377" i="1"/>
  <c r="P377" i="1"/>
  <c r="G377" i="1"/>
  <c r="W376" i="1"/>
  <c r="T376" i="1"/>
  <c r="S376" i="1"/>
  <c r="K376" i="1"/>
  <c r="W375" i="1"/>
  <c r="T375" i="1"/>
  <c r="S375" i="1"/>
  <c r="O375" i="1"/>
  <c r="K375" i="1"/>
  <c r="W374" i="1"/>
  <c r="T374" i="1"/>
  <c r="S374" i="1"/>
  <c r="K374" i="1"/>
  <c r="W373" i="1"/>
  <c r="T373" i="1"/>
  <c r="S373" i="1"/>
  <c r="K373" i="1"/>
  <c r="Q377" i="1"/>
  <c r="Z371" i="1"/>
  <c r="Y371" i="1"/>
  <c r="W381" i="1" l="1"/>
  <c r="S377" i="1"/>
  <c r="T377" i="1"/>
  <c r="AA380" i="1"/>
  <c r="AE380" i="1"/>
  <c r="AC380" i="1" s="1"/>
  <c r="U380" i="1"/>
  <c r="AA375" i="1"/>
  <c r="AE375" i="1"/>
  <c r="AC375" i="1" s="1"/>
  <c r="X375" i="1"/>
  <c r="AG375" i="1" s="1"/>
  <c r="U375" i="1"/>
  <c r="AE373" i="1"/>
  <c r="AC373" i="1" s="1"/>
  <c r="AA373" i="1"/>
  <c r="S381" i="1"/>
  <c r="AA374" i="1"/>
  <c r="AE374" i="1"/>
  <c r="AC374" i="1" s="1"/>
  <c r="T381" i="1"/>
  <c r="AA376" i="1"/>
  <c r="AE376" i="1"/>
  <c r="AC376" i="1" s="1"/>
  <c r="K377" i="1"/>
  <c r="X373" i="1"/>
  <c r="AG373" i="1" s="1"/>
  <c r="U373" i="1"/>
  <c r="U374" i="1"/>
  <c r="X374" i="1"/>
  <c r="AG374" i="1" s="1"/>
  <c r="X376" i="1"/>
  <c r="AG376" i="1" s="1"/>
  <c r="U376" i="1"/>
  <c r="K381" i="1"/>
  <c r="X380" i="1"/>
  <c r="AG380" i="1" s="1"/>
  <c r="W377" i="1"/>
  <c r="AB380" i="1" l="1"/>
  <c r="AD380" i="1" s="1"/>
  <c r="AB374" i="1"/>
  <c r="AD374" i="1" s="1"/>
  <c r="U377" i="1"/>
  <c r="AB375" i="1"/>
  <c r="AD375" i="1" s="1"/>
  <c r="U381" i="1"/>
  <c r="AB373" i="1"/>
  <c r="AD373" i="1" s="1"/>
  <c r="AB376" i="1"/>
  <c r="AD376" i="1" s="1"/>
  <c r="X377" i="1"/>
  <c r="X381" i="1"/>
  <c r="V370" i="1" l="1"/>
  <c r="R370" i="1"/>
  <c r="Q370" i="1"/>
  <c r="P370" i="1"/>
  <c r="G370" i="1"/>
  <c r="W369" i="1"/>
  <c r="T369" i="1"/>
  <c r="S369" i="1"/>
  <c r="O369" i="1"/>
  <c r="K369" i="1"/>
  <c r="U369" i="1" s="1"/>
  <c r="Z367" i="1"/>
  <c r="Y367" i="1"/>
  <c r="V366" i="1"/>
  <c r="R366" i="1"/>
  <c r="Q366" i="1"/>
  <c r="P366" i="1"/>
  <c r="G366" i="1"/>
  <c r="W365" i="1"/>
  <c r="T365" i="1"/>
  <c r="S365" i="1"/>
  <c r="K365" i="1"/>
  <c r="X365" i="1" s="1"/>
  <c r="AG365" i="1" s="1"/>
  <c r="Z363" i="1"/>
  <c r="Y363" i="1"/>
  <c r="U365" i="1" l="1"/>
  <c r="W370" i="1"/>
  <c r="T370" i="1"/>
  <c r="AE369" i="1"/>
  <c r="AC369" i="1" s="1"/>
  <c r="AA369" i="1"/>
  <c r="AA365" i="1"/>
  <c r="AE365" i="1"/>
  <c r="AC365" i="1" s="1"/>
  <c r="X369" i="1"/>
  <c r="AG369" i="1" s="1"/>
  <c r="K370" i="1"/>
  <c r="K366" i="1"/>
  <c r="T366" i="1"/>
  <c r="W366" i="1"/>
  <c r="S370" i="1"/>
  <c r="S366" i="1"/>
  <c r="AB365" i="1" l="1"/>
  <c r="AD365" i="1" s="1"/>
  <c r="X366" i="1"/>
  <c r="U366" i="1"/>
  <c r="AB369" i="1"/>
  <c r="AD369" i="1" s="1"/>
  <c r="U370" i="1"/>
  <c r="X370" i="1"/>
  <c r="V362" i="1" l="1"/>
  <c r="R362" i="1"/>
  <c r="Q362" i="1"/>
  <c r="P362" i="1"/>
  <c r="G362" i="1"/>
  <c r="W361" i="1"/>
  <c r="T361" i="1"/>
  <c r="S361" i="1"/>
  <c r="K361" i="1"/>
  <c r="X361" i="1" s="1"/>
  <c r="AG361" i="1" s="1"/>
  <c r="Z359" i="1"/>
  <c r="Y359" i="1"/>
  <c r="V358" i="1"/>
  <c r="R358" i="1"/>
  <c r="Q358" i="1"/>
  <c r="P358" i="1"/>
  <c r="G358" i="1"/>
  <c r="W357" i="1"/>
  <c r="U357" i="1"/>
  <c r="T357" i="1"/>
  <c r="S357" i="1"/>
  <c r="K357" i="1"/>
  <c r="W356" i="1"/>
  <c r="T356" i="1"/>
  <c r="S356" i="1"/>
  <c r="K356" i="1"/>
  <c r="W355" i="1"/>
  <c r="U355" i="1"/>
  <c r="T355" i="1"/>
  <c r="S355" i="1"/>
  <c r="K355" i="1"/>
  <c r="W354" i="1"/>
  <c r="T354" i="1"/>
  <c r="S354" i="1"/>
  <c r="K354" i="1"/>
  <c r="W353" i="1"/>
  <c r="U353" i="1"/>
  <c r="T353" i="1"/>
  <c r="S353" i="1"/>
  <c r="K353" i="1"/>
  <c r="W352" i="1"/>
  <c r="T352" i="1"/>
  <c r="S352" i="1"/>
  <c r="K352" i="1"/>
  <c r="Z350" i="1"/>
  <c r="Y350" i="1"/>
  <c r="V349" i="1"/>
  <c r="R349" i="1"/>
  <c r="Q349" i="1"/>
  <c r="P349" i="1"/>
  <c r="G349" i="1"/>
  <c r="W348" i="1"/>
  <c r="W349" i="1" s="1"/>
  <c r="T348" i="1"/>
  <c r="T349" i="1" s="1"/>
  <c r="S348" i="1"/>
  <c r="S349" i="1" s="1"/>
  <c r="O348" i="1"/>
  <c r="K348" i="1"/>
  <c r="Z346" i="1"/>
  <c r="Y346" i="1"/>
  <c r="AA356" i="1" l="1"/>
  <c r="AE356" i="1"/>
  <c r="AC356" i="1" s="1"/>
  <c r="AA357" i="1"/>
  <c r="AE357" i="1"/>
  <c r="AC357" i="1" s="1"/>
  <c r="W358" i="1"/>
  <c r="AA348" i="1"/>
  <c r="AE348" i="1"/>
  <c r="AC348" i="1" s="1"/>
  <c r="U354" i="1"/>
  <c r="AA354" i="1"/>
  <c r="AE354" i="1"/>
  <c r="AC354" i="1" s="1"/>
  <c r="AA352" i="1"/>
  <c r="AE352" i="1"/>
  <c r="AC352" i="1" s="1"/>
  <c r="AE353" i="1"/>
  <c r="AC353" i="1" s="1"/>
  <c r="AA353" i="1"/>
  <c r="AA355" i="1"/>
  <c r="AE355" i="1"/>
  <c r="AC355" i="1" s="1"/>
  <c r="AA361" i="1"/>
  <c r="AE361" i="1"/>
  <c r="AC361" i="1" s="1"/>
  <c r="X353" i="1"/>
  <c r="AG353" i="1" s="1"/>
  <c r="X348" i="1"/>
  <c r="K349" i="1"/>
  <c r="U348" i="1"/>
  <c r="U349" i="1" s="1"/>
  <c r="X352" i="1"/>
  <c r="AG352" i="1" s="1"/>
  <c r="U352" i="1"/>
  <c r="T358" i="1"/>
  <c r="X355" i="1"/>
  <c r="AG355" i="1" s="1"/>
  <c r="T362" i="1"/>
  <c r="W362" i="1"/>
  <c r="X356" i="1"/>
  <c r="AG356" i="1" s="1"/>
  <c r="U356" i="1"/>
  <c r="X357" i="1"/>
  <c r="AG357" i="1" s="1"/>
  <c r="S362" i="1"/>
  <c r="X354" i="1"/>
  <c r="AG354" i="1" s="1"/>
  <c r="K358" i="1"/>
  <c r="S358" i="1"/>
  <c r="U361" i="1"/>
  <c r="K362" i="1"/>
  <c r="AB357" i="1" l="1"/>
  <c r="AD357" i="1" s="1"/>
  <c r="AB361" i="1"/>
  <c r="AD361" i="1" s="1"/>
  <c r="AB354" i="1"/>
  <c r="AD354" i="1" s="1"/>
  <c r="AB355" i="1"/>
  <c r="AD355" i="1" s="1"/>
  <c r="AB352" i="1"/>
  <c r="AD352" i="1" s="1"/>
  <c r="AB356" i="1"/>
  <c r="AD356" i="1" s="1"/>
  <c r="U362" i="1"/>
  <c r="AB353" i="1"/>
  <c r="AD353" i="1" s="1"/>
  <c r="X362" i="1"/>
  <c r="X349" i="1"/>
  <c r="AG348" i="1"/>
  <c r="AB348" i="1" s="1"/>
  <c r="AD348" i="1" s="1"/>
  <c r="U358" i="1"/>
  <c r="X358" i="1"/>
  <c r="V345" i="1" l="1"/>
  <c r="R345" i="1"/>
  <c r="Q345" i="1"/>
  <c r="P345" i="1"/>
  <c r="G345" i="1"/>
  <c r="W344" i="1"/>
  <c r="W345" i="1" s="1"/>
  <c r="T344" i="1"/>
  <c r="S344" i="1"/>
  <c r="O344" i="1"/>
  <c r="K344" i="1"/>
  <c r="Z342" i="1"/>
  <c r="Y342" i="1"/>
  <c r="S345" i="1" l="1"/>
  <c r="T345" i="1"/>
  <c r="AA344" i="1"/>
  <c r="AE344" i="1"/>
  <c r="AC344" i="1" s="1"/>
  <c r="U344" i="1"/>
  <c r="K345" i="1"/>
  <c r="X344" i="1"/>
  <c r="AG344" i="1" s="1"/>
  <c r="U345" i="1" l="1"/>
  <c r="AB344" i="1"/>
  <c r="AD344" i="1" s="1"/>
  <c r="X345" i="1"/>
  <c r="V341" i="1" l="1"/>
  <c r="R341" i="1"/>
  <c r="Q341" i="1"/>
  <c r="P341" i="1"/>
  <c r="G341" i="1"/>
  <c r="W340" i="1"/>
  <c r="U340" i="1"/>
  <c r="T340" i="1"/>
  <c r="S340" i="1"/>
  <c r="O340" i="1"/>
  <c r="K340" i="1"/>
  <c r="W339" i="1"/>
  <c r="T339" i="1"/>
  <c r="S339" i="1"/>
  <c r="O339" i="1"/>
  <c r="K339" i="1"/>
  <c r="W338" i="1"/>
  <c r="T338" i="1"/>
  <c r="S338" i="1"/>
  <c r="O338" i="1"/>
  <c r="K338" i="1"/>
  <c r="Z336" i="1"/>
  <c r="Y336" i="1"/>
  <c r="V335" i="1"/>
  <c r="R335" i="1"/>
  <c r="P335" i="1"/>
  <c r="G335" i="1"/>
  <c r="W334" i="1"/>
  <c r="U334" i="1"/>
  <c r="T334" i="1"/>
  <c r="S334" i="1"/>
  <c r="Q334" i="1"/>
  <c r="K334" i="1"/>
  <c r="W333" i="1"/>
  <c r="U333" i="1"/>
  <c r="T333" i="1"/>
  <c r="S333" i="1"/>
  <c r="Q333" i="1"/>
  <c r="K333" i="1"/>
  <c r="W332" i="1"/>
  <c r="U332" i="1"/>
  <c r="T332" i="1"/>
  <c r="S332" i="1"/>
  <c r="Q332" i="1"/>
  <c r="K332" i="1"/>
  <c r="W331" i="1"/>
  <c r="U331" i="1"/>
  <c r="T331" i="1"/>
  <c r="S331" i="1"/>
  <c r="Q331" i="1"/>
  <c r="K331" i="1"/>
  <c r="W330" i="1"/>
  <c r="U330" i="1"/>
  <c r="T330" i="1"/>
  <c r="S330" i="1"/>
  <c r="Q330" i="1"/>
  <c r="K330" i="1"/>
  <c r="Z328" i="1"/>
  <c r="Y328" i="1"/>
  <c r="AE339" i="1" l="1"/>
  <c r="AC339" i="1" s="1"/>
  <c r="AA339" i="1"/>
  <c r="AE332" i="1"/>
  <c r="AC332" i="1" s="1"/>
  <c r="AA332" i="1"/>
  <c r="AA330" i="1"/>
  <c r="AE330" i="1"/>
  <c r="AC330" i="1" s="1"/>
  <c r="AA340" i="1"/>
  <c r="AE340" i="1"/>
  <c r="AC340" i="1" s="1"/>
  <c r="AA334" i="1"/>
  <c r="AE334" i="1"/>
  <c r="AC334" i="1" s="1"/>
  <c r="AE333" i="1"/>
  <c r="AC333" i="1" s="1"/>
  <c r="AA333" i="1"/>
  <c r="AA331" i="1"/>
  <c r="AE331" i="1"/>
  <c r="AC331" i="1" s="1"/>
  <c r="T341" i="1"/>
  <c r="Q335" i="1"/>
  <c r="X334" i="1"/>
  <c r="AG334" i="1" s="1"/>
  <c r="AA338" i="1"/>
  <c r="AE338" i="1"/>
  <c r="AC338" i="1" s="1"/>
  <c r="X333" i="1"/>
  <c r="AG333" i="1" s="1"/>
  <c r="W335" i="1"/>
  <c r="K335" i="1"/>
  <c r="W341" i="1"/>
  <c r="X331" i="1"/>
  <c r="AG331" i="1" s="1"/>
  <c r="S341" i="1"/>
  <c r="X332" i="1"/>
  <c r="AG332" i="1" s="1"/>
  <c r="X340" i="1"/>
  <c r="AG340" i="1" s="1"/>
  <c r="X330" i="1"/>
  <c r="AG330" i="1" s="1"/>
  <c r="S335" i="1"/>
  <c r="T335" i="1"/>
  <c r="U339" i="1"/>
  <c r="X339" i="1"/>
  <c r="AG339" i="1" s="1"/>
  <c r="U335" i="1"/>
  <c r="X338" i="1"/>
  <c r="U338" i="1"/>
  <c r="K341" i="1"/>
  <c r="AB339" i="1" l="1"/>
  <c r="AD339" i="1" s="1"/>
  <c r="AB331" i="1"/>
  <c r="AD331" i="1" s="1"/>
  <c r="AB340" i="1"/>
  <c r="AD340" i="1" s="1"/>
  <c r="AB332" i="1"/>
  <c r="AD332" i="1" s="1"/>
  <c r="U341" i="1"/>
  <c r="AB334" i="1"/>
  <c r="AD334" i="1" s="1"/>
  <c r="X341" i="1"/>
  <c r="AG338" i="1"/>
  <c r="AB338" i="1" s="1"/>
  <c r="AD338" i="1" s="1"/>
  <c r="AB330" i="1"/>
  <c r="AD330" i="1" s="1"/>
  <c r="AB333" i="1"/>
  <c r="AD333" i="1" s="1"/>
  <c r="X335" i="1"/>
  <c r="V327" i="1" l="1"/>
  <c r="R327" i="1"/>
  <c r="Q327" i="1"/>
  <c r="P327" i="1"/>
  <c r="G327" i="1"/>
  <c r="W326" i="1"/>
  <c r="T326" i="1"/>
  <c r="S326" i="1"/>
  <c r="O326" i="1"/>
  <c r="K326" i="1"/>
  <c r="Z324" i="1"/>
  <c r="Y324" i="1"/>
  <c r="V323" i="1"/>
  <c r="R323" i="1"/>
  <c r="Q323" i="1"/>
  <c r="P323" i="1"/>
  <c r="G323" i="1"/>
  <c r="W322" i="1"/>
  <c r="T322" i="1"/>
  <c r="S322" i="1"/>
  <c r="K322" i="1"/>
  <c r="W321" i="1"/>
  <c r="U321" i="1"/>
  <c r="T321" i="1"/>
  <c r="S321" i="1"/>
  <c r="K321" i="1"/>
  <c r="W320" i="1"/>
  <c r="U320" i="1"/>
  <c r="T320" i="1"/>
  <c r="S320" i="1"/>
  <c r="K320" i="1"/>
  <c r="W319" i="1"/>
  <c r="T319" i="1"/>
  <c r="S319" i="1"/>
  <c r="K319" i="1"/>
  <c r="W318" i="1"/>
  <c r="U318" i="1"/>
  <c r="T318" i="1"/>
  <c r="K318" i="1"/>
  <c r="Z316" i="1"/>
  <c r="Y316" i="1"/>
  <c r="T327" i="1" l="1"/>
  <c r="S327" i="1"/>
  <c r="AE326" i="1"/>
  <c r="AC326" i="1" s="1"/>
  <c r="AA326" i="1"/>
  <c r="AE321" i="1"/>
  <c r="AC321" i="1" s="1"/>
  <c r="AA321" i="1"/>
  <c r="W327" i="1"/>
  <c r="T323" i="1"/>
  <c r="AE322" i="1"/>
  <c r="AC322" i="1" s="1"/>
  <c r="AA322" i="1"/>
  <c r="AA320" i="1"/>
  <c r="AE320" i="1"/>
  <c r="AC320" i="1" s="1"/>
  <c r="S323" i="1"/>
  <c r="W323" i="1"/>
  <c r="AA319" i="1"/>
  <c r="AE319" i="1"/>
  <c r="AC319" i="1" s="1"/>
  <c r="AA318" i="1"/>
  <c r="AE318" i="1"/>
  <c r="AC318" i="1" s="1"/>
  <c r="X321" i="1"/>
  <c r="AG321" i="1" s="1"/>
  <c r="U322" i="1"/>
  <c r="X322" i="1"/>
  <c r="AG322" i="1" s="1"/>
  <c r="X320" i="1"/>
  <c r="AG320" i="1" s="1"/>
  <c r="U319" i="1"/>
  <c r="X319" i="1"/>
  <c r="AG319" i="1" s="1"/>
  <c r="X318" i="1"/>
  <c r="K323" i="1"/>
  <c r="X326" i="1"/>
  <c r="K327" i="1"/>
  <c r="U326" i="1"/>
  <c r="AB319" i="1" l="1"/>
  <c r="AD319" i="1" s="1"/>
  <c r="U327" i="1"/>
  <c r="U323" i="1"/>
  <c r="AB322" i="1"/>
  <c r="AD322" i="1" s="1"/>
  <c r="X323" i="1"/>
  <c r="AG318" i="1"/>
  <c r="AB318" i="1" s="1"/>
  <c r="AD318" i="1" s="1"/>
  <c r="X327" i="1"/>
  <c r="AG326" i="1"/>
  <c r="AB326" i="1" s="1"/>
  <c r="AD326" i="1" s="1"/>
  <c r="AB320" i="1"/>
  <c r="AD320" i="1" s="1"/>
  <c r="AB321" i="1"/>
  <c r="AD321" i="1" s="1"/>
  <c r="V315" i="1" l="1"/>
  <c r="R315" i="1"/>
  <c r="Q315" i="1"/>
  <c r="P315" i="1"/>
  <c r="G315" i="1"/>
  <c r="W314" i="1"/>
  <c r="T314" i="1"/>
  <c r="S314" i="1"/>
  <c r="K314" i="1"/>
  <c r="W313" i="1"/>
  <c r="T313" i="1"/>
  <c r="S313" i="1"/>
  <c r="K313" i="1"/>
  <c r="W312" i="1"/>
  <c r="U312" i="1"/>
  <c r="T312" i="1"/>
  <c r="S312" i="1"/>
  <c r="K312" i="1"/>
  <c r="W311" i="1"/>
  <c r="T311" i="1"/>
  <c r="S311" i="1"/>
  <c r="K311" i="1"/>
  <c r="T310" i="1"/>
  <c r="K310" i="1"/>
  <c r="T309" i="1"/>
  <c r="K309" i="1"/>
  <c r="W308" i="1"/>
  <c r="T308" i="1"/>
  <c r="S308" i="1"/>
  <c r="K308" i="1"/>
  <c r="W307" i="1"/>
  <c r="T307" i="1"/>
  <c r="S307" i="1"/>
  <c r="K307" i="1"/>
  <c r="Z305" i="1"/>
  <c r="Y305" i="1"/>
  <c r="T315" i="1" l="1"/>
  <c r="AA309" i="1"/>
  <c r="AE309" i="1"/>
  <c r="AC309" i="1" s="1"/>
  <c r="AE314" i="1"/>
  <c r="AC314" i="1" s="1"/>
  <c r="AA314" i="1"/>
  <c r="AA312" i="1"/>
  <c r="AE312" i="1"/>
  <c r="AC312" i="1" s="1"/>
  <c r="AA311" i="1"/>
  <c r="AE311" i="1"/>
  <c r="AC311" i="1" s="1"/>
  <c r="AE308" i="1"/>
  <c r="AC308" i="1" s="1"/>
  <c r="AA308" i="1"/>
  <c r="AE307" i="1"/>
  <c r="AC307" i="1" s="1"/>
  <c r="AA307" i="1"/>
  <c r="AA310" i="1"/>
  <c r="AE310" i="1"/>
  <c r="AC310" i="1" s="1"/>
  <c r="W315" i="1"/>
  <c r="AA313" i="1"/>
  <c r="AE313" i="1"/>
  <c r="AC313" i="1" s="1"/>
  <c r="X311" i="1"/>
  <c r="AG311" i="1" s="1"/>
  <c r="U311" i="1"/>
  <c r="X314" i="1"/>
  <c r="AG314" i="1" s="1"/>
  <c r="U314" i="1"/>
  <c r="X308" i="1"/>
  <c r="AG308" i="1" s="1"/>
  <c r="X312" i="1"/>
  <c r="AG312" i="1" s="1"/>
  <c r="U307" i="1"/>
  <c r="X307" i="1"/>
  <c r="AG307" i="1" s="1"/>
  <c r="K315" i="1"/>
  <c r="X309" i="1"/>
  <c r="AG309" i="1" s="1"/>
  <c r="U309" i="1"/>
  <c r="X310" i="1"/>
  <c r="AG310" i="1" s="1"/>
  <c r="U313" i="1"/>
  <c r="X313" i="1"/>
  <c r="AG313" i="1" s="1"/>
  <c r="AB312" i="1" l="1"/>
  <c r="AD312" i="1" s="1"/>
  <c r="AB308" i="1"/>
  <c r="AD308" i="1" s="1"/>
  <c r="AB307" i="1"/>
  <c r="AD307" i="1" s="1"/>
  <c r="AB309" i="1"/>
  <c r="AD309" i="1" s="1"/>
  <c r="AB313" i="1"/>
  <c r="AD313" i="1" s="1"/>
  <c r="AB314" i="1"/>
  <c r="AD314" i="1" s="1"/>
  <c r="AB311" i="1"/>
  <c r="AD311" i="1" s="1"/>
  <c r="AB310" i="1"/>
  <c r="AD310" i="1" s="1"/>
  <c r="U315" i="1"/>
  <c r="X315" i="1"/>
  <c r="V304" i="1" l="1"/>
  <c r="R304" i="1"/>
  <c r="Q304" i="1"/>
  <c r="P304" i="1"/>
  <c r="G304" i="1"/>
  <c r="W303" i="1"/>
  <c r="W304" i="1" s="1"/>
  <c r="U303" i="1"/>
  <c r="U304" i="1" s="1"/>
  <c r="T303" i="1"/>
  <c r="T304" i="1" s="1"/>
  <c r="S303" i="1"/>
  <c r="S304" i="1" s="1"/>
  <c r="K303" i="1"/>
  <c r="Z301" i="1"/>
  <c r="Y301" i="1"/>
  <c r="V300" i="1"/>
  <c r="R300" i="1"/>
  <c r="Q300" i="1"/>
  <c r="P300" i="1"/>
  <c r="G300" i="1"/>
  <c r="W299" i="1"/>
  <c r="T299" i="1"/>
  <c r="S299" i="1"/>
  <c r="O299" i="1"/>
  <c r="K299" i="1"/>
  <c r="W298" i="1"/>
  <c r="T298" i="1"/>
  <c r="S298" i="1"/>
  <c r="O298" i="1"/>
  <c r="K298" i="1"/>
  <c r="Z296" i="1"/>
  <c r="Y296" i="1"/>
  <c r="W300" i="1" l="1"/>
  <c r="S300" i="1"/>
  <c r="T300" i="1"/>
  <c r="AA298" i="1"/>
  <c r="AE298" i="1"/>
  <c r="AC298" i="1" s="1"/>
  <c r="AA299" i="1"/>
  <c r="AE299" i="1"/>
  <c r="AC299" i="1" s="1"/>
  <c r="AA303" i="1"/>
  <c r="AE303" i="1"/>
  <c r="AC303" i="1" s="1"/>
  <c r="X299" i="1"/>
  <c r="AG299" i="1" s="1"/>
  <c r="U299" i="1"/>
  <c r="K300" i="1"/>
  <c r="K304" i="1"/>
  <c r="X303" i="1"/>
  <c r="X298" i="1"/>
  <c r="AG298" i="1" s="1"/>
  <c r="U298" i="1"/>
  <c r="AB299" i="1" l="1"/>
  <c r="AD299" i="1" s="1"/>
  <c r="AB298" i="1"/>
  <c r="AD298" i="1" s="1"/>
  <c r="X304" i="1"/>
  <c r="AG303" i="1"/>
  <c r="AB303" i="1" s="1"/>
  <c r="AD303" i="1" s="1"/>
  <c r="U300" i="1"/>
  <c r="X300" i="1"/>
  <c r="V295" i="1" l="1"/>
  <c r="R295" i="1"/>
  <c r="Q295" i="1"/>
  <c r="P295" i="1"/>
  <c r="G295" i="1"/>
  <c r="W294" i="1"/>
  <c r="S294" i="1"/>
  <c r="O294" i="1"/>
  <c r="K294" i="1"/>
  <c r="W293" i="1"/>
  <c r="T293" i="1"/>
  <c r="S293" i="1"/>
  <c r="O293" i="1"/>
  <c r="K293" i="1"/>
  <c r="W292" i="1"/>
  <c r="T292" i="1"/>
  <c r="S292" i="1"/>
  <c r="O292" i="1"/>
  <c r="K292" i="1"/>
  <c r="W291" i="1"/>
  <c r="T291" i="1"/>
  <c r="S291" i="1"/>
  <c r="O291" i="1"/>
  <c r="K291" i="1"/>
  <c r="Z289" i="1"/>
  <c r="Y289" i="1"/>
  <c r="V288" i="1"/>
  <c r="R288" i="1"/>
  <c r="Q288" i="1"/>
  <c r="P288" i="1"/>
  <c r="G288" i="1"/>
  <c r="W287" i="1"/>
  <c r="U287" i="1"/>
  <c r="T287" i="1"/>
  <c r="S287" i="1"/>
  <c r="S288" i="1" s="1"/>
  <c r="O287" i="1"/>
  <c r="K287" i="1"/>
  <c r="Z285" i="1"/>
  <c r="Y285" i="1"/>
  <c r="T295" i="1" l="1"/>
  <c r="W288" i="1"/>
  <c r="AA291" i="1"/>
  <c r="AE291" i="1"/>
  <c r="AC291" i="1" s="1"/>
  <c r="U291" i="1"/>
  <c r="X291" i="1"/>
  <c r="AG291" i="1" s="1"/>
  <c r="AA292" i="1"/>
  <c r="AE292" i="1"/>
  <c r="AC292" i="1" s="1"/>
  <c r="X292" i="1"/>
  <c r="AG292" i="1" s="1"/>
  <c r="U292" i="1"/>
  <c r="AE294" i="1"/>
  <c r="AC294" i="1" s="1"/>
  <c r="AA294" i="1"/>
  <c r="Z293" i="1"/>
  <c r="Z294" i="1"/>
  <c r="Z291" i="1"/>
  <c r="Z292" i="1"/>
  <c r="Y292" i="1"/>
  <c r="Y293" i="1"/>
  <c r="Y294" i="1"/>
  <c r="Y291" i="1"/>
  <c r="S295" i="1"/>
  <c r="AA293" i="1"/>
  <c r="AE293" i="1"/>
  <c r="AC293" i="1" s="1"/>
  <c r="T288" i="1"/>
  <c r="AA287" i="1"/>
  <c r="AE287" i="1"/>
  <c r="AC287" i="1" s="1"/>
  <c r="W295" i="1"/>
  <c r="U288" i="1"/>
  <c r="X287" i="1"/>
  <c r="AG287" i="1" s="1"/>
  <c r="X294" i="1"/>
  <c r="AG294" i="1" s="1"/>
  <c r="U294" i="1"/>
  <c r="K288" i="1"/>
  <c r="X293" i="1"/>
  <c r="AG293" i="1" s="1"/>
  <c r="K295" i="1"/>
  <c r="U293" i="1"/>
  <c r="Y295" i="1" l="1"/>
  <c r="AB287" i="1"/>
  <c r="AD287" i="1" s="1"/>
  <c r="AB292" i="1"/>
  <c r="AD292" i="1" s="1"/>
  <c r="AB293" i="1"/>
  <c r="AD293" i="1" s="1"/>
  <c r="AB294" i="1"/>
  <c r="AD294" i="1" s="1"/>
  <c r="AB291" i="1"/>
  <c r="AD291" i="1" s="1"/>
  <c r="U295" i="1"/>
  <c r="X295" i="1"/>
  <c r="X288" i="1"/>
  <c r="Z295" i="1"/>
  <c r="V284" i="1" l="1"/>
  <c r="R284" i="1"/>
  <c r="Q284" i="1"/>
  <c r="P284" i="1"/>
  <c r="G284" i="1"/>
  <c r="W283" i="1"/>
  <c r="U283" i="1"/>
  <c r="T283" i="1"/>
  <c r="S283" i="1"/>
  <c r="K283" i="1"/>
  <c r="Z281" i="1"/>
  <c r="Y281" i="1"/>
  <c r="V280" i="1"/>
  <c r="R280" i="1"/>
  <c r="Q280" i="1"/>
  <c r="P280" i="1"/>
  <c r="G280" i="1"/>
  <c r="W279" i="1"/>
  <c r="U279" i="1"/>
  <c r="T279" i="1"/>
  <c r="S279" i="1"/>
  <c r="K279" i="1"/>
  <c r="Z277" i="1"/>
  <c r="Y277" i="1"/>
  <c r="T284" i="1" l="1"/>
  <c r="AA283" i="1"/>
  <c r="AE283" i="1"/>
  <c r="AC283" i="1" s="1"/>
  <c r="X283" i="1"/>
  <c r="AG283" i="1" s="1"/>
  <c r="W284" i="1"/>
  <c r="AE279" i="1"/>
  <c r="AC279" i="1" s="1"/>
  <c r="AA279" i="1"/>
  <c r="S284" i="1"/>
  <c r="K284" i="1"/>
  <c r="X279" i="1"/>
  <c r="AG279" i="1" s="1"/>
  <c r="S280" i="1"/>
  <c r="T280" i="1"/>
  <c r="W280" i="1"/>
  <c r="K280" i="1"/>
  <c r="AB279" i="1" l="1"/>
  <c r="AD279" i="1" s="1"/>
  <c r="U284" i="1"/>
  <c r="AB283" i="1"/>
  <c r="AD283" i="1" s="1"/>
  <c r="X284" i="1"/>
  <c r="U280" i="1"/>
  <c r="X280" i="1"/>
  <c r="V276" i="1" l="1"/>
  <c r="R276" i="1"/>
  <c r="P276" i="1"/>
  <c r="G276" i="1"/>
  <c r="W275" i="1"/>
  <c r="U275" i="1"/>
  <c r="T275" i="1"/>
  <c r="S275" i="1"/>
  <c r="K275" i="1"/>
  <c r="X275" i="1" s="1"/>
  <c r="AG275" i="1" s="1"/>
  <c r="W274" i="1"/>
  <c r="T274" i="1"/>
  <c r="S274" i="1"/>
  <c r="K274" i="1"/>
  <c r="W273" i="1"/>
  <c r="T273" i="1"/>
  <c r="S273" i="1"/>
  <c r="K273" i="1"/>
  <c r="W272" i="1"/>
  <c r="U272" i="1"/>
  <c r="T272" i="1"/>
  <c r="S272" i="1"/>
  <c r="K272" i="1"/>
  <c r="W271" i="1"/>
  <c r="T271" i="1"/>
  <c r="S271" i="1"/>
  <c r="K271" i="1"/>
  <c r="W270" i="1"/>
  <c r="T270" i="1"/>
  <c r="S270" i="1"/>
  <c r="K270" i="1"/>
  <c r="W269" i="1"/>
  <c r="U269" i="1"/>
  <c r="T269" i="1"/>
  <c r="S269" i="1"/>
  <c r="K269" i="1"/>
  <c r="Q276" i="1"/>
  <c r="W268" i="1"/>
  <c r="T268" i="1"/>
  <c r="S268" i="1"/>
  <c r="K268" i="1"/>
  <c r="W267" i="1"/>
  <c r="T267" i="1"/>
  <c r="S267" i="1"/>
  <c r="K267" i="1"/>
  <c r="V264" i="1"/>
  <c r="R264" i="1"/>
  <c r="Q264" i="1"/>
  <c r="P264" i="1"/>
  <c r="G264" i="1"/>
  <c r="W263" i="1"/>
  <c r="U263" i="1"/>
  <c r="T263" i="1"/>
  <c r="S263" i="1"/>
  <c r="K263" i="1"/>
  <c r="W262" i="1"/>
  <c r="U262" i="1"/>
  <c r="T262" i="1"/>
  <c r="S262" i="1"/>
  <c r="K262" i="1"/>
  <c r="Z260" i="1"/>
  <c r="Y260" i="1"/>
  <c r="V259" i="1"/>
  <c r="R259" i="1"/>
  <c r="Q259" i="1"/>
  <c r="P259" i="1"/>
  <c r="G259" i="1"/>
  <c r="W258" i="1"/>
  <c r="T258" i="1"/>
  <c r="S258" i="1"/>
  <c r="K258" i="1"/>
  <c r="W257" i="1"/>
  <c r="U257" i="1"/>
  <c r="T257" i="1"/>
  <c r="S257" i="1"/>
  <c r="K257" i="1"/>
  <c r="Z255" i="1"/>
  <c r="Y255" i="1"/>
  <c r="V254" i="1"/>
  <c r="R254" i="1"/>
  <c r="P254" i="1"/>
  <c r="G254" i="1"/>
  <c r="W253" i="1"/>
  <c r="T253" i="1"/>
  <c r="S253" i="1"/>
  <c r="K253" i="1"/>
  <c r="X253" i="1" s="1"/>
  <c r="AG253" i="1" s="1"/>
  <c r="Q254" i="1"/>
  <c r="W252" i="1"/>
  <c r="U252" i="1"/>
  <c r="T252" i="1"/>
  <c r="S252" i="1"/>
  <c r="K252" i="1"/>
  <c r="W251" i="1"/>
  <c r="U251" i="1"/>
  <c r="T251" i="1"/>
  <c r="S251" i="1"/>
  <c r="K251" i="1"/>
  <c r="W250" i="1"/>
  <c r="U250" i="1"/>
  <c r="T250" i="1"/>
  <c r="S250" i="1"/>
  <c r="K250" i="1"/>
  <c r="W249" i="1"/>
  <c r="T249" i="1"/>
  <c r="S249" i="1"/>
  <c r="K249" i="1"/>
  <c r="W248" i="1"/>
  <c r="U248" i="1"/>
  <c r="T248" i="1"/>
  <c r="S248" i="1"/>
  <c r="K248" i="1"/>
  <c r="Z246" i="1"/>
  <c r="Y246" i="1"/>
  <c r="V245" i="1"/>
  <c r="R245" i="1"/>
  <c r="P245" i="1"/>
  <c r="G245" i="1"/>
  <c r="W244" i="1"/>
  <c r="W245" i="1" s="1"/>
  <c r="U244" i="1"/>
  <c r="U245" i="1" s="1"/>
  <c r="T244" i="1"/>
  <c r="T245" i="1" s="1"/>
  <c r="S244" i="1"/>
  <c r="S245" i="1" s="1"/>
  <c r="Q244" i="1"/>
  <c r="Q245" i="1" s="1"/>
  <c r="K244" i="1"/>
  <c r="Z242" i="1"/>
  <c r="Y242" i="1"/>
  <c r="V241" i="1"/>
  <c r="R241" i="1"/>
  <c r="Q241" i="1"/>
  <c r="P241" i="1"/>
  <c r="G241" i="1"/>
  <c r="T240" i="1"/>
  <c r="K240" i="1"/>
  <c r="W239" i="1"/>
  <c r="U239" i="1"/>
  <c r="T239" i="1"/>
  <c r="S239" i="1"/>
  <c r="K239" i="1"/>
  <c r="W238" i="1"/>
  <c r="U238" i="1"/>
  <c r="T238" i="1"/>
  <c r="S238" i="1"/>
  <c r="K238" i="1"/>
  <c r="W237" i="1"/>
  <c r="U237" i="1"/>
  <c r="T237" i="1"/>
  <c r="S237" i="1"/>
  <c r="K237" i="1"/>
  <c r="Z235" i="1"/>
  <c r="Y235" i="1"/>
  <c r="V234" i="1"/>
  <c r="R234" i="1"/>
  <c r="Q234" i="1"/>
  <c r="P234" i="1"/>
  <c r="G234" i="1"/>
  <c r="W233" i="1"/>
  <c r="U233" i="1"/>
  <c r="T233" i="1"/>
  <c r="S233" i="1"/>
  <c r="K233" i="1"/>
  <c r="W232" i="1"/>
  <c r="T232" i="1"/>
  <c r="S232" i="1"/>
  <c r="K232" i="1"/>
  <c r="W231" i="1"/>
  <c r="T231" i="1"/>
  <c r="S231" i="1"/>
  <c r="K231" i="1"/>
  <c r="W230" i="1"/>
  <c r="U230" i="1"/>
  <c r="T230" i="1"/>
  <c r="S230" i="1"/>
  <c r="K230" i="1"/>
  <c r="W229" i="1"/>
  <c r="T229" i="1"/>
  <c r="S229" i="1"/>
  <c r="K229" i="1"/>
  <c r="U229" i="1" s="1"/>
  <c r="Z227" i="1"/>
  <c r="Y227" i="1"/>
  <c r="V226" i="1"/>
  <c r="R226" i="1"/>
  <c r="Q226" i="1"/>
  <c r="P226" i="1"/>
  <c r="G226" i="1"/>
  <c r="W225" i="1"/>
  <c r="T225" i="1"/>
  <c r="S225" i="1"/>
  <c r="K225" i="1"/>
  <c r="Z223" i="1"/>
  <c r="Y223" i="1"/>
  <c r="V222" i="1"/>
  <c r="R222" i="1"/>
  <c r="P222" i="1"/>
  <c r="G222" i="1"/>
  <c r="W221" i="1"/>
  <c r="W222" i="1" s="1"/>
  <c r="U221" i="1"/>
  <c r="U222" i="1" s="1"/>
  <c r="T221" i="1"/>
  <c r="T222" i="1" s="1"/>
  <c r="S221" i="1"/>
  <c r="S222" i="1" s="1"/>
  <c r="Q221" i="1"/>
  <c r="Q222" i="1" s="1"/>
  <c r="K221" i="1"/>
  <c r="Z219" i="1"/>
  <c r="Y219" i="1"/>
  <c r="V218" i="1"/>
  <c r="R218" i="1"/>
  <c r="Q218" i="1"/>
  <c r="P218" i="1"/>
  <c r="G218" i="1"/>
  <c r="W217" i="1"/>
  <c r="U217" i="1"/>
  <c r="T217" i="1"/>
  <c r="S217" i="1"/>
  <c r="K217" i="1"/>
  <c r="W216" i="1"/>
  <c r="U216" i="1"/>
  <c r="T216" i="1"/>
  <c r="S216" i="1"/>
  <c r="K216" i="1"/>
  <c r="W215" i="1"/>
  <c r="T215" i="1"/>
  <c r="S215" i="1"/>
  <c r="K215" i="1"/>
  <c r="W214" i="1"/>
  <c r="U214" i="1"/>
  <c r="T214" i="1"/>
  <c r="S214" i="1"/>
  <c r="K214" i="1"/>
  <c r="W213" i="1"/>
  <c r="T213" i="1"/>
  <c r="S213" i="1"/>
  <c r="K213" i="1"/>
  <c r="W212" i="1"/>
  <c r="U212" i="1"/>
  <c r="T212" i="1"/>
  <c r="S212" i="1"/>
  <c r="K212" i="1"/>
  <c r="W211" i="1"/>
  <c r="T211" i="1"/>
  <c r="S211" i="1"/>
  <c r="K211" i="1"/>
  <c r="U211" i="1" s="1"/>
  <c r="W210" i="1"/>
  <c r="U210" i="1"/>
  <c r="T210" i="1"/>
  <c r="S210" i="1"/>
  <c r="K210" i="1"/>
  <c r="W209" i="1"/>
  <c r="U209" i="1"/>
  <c r="T209" i="1"/>
  <c r="S209" i="1"/>
  <c r="K209" i="1"/>
  <c r="Z207" i="1"/>
  <c r="Y207" i="1"/>
  <c r="V206" i="1"/>
  <c r="R206" i="1"/>
  <c r="P206" i="1"/>
  <c r="G206" i="1"/>
  <c r="W205" i="1"/>
  <c r="U205" i="1"/>
  <c r="T205" i="1"/>
  <c r="S205" i="1"/>
  <c r="Q205" i="1"/>
  <c r="Q206" i="1" s="1"/>
  <c r="K205" i="1"/>
  <c r="T204" i="1"/>
  <c r="K204" i="1"/>
  <c r="T203" i="1"/>
  <c r="K203" i="1"/>
  <c r="W202" i="1"/>
  <c r="U202" i="1"/>
  <c r="T202" i="1"/>
  <c r="S202" i="1"/>
  <c r="K202" i="1"/>
  <c r="W201" i="1"/>
  <c r="U201" i="1"/>
  <c r="T201" i="1"/>
  <c r="S201" i="1"/>
  <c r="K201" i="1"/>
  <c r="W200" i="1"/>
  <c r="U200" i="1"/>
  <c r="T200" i="1"/>
  <c r="S200" i="1"/>
  <c r="K200" i="1"/>
  <c r="W199" i="1"/>
  <c r="U199" i="1"/>
  <c r="T199" i="1"/>
  <c r="S199" i="1"/>
  <c r="K199" i="1"/>
  <c r="W198" i="1"/>
  <c r="U198" i="1"/>
  <c r="T198" i="1"/>
  <c r="S198" i="1"/>
  <c r="K198" i="1"/>
  <c r="W197" i="1"/>
  <c r="T197" i="1"/>
  <c r="S197" i="1"/>
  <c r="K197" i="1"/>
  <c r="Z195" i="1"/>
  <c r="Y195" i="1"/>
  <c r="R194" i="1"/>
  <c r="P194" i="1"/>
  <c r="G194" i="1"/>
  <c r="W193" i="1"/>
  <c r="V193" i="1"/>
  <c r="T193" i="1"/>
  <c r="T194" i="1" s="1"/>
  <c r="S193" i="1"/>
  <c r="K193" i="1"/>
  <c r="W192" i="1"/>
  <c r="V192" i="1"/>
  <c r="S192" i="1"/>
  <c r="Q192" i="1"/>
  <c r="K192" i="1"/>
  <c r="X192" i="1" s="1"/>
  <c r="AG192" i="1" s="1"/>
  <c r="U194" i="1"/>
  <c r="Z190" i="1"/>
  <c r="Y190" i="1"/>
  <c r="V189" i="1"/>
  <c r="R189" i="1"/>
  <c r="Q189" i="1"/>
  <c r="P189" i="1"/>
  <c r="G189" i="1"/>
  <c r="W188" i="1"/>
  <c r="S188" i="1"/>
  <c r="K188" i="1"/>
  <c r="W187" i="1"/>
  <c r="T187" i="1"/>
  <c r="S187" i="1"/>
  <c r="K187" i="1"/>
  <c r="W186" i="1"/>
  <c r="U186" i="1"/>
  <c r="T186" i="1"/>
  <c r="S186" i="1"/>
  <c r="K186" i="1"/>
  <c r="W185" i="1"/>
  <c r="U185" i="1"/>
  <c r="T185" i="1"/>
  <c r="S185" i="1"/>
  <c r="K185" i="1"/>
  <c r="W184" i="1"/>
  <c r="T184" i="1"/>
  <c r="S184" i="1"/>
  <c r="K184" i="1"/>
  <c r="Z182" i="1"/>
  <c r="Y182" i="1"/>
  <c r="V181" i="1"/>
  <c r="R181" i="1"/>
  <c r="Q181" i="1"/>
  <c r="P181" i="1"/>
  <c r="G181" i="1"/>
  <c r="W180" i="1"/>
  <c r="U180" i="1"/>
  <c r="T180" i="1"/>
  <c r="S180" i="1"/>
  <c r="K180" i="1"/>
  <c r="W179" i="1"/>
  <c r="T179" i="1"/>
  <c r="S179" i="1"/>
  <c r="K179" i="1"/>
  <c r="W178" i="1"/>
  <c r="U178" i="1"/>
  <c r="T178" i="1"/>
  <c r="S178" i="1"/>
  <c r="K178" i="1"/>
  <c r="W177" i="1"/>
  <c r="U177" i="1"/>
  <c r="T177" i="1"/>
  <c r="S177" i="1"/>
  <c r="K177" i="1"/>
  <c r="W176" i="1"/>
  <c r="T176" i="1"/>
  <c r="S176" i="1"/>
  <c r="K176" i="1"/>
  <c r="W175" i="1"/>
  <c r="T175" i="1"/>
  <c r="S175" i="1"/>
  <c r="K175" i="1"/>
  <c r="X175" i="1" s="1"/>
  <c r="AG175" i="1" s="1"/>
  <c r="W174" i="1"/>
  <c r="U174" i="1"/>
  <c r="T174" i="1"/>
  <c r="S174" i="1"/>
  <c r="K174" i="1"/>
  <c r="Z172" i="1"/>
  <c r="Y172" i="1"/>
  <c r="V171" i="1"/>
  <c r="R171" i="1"/>
  <c r="Q171" i="1"/>
  <c r="P171" i="1"/>
  <c r="G171" i="1"/>
  <c r="W170" i="1"/>
  <c r="U170" i="1"/>
  <c r="T170" i="1"/>
  <c r="S170" i="1"/>
  <c r="K170" i="1"/>
  <c r="W169" i="1"/>
  <c r="T169" i="1"/>
  <c r="S169" i="1"/>
  <c r="K169" i="1"/>
  <c r="W168" i="1"/>
  <c r="U168" i="1"/>
  <c r="T168" i="1"/>
  <c r="S168" i="1"/>
  <c r="K168" i="1"/>
  <c r="X168" i="1" s="1"/>
  <c r="AG168" i="1" s="1"/>
  <c r="W167" i="1"/>
  <c r="U167" i="1"/>
  <c r="T167" i="1"/>
  <c r="S167" i="1"/>
  <c r="K167" i="1"/>
  <c r="W166" i="1"/>
  <c r="U166" i="1"/>
  <c r="T166" i="1"/>
  <c r="S166" i="1"/>
  <c r="K166" i="1"/>
  <c r="W165" i="1"/>
  <c r="T165" i="1"/>
  <c r="S165" i="1"/>
  <c r="K165" i="1"/>
  <c r="W164" i="1"/>
  <c r="U164" i="1"/>
  <c r="T164" i="1"/>
  <c r="S164" i="1"/>
  <c r="K164" i="1"/>
  <c r="W163" i="1"/>
  <c r="U163" i="1"/>
  <c r="T163" i="1"/>
  <c r="S163" i="1"/>
  <c r="K163" i="1"/>
  <c r="W162" i="1"/>
  <c r="T162" i="1"/>
  <c r="S162" i="1"/>
  <c r="K162" i="1"/>
  <c r="Z160" i="1"/>
  <c r="Y160" i="1"/>
  <c r="V159" i="1"/>
  <c r="R159" i="1"/>
  <c r="Q159" i="1"/>
  <c r="P159" i="1"/>
  <c r="G159" i="1"/>
  <c r="W158" i="1"/>
  <c r="T158" i="1"/>
  <c r="S158" i="1"/>
  <c r="K158" i="1"/>
  <c r="X158" i="1" s="1"/>
  <c r="AG158" i="1" s="1"/>
  <c r="W157" i="1"/>
  <c r="T157" i="1"/>
  <c r="S157" i="1"/>
  <c r="K157" i="1"/>
  <c r="W156" i="1"/>
  <c r="U156" i="1"/>
  <c r="T156" i="1"/>
  <c r="S156" i="1"/>
  <c r="K156" i="1"/>
  <c r="W155" i="1"/>
  <c r="T155" i="1"/>
  <c r="S155" i="1"/>
  <c r="K155" i="1"/>
  <c r="Z153" i="1"/>
  <c r="Y153" i="1"/>
  <c r="Z221" i="1" l="1"/>
  <c r="Z222" i="1" s="1"/>
  <c r="S226" i="1"/>
  <c r="X211" i="1"/>
  <c r="AG211" i="1" s="1"/>
  <c r="S189" i="1"/>
  <c r="T226" i="1"/>
  <c r="U253" i="1"/>
  <c r="S234" i="1"/>
  <c r="S264" i="1"/>
  <c r="Y221" i="1"/>
  <c r="Y222" i="1" s="1"/>
  <c r="AE199" i="1"/>
  <c r="AC199" i="1" s="1"/>
  <c r="AA199" i="1"/>
  <c r="X199" i="1"/>
  <c r="AG199" i="1" s="1"/>
  <c r="AA216" i="1"/>
  <c r="AE216" i="1"/>
  <c r="AC216" i="1" s="1"/>
  <c r="X216" i="1"/>
  <c r="AG216" i="1" s="1"/>
  <c r="AA238" i="1"/>
  <c r="AE238" i="1"/>
  <c r="AC238" i="1" s="1"/>
  <c r="X238" i="1"/>
  <c r="AG238" i="1" s="1"/>
  <c r="AA178" i="1"/>
  <c r="AE178" i="1"/>
  <c r="AC178" i="1" s="1"/>
  <c r="X198" i="1"/>
  <c r="AG198" i="1" s="1"/>
  <c r="AA198" i="1"/>
  <c r="AE198" i="1"/>
  <c r="AC198" i="1" s="1"/>
  <c r="U197" i="1"/>
  <c r="AE197" i="1"/>
  <c r="AC197" i="1" s="1"/>
  <c r="AA197" i="1"/>
  <c r="X197" i="1"/>
  <c r="AG197" i="1" s="1"/>
  <c r="AA217" i="1"/>
  <c r="AE217" i="1"/>
  <c r="AC217" i="1" s="1"/>
  <c r="AA184" i="1"/>
  <c r="AE184" i="1"/>
  <c r="AC184" i="1" s="1"/>
  <c r="U184" i="1"/>
  <c r="AE202" i="1"/>
  <c r="AC202" i="1" s="1"/>
  <c r="AA202" i="1"/>
  <c r="X193" i="1"/>
  <c r="AG193" i="1" s="1"/>
  <c r="AE193" i="1"/>
  <c r="AC193" i="1" s="1"/>
  <c r="AA193" i="1"/>
  <c r="AA252" i="1"/>
  <c r="AE252" i="1"/>
  <c r="AC252" i="1" s="1"/>
  <c r="AE185" i="1"/>
  <c r="AC185" i="1" s="1"/>
  <c r="AA185" i="1"/>
  <c r="AA244" i="1"/>
  <c r="AE244" i="1"/>
  <c r="AC244" i="1" s="1"/>
  <c r="X244" i="1"/>
  <c r="AA273" i="1"/>
  <c r="AE273" i="1"/>
  <c r="AC273" i="1" s="1"/>
  <c r="U273" i="1"/>
  <c r="AA251" i="1"/>
  <c r="AE251" i="1"/>
  <c r="AC251" i="1" s="1"/>
  <c r="X251" i="1"/>
  <c r="AG251" i="1" s="1"/>
  <c r="AA155" i="1"/>
  <c r="AE155" i="1"/>
  <c r="AC155" i="1" s="1"/>
  <c r="U155" i="1"/>
  <c r="AA271" i="1"/>
  <c r="AE271" i="1"/>
  <c r="AC271" i="1" s="1"/>
  <c r="AE164" i="1"/>
  <c r="AC164" i="1" s="1"/>
  <c r="AA164" i="1"/>
  <c r="X164" i="1"/>
  <c r="AG164" i="1" s="1"/>
  <c r="AE157" i="1"/>
  <c r="AC157" i="1" s="1"/>
  <c r="AA157" i="1"/>
  <c r="T171" i="1"/>
  <c r="T189" i="1"/>
  <c r="T241" i="1"/>
  <c r="W259" i="1"/>
  <c r="AA267" i="1"/>
  <c r="AE267" i="1"/>
  <c r="AC267" i="1" s="1"/>
  <c r="AE203" i="1"/>
  <c r="AC203" i="1" s="1"/>
  <c r="AA203" i="1"/>
  <c r="AE253" i="1"/>
  <c r="AC253" i="1" s="1"/>
  <c r="AA253" i="1"/>
  <c r="AE275" i="1"/>
  <c r="AC275" i="1" s="1"/>
  <c r="AA275" i="1"/>
  <c r="AB275" i="1" s="1"/>
  <c r="Z165" i="1"/>
  <c r="Z167" i="1"/>
  <c r="Z163" i="1"/>
  <c r="Z169" i="1"/>
  <c r="Z170" i="1"/>
  <c r="Z166" i="1"/>
  <c r="Z162" i="1"/>
  <c r="Z164" i="1"/>
  <c r="Z168" i="1"/>
  <c r="AA200" i="1"/>
  <c r="AE200" i="1"/>
  <c r="AC200" i="1" s="1"/>
  <c r="AE230" i="1"/>
  <c r="AC230" i="1" s="1"/>
  <c r="AA230" i="1"/>
  <c r="AE162" i="1"/>
  <c r="AC162" i="1" s="1"/>
  <c r="AA162" i="1"/>
  <c r="AA180" i="1"/>
  <c r="AE180" i="1"/>
  <c r="AC180" i="1" s="1"/>
  <c r="AE188" i="1"/>
  <c r="AC188" i="1" s="1"/>
  <c r="AA188" i="1"/>
  <c r="S171" i="1"/>
  <c r="AA215" i="1"/>
  <c r="AE215" i="1"/>
  <c r="AC215" i="1" s="1"/>
  <c r="U175" i="1"/>
  <c r="Z225" i="1"/>
  <c r="W159" i="1"/>
  <c r="AE163" i="1"/>
  <c r="AC163" i="1" s="1"/>
  <c r="AA163" i="1"/>
  <c r="AE167" i="1"/>
  <c r="AC167" i="1" s="1"/>
  <c r="AA167" i="1"/>
  <c r="AA179" i="1"/>
  <c r="AE179" i="1"/>
  <c r="AC179" i="1" s="1"/>
  <c r="AA201" i="1"/>
  <c r="AE201" i="1"/>
  <c r="AC201" i="1" s="1"/>
  <c r="AA231" i="1"/>
  <c r="AE231" i="1"/>
  <c r="AC231" i="1" s="1"/>
  <c r="AA237" i="1"/>
  <c r="AE237" i="1"/>
  <c r="AC237" i="1" s="1"/>
  <c r="AA239" i="1"/>
  <c r="AE239" i="1"/>
  <c r="AC239" i="1" s="1"/>
  <c r="AA249" i="1"/>
  <c r="AE249" i="1"/>
  <c r="AC249" i="1" s="1"/>
  <c r="X257" i="1"/>
  <c r="AG257" i="1" s="1"/>
  <c r="AE257" i="1"/>
  <c r="AC257" i="1" s="1"/>
  <c r="AA257" i="1"/>
  <c r="AE262" i="1"/>
  <c r="AC262" i="1" s="1"/>
  <c r="AA262" i="1"/>
  <c r="AA270" i="1"/>
  <c r="AE270" i="1"/>
  <c r="AC270" i="1" s="1"/>
  <c r="X157" i="1"/>
  <c r="AG157" i="1" s="1"/>
  <c r="AA166" i="1"/>
  <c r="AE166" i="1"/>
  <c r="AC166" i="1" s="1"/>
  <c r="X180" i="1"/>
  <c r="AG180" i="1" s="1"/>
  <c r="Y192" i="1"/>
  <c r="Y193" i="1"/>
  <c r="V194" i="1"/>
  <c r="AE205" i="1"/>
  <c r="AC205" i="1" s="1"/>
  <c r="AA205" i="1"/>
  <c r="AA214" i="1"/>
  <c r="AE214" i="1"/>
  <c r="AC214" i="1" s="1"/>
  <c r="X215" i="1"/>
  <c r="AG215" i="1" s="1"/>
  <c r="AA170" i="1"/>
  <c r="AE170" i="1"/>
  <c r="AC170" i="1" s="1"/>
  <c r="AA272" i="1"/>
  <c r="AE272" i="1"/>
  <c r="AC272" i="1" s="1"/>
  <c r="AA210" i="1"/>
  <c r="AE210" i="1"/>
  <c r="AC210" i="1" s="1"/>
  <c r="Z192" i="1"/>
  <c r="Z193" i="1"/>
  <c r="AA204" i="1"/>
  <c r="AE204" i="1"/>
  <c r="AC204" i="1" s="1"/>
  <c r="W171" i="1"/>
  <c r="AA165" i="1"/>
  <c r="AE165" i="1"/>
  <c r="AC165" i="1" s="1"/>
  <c r="T181" i="1"/>
  <c r="U179" i="1"/>
  <c r="Z202" i="1"/>
  <c r="Z198" i="1"/>
  <c r="Z203" i="1"/>
  <c r="Z200" i="1"/>
  <c r="Z199" i="1"/>
  <c r="Z205" i="1"/>
  <c r="Z197" i="1"/>
  <c r="Z201" i="1"/>
  <c r="Z204" i="1"/>
  <c r="AA212" i="1"/>
  <c r="AE212" i="1"/>
  <c r="AC212" i="1" s="1"/>
  <c r="W254" i="1"/>
  <c r="AE258" i="1"/>
  <c r="AC258" i="1" s="1"/>
  <c r="AA258" i="1"/>
  <c r="AA186" i="1"/>
  <c r="AE186" i="1"/>
  <c r="AC186" i="1" s="1"/>
  <c r="AA192" i="1"/>
  <c r="AB192" i="1" s="1"/>
  <c r="AE192" i="1"/>
  <c r="AC192" i="1" s="1"/>
  <c r="AE176" i="1"/>
  <c r="AC176" i="1" s="1"/>
  <c r="AA176" i="1"/>
  <c r="K194" i="1"/>
  <c r="U204" i="1"/>
  <c r="AA209" i="1"/>
  <c r="AE209" i="1"/>
  <c r="AC209" i="1" s="1"/>
  <c r="W226" i="1"/>
  <c r="AE232" i="1"/>
  <c r="AC232" i="1" s="1"/>
  <c r="AA232" i="1"/>
  <c r="AE248" i="1"/>
  <c r="AC248" i="1" s="1"/>
  <c r="AA248" i="1"/>
  <c r="AE250" i="1"/>
  <c r="AC250" i="1" s="1"/>
  <c r="AA250" i="1"/>
  <c r="T264" i="1"/>
  <c r="Y225" i="1"/>
  <c r="AA158" i="1"/>
  <c r="AE158" i="1"/>
  <c r="AC158" i="1" s="1"/>
  <c r="AE187" i="1"/>
  <c r="AC187" i="1" s="1"/>
  <c r="AA187" i="1"/>
  <c r="U158" i="1"/>
  <c r="X179" i="1"/>
  <c r="AG179" i="1" s="1"/>
  <c r="Q194" i="1"/>
  <c r="X204" i="1"/>
  <c r="AG204" i="1" s="1"/>
  <c r="AE213" i="1"/>
  <c r="AC213" i="1" s="1"/>
  <c r="AA213" i="1"/>
  <c r="X221" i="1"/>
  <c r="AA221" i="1"/>
  <c r="AE221" i="1"/>
  <c r="AC221" i="1" s="1"/>
  <c r="AA225" i="1"/>
  <c r="AE225" i="1"/>
  <c r="AC225" i="1" s="1"/>
  <c r="AE233" i="1"/>
  <c r="AC233" i="1" s="1"/>
  <c r="AA233" i="1"/>
  <c r="X237" i="1"/>
  <c r="AG237" i="1" s="1"/>
  <c r="X239" i="1"/>
  <c r="AG239" i="1" s="1"/>
  <c r="X263" i="1"/>
  <c r="AG263" i="1" s="1"/>
  <c r="AA263" i="1"/>
  <c r="AE263" i="1"/>
  <c r="AC263" i="1" s="1"/>
  <c r="AA175" i="1"/>
  <c r="AE175" i="1"/>
  <c r="AC175" i="1" s="1"/>
  <c r="AA274" i="1"/>
  <c r="AE274" i="1"/>
  <c r="AC274" i="1" s="1"/>
  <c r="S159" i="1"/>
  <c r="AA174" i="1"/>
  <c r="AE174" i="1"/>
  <c r="AC174" i="1" s="1"/>
  <c r="Y204" i="1"/>
  <c r="Y198" i="1"/>
  <c r="Y205" i="1"/>
  <c r="Y202" i="1"/>
  <c r="Y197" i="1"/>
  <c r="Y199" i="1"/>
  <c r="Y200" i="1"/>
  <c r="Y201" i="1"/>
  <c r="Y203" i="1"/>
  <c r="AA268" i="1"/>
  <c r="AE268" i="1"/>
  <c r="AC268" i="1" s="1"/>
  <c r="AA156" i="1"/>
  <c r="AE156" i="1"/>
  <c r="AC156" i="1" s="1"/>
  <c r="AA168" i="1"/>
  <c r="AB168" i="1" s="1"/>
  <c r="AE168" i="1"/>
  <c r="AC168" i="1" s="1"/>
  <c r="AE169" i="1"/>
  <c r="AC169" i="1" s="1"/>
  <c r="AA169" i="1"/>
  <c r="AA177" i="1"/>
  <c r="AE177" i="1"/>
  <c r="AC177" i="1" s="1"/>
  <c r="Y166" i="1"/>
  <c r="Y170" i="1"/>
  <c r="Y163" i="1"/>
  <c r="Y169" i="1"/>
  <c r="Y162" i="1"/>
  <c r="Y168" i="1"/>
  <c r="Y165" i="1"/>
  <c r="Y164" i="1"/>
  <c r="Y167" i="1"/>
  <c r="X187" i="1"/>
  <c r="AG187" i="1" s="1"/>
  <c r="S206" i="1"/>
  <c r="AA211" i="1"/>
  <c r="AE211" i="1"/>
  <c r="AC211" i="1" s="1"/>
  <c r="AE229" i="1"/>
  <c r="AC229" i="1" s="1"/>
  <c r="AA229" i="1"/>
  <c r="AE240" i="1"/>
  <c r="AC240" i="1" s="1"/>
  <c r="AA240" i="1"/>
  <c r="AA269" i="1"/>
  <c r="AE269" i="1"/>
  <c r="AC269" i="1" s="1"/>
  <c r="X166" i="1"/>
  <c r="AG166" i="1" s="1"/>
  <c r="X156" i="1"/>
  <c r="AG156" i="1" s="1"/>
  <c r="X169" i="1"/>
  <c r="AG169" i="1" s="1"/>
  <c r="U169" i="1"/>
  <c r="X213" i="1"/>
  <c r="AG213" i="1" s="1"/>
  <c r="U213" i="1"/>
  <c r="K171" i="1"/>
  <c r="U162" i="1"/>
  <c r="X162" i="1"/>
  <c r="AG162" i="1" s="1"/>
  <c r="X167" i="1"/>
  <c r="AG167" i="1" s="1"/>
  <c r="X163" i="1"/>
  <c r="AG163" i="1" s="1"/>
  <c r="X231" i="1"/>
  <c r="AG231" i="1" s="1"/>
  <c r="U231" i="1"/>
  <c r="X188" i="1"/>
  <c r="AG188" i="1" s="1"/>
  <c r="U188" i="1"/>
  <c r="X186" i="1"/>
  <c r="AG186" i="1" s="1"/>
  <c r="S181" i="1"/>
  <c r="X214" i="1"/>
  <c r="AG214" i="1" s="1"/>
  <c r="X230" i="1"/>
  <c r="AG230" i="1" s="1"/>
  <c r="U165" i="1"/>
  <c r="X178" i="1"/>
  <c r="AG178" i="1" s="1"/>
  <c r="X201" i="1"/>
  <c r="AG201" i="1" s="1"/>
  <c r="X232" i="1"/>
  <c r="AG232" i="1" s="1"/>
  <c r="U232" i="1"/>
  <c r="X155" i="1"/>
  <c r="AG155" i="1" s="1"/>
  <c r="W181" i="1"/>
  <c r="K206" i="1"/>
  <c r="X269" i="1"/>
  <c r="AG269" i="1" s="1"/>
  <c r="X165" i="1"/>
  <c r="AG165" i="1" s="1"/>
  <c r="X209" i="1"/>
  <c r="AG209" i="1" s="1"/>
  <c r="U258" i="1"/>
  <c r="X258" i="1"/>
  <c r="AG258" i="1" s="1"/>
  <c r="X170" i="1"/>
  <c r="AG170" i="1" s="1"/>
  <c r="U157" i="1"/>
  <c r="S194" i="1"/>
  <c r="X203" i="1"/>
  <c r="AG203" i="1" s="1"/>
  <c r="X233" i="1"/>
  <c r="AG233" i="1" s="1"/>
  <c r="U176" i="1"/>
  <c r="X205" i="1"/>
  <c r="AG205" i="1" s="1"/>
  <c r="X249" i="1"/>
  <c r="AG249" i="1" s="1"/>
  <c r="U249" i="1"/>
  <c r="W189" i="1"/>
  <c r="W194" i="1"/>
  <c r="T206" i="1"/>
  <c r="X217" i="1"/>
  <c r="AG217" i="1" s="1"/>
  <c r="K259" i="1"/>
  <c r="K218" i="1"/>
  <c r="T159" i="1"/>
  <c r="K189" i="1"/>
  <c r="W206" i="1"/>
  <c r="X210" i="1"/>
  <c r="AG210" i="1" s="1"/>
  <c r="U225" i="1"/>
  <c r="U226" i="1" s="1"/>
  <c r="K226" i="1"/>
  <c r="X225" i="1"/>
  <c r="AG225" i="1" s="1"/>
  <c r="S241" i="1"/>
  <c r="X174" i="1"/>
  <c r="AG174" i="1" s="1"/>
  <c r="X185" i="1"/>
  <c r="AG185" i="1" s="1"/>
  <c r="U187" i="1"/>
  <c r="X200" i="1"/>
  <c r="AG200" i="1" s="1"/>
  <c r="K159" i="1"/>
  <c r="X176" i="1"/>
  <c r="AG176" i="1" s="1"/>
  <c r="X177" i="1"/>
  <c r="AG177" i="1" s="1"/>
  <c r="K181" i="1"/>
  <c r="K222" i="1"/>
  <c r="X184" i="1"/>
  <c r="AG184" i="1" s="1"/>
  <c r="X202" i="1"/>
  <c r="AG202" i="1" s="1"/>
  <c r="S218" i="1"/>
  <c r="X212" i="1"/>
  <c r="AG212" i="1" s="1"/>
  <c r="W241" i="1"/>
  <c r="K254" i="1"/>
  <c r="T218" i="1"/>
  <c r="S254" i="1"/>
  <c r="W218" i="1"/>
  <c r="X262" i="1"/>
  <c r="AG262" i="1" s="1"/>
  <c r="K264" i="1"/>
  <c r="U215" i="1"/>
  <c r="K241" i="1"/>
  <c r="K234" i="1"/>
  <c r="X229" i="1"/>
  <c r="AG229" i="1" s="1"/>
  <c r="K245" i="1"/>
  <c r="T234" i="1"/>
  <c r="S276" i="1"/>
  <c r="U268" i="1"/>
  <c r="X268" i="1"/>
  <c r="AG268" i="1" s="1"/>
  <c r="T259" i="1"/>
  <c r="T276" i="1"/>
  <c r="X271" i="1"/>
  <c r="AG271" i="1" s="1"/>
  <c r="U271" i="1"/>
  <c r="X248" i="1"/>
  <c r="AG248" i="1" s="1"/>
  <c r="T254" i="1"/>
  <c r="W276" i="1"/>
  <c r="X252" i="1"/>
  <c r="AG252" i="1" s="1"/>
  <c r="X273" i="1"/>
  <c r="AG273" i="1" s="1"/>
  <c r="X250" i="1"/>
  <c r="AG250" i="1" s="1"/>
  <c r="X267" i="1"/>
  <c r="AG267" i="1" s="1"/>
  <c r="U267" i="1"/>
  <c r="X270" i="1"/>
  <c r="AG270" i="1" s="1"/>
  <c r="U270" i="1"/>
  <c r="W234" i="1"/>
  <c r="X240" i="1"/>
  <c r="AG240" i="1" s="1"/>
  <c r="U240" i="1"/>
  <c r="S259" i="1"/>
  <c r="X272" i="1"/>
  <c r="AG272" i="1" s="1"/>
  <c r="U264" i="1"/>
  <c r="W264" i="1"/>
  <c r="X274" i="1"/>
  <c r="AG274" i="1" s="1"/>
  <c r="U274" i="1"/>
  <c r="K276" i="1"/>
  <c r="AB211" i="1" l="1"/>
  <c r="AD211" i="1" s="1"/>
  <c r="AB237" i="1"/>
  <c r="AD237" i="1" s="1"/>
  <c r="AB185" i="1"/>
  <c r="AD185" i="1" s="1"/>
  <c r="AB253" i="1"/>
  <c r="AD253" i="1" s="1"/>
  <c r="AB166" i="1"/>
  <c r="AD166" i="1" s="1"/>
  <c r="AB272" i="1"/>
  <c r="AD272" i="1" s="1"/>
  <c r="AB250" i="1"/>
  <c r="AD250" i="1" s="1"/>
  <c r="AB252" i="1"/>
  <c r="AD252" i="1" s="1"/>
  <c r="AB204" i="1"/>
  <c r="AD204" i="1" s="1"/>
  <c r="AB262" i="1"/>
  <c r="AD262" i="1" s="1"/>
  <c r="AB200" i="1"/>
  <c r="AD200" i="1" s="1"/>
  <c r="AB269" i="1"/>
  <c r="AD269" i="1" s="1"/>
  <c r="AB170" i="1"/>
  <c r="AD170" i="1" s="1"/>
  <c r="AB156" i="1"/>
  <c r="AD156" i="1" s="1"/>
  <c r="AB174" i="1"/>
  <c r="AD174" i="1" s="1"/>
  <c r="AB186" i="1"/>
  <c r="AD186" i="1" s="1"/>
  <c r="AB175" i="1"/>
  <c r="AD175" i="1" s="1"/>
  <c r="AB199" i="1"/>
  <c r="AD199" i="1" s="1"/>
  <c r="AB205" i="1"/>
  <c r="AD205" i="1" s="1"/>
  <c r="AB164" i="1"/>
  <c r="AD164" i="1" s="1"/>
  <c r="AB216" i="1"/>
  <c r="AD216" i="1" s="1"/>
  <c r="AD192" i="1"/>
  <c r="AB257" i="1"/>
  <c r="AD257" i="1" s="1"/>
  <c r="Z171" i="1"/>
  <c r="AB251" i="1"/>
  <c r="AD251" i="1" s="1"/>
  <c r="Y194" i="1"/>
  <c r="Z206" i="1"/>
  <c r="AB165" i="1"/>
  <c r="AD165" i="1" s="1"/>
  <c r="AB193" i="1"/>
  <c r="AD193" i="1" s="1"/>
  <c r="AB238" i="1"/>
  <c r="AD238" i="1" s="1"/>
  <c r="AD168" i="1"/>
  <c r="AB197" i="1"/>
  <c r="AD197" i="1" s="1"/>
  <c r="AB178" i="1"/>
  <c r="AD178" i="1" s="1"/>
  <c r="AB214" i="1"/>
  <c r="AD214" i="1" s="1"/>
  <c r="U254" i="1"/>
  <c r="AB212" i="1"/>
  <c r="AD212" i="1" s="1"/>
  <c r="AB215" i="1"/>
  <c r="AD215" i="1" s="1"/>
  <c r="AB157" i="1"/>
  <c r="AD157" i="1" s="1"/>
  <c r="AD275" i="1"/>
  <c r="AB225" i="1"/>
  <c r="AD225" i="1" s="1"/>
  <c r="Y206" i="1"/>
  <c r="AB167" i="1"/>
  <c r="AD167" i="1" s="1"/>
  <c r="AB263" i="1"/>
  <c r="AD263" i="1" s="1"/>
  <c r="U234" i="1"/>
  <c r="U218" i="1"/>
  <c r="U206" i="1"/>
  <c r="Y171" i="1"/>
  <c r="AB239" i="1"/>
  <c r="AD239" i="1" s="1"/>
  <c r="AB267" i="1"/>
  <c r="AD267" i="1" s="1"/>
  <c r="AB231" i="1"/>
  <c r="AD231" i="1" s="1"/>
  <c r="U159" i="1"/>
  <c r="X245" i="1"/>
  <c r="AG244" i="1"/>
  <c r="AB244" i="1" s="1"/>
  <c r="AD244" i="1" s="1"/>
  <c r="AB202" i="1"/>
  <c r="AD202" i="1" s="1"/>
  <c r="AB213" i="1"/>
  <c r="AD213" i="1" s="1"/>
  <c r="AB240" i="1"/>
  <c r="AD240" i="1" s="1"/>
  <c r="AB177" i="1"/>
  <c r="AD177" i="1" s="1"/>
  <c r="AB274" i="1"/>
  <c r="AD274" i="1" s="1"/>
  <c r="AB176" i="1"/>
  <c r="AD176" i="1" s="1"/>
  <c r="AB210" i="1"/>
  <c r="AD210" i="1" s="1"/>
  <c r="AB249" i="1"/>
  <c r="AD249" i="1" s="1"/>
  <c r="AB230" i="1"/>
  <c r="AD230" i="1" s="1"/>
  <c r="AB187" i="1"/>
  <c r="AD187" i="1" s="1"/>
  <c r="AB180" i="1"/>
  <c r="AD180" i="1" s="1"/>
  <c r="AB198" i="1"/>
  <c r="AD198" i="1" s="1"/>
  <c r="AB217" i="1"/>
  <c r="AD217" i="1" s="1"/>
  <c r="AB163" i="1"/>
  <c r="AD163" i="1" s="1"/>
  <c r="AB258" i="1"/>
  <c r="AD258" i="1" s="1"/>
  <c r="AB169" i="1"/>
  <c r="AD169" i="1" s="1"/>
  <c r="AB233" i="1"/>
  <c r="AD233" i="1" s="1"/>
  <c r="AB184" i="1"/>
  <c r="AD184" i="1" s="1"/>
  <c r="AB162" i="1"/>
  <c r="AD162" i="1" s="1"/>
  <c r="X222" i="1"/>
  <c r="AG221" i="1"/>
  <c r="AB221" i="1" s="1"/>
  <c r="AD221" i="1" s="1"/>
  <c r="X194" i="1"/>
  <c r="AB273" i="1"/>
  <c r="AD273" i="1" s="1"/>
  <c r="U276" i="1"/>
  <c r="AB271" i="1"/>
  <c r="AD271" i="1" s="1"/>
  <c r="U259" i="1"/>
  <c r="AB268" i="1"/>
  <c r="AD268" i="1" s="1"/>
  <c r="AB203" i="1"/>
  <c r="AD203" i="1" s="1"/>
  <c r="AB232" i="1"/>
  <c r="AD232" i="1" s="1"/>
  <c r="AB229" i="1"/>
  <c r="AD229" i="1" s="1"/>
  <c r="AB188" i="1"/>
  <c r="AD188" i="1" s="1"/>
  <c r="AB209" i="1"/>
  <c r="AD209" i="1" s="1"/>
  <c r="AB155" i="1"/>
  <c r="AD155" i="1" s="1"/>
  <c r="AB201" i="1"/>
  <c r="AD201" i="1" s="1"/>
  <c r="AB270" i="1"/>
  <c r="AD270" i="1" s="1"/>
  <c r="AB248" i="1"/>
  <c r="AD248" i="1" s="1"/>
  <c r="U189" i="1"/>
  <c r="AB179" i="1"/>
  <c r="AD179" i="1" s="1"/>
  <c r="AB158" i="1"/>
  <c r="AD158" i="1" s="1"/>
  <c r="X254" i="1"/>
  <c r="X259" i="1"/>
  <c r="X241" i="1"/>
  <c r="Z194" i="1"/>
  <c r="U241" i="1"/>
  <c r="Y226" i="1"/>
  <c r="X234" i="1"/>
  <c r="X276" i="1"/>
  <c r="X264" i="1"/>
  <c r="Z226" i="1"/>
  <c r="X218" i="1"/>
  <c r="X171" i="1"/>
  <c r="X206" i="1"/>
  <c r="U171" i="1"/>
  <c r="X181" i="1"/>
  <c r="X226" i="1"/>
  <c r="U181" i="1"/>
  <c r="X159" i="1"/>
  <c r="X189" i="1"/>
  <c r="Y259" i="1" l="1"/>
  <c r="Z259" i="1"/>
  <c r="V152" i="1" l="1"/>
  <c r="R152" i="1"/>
  <c r="Q152" i="1"/>
  <c r="P152" i="1"/>
  <c r="G152" i="1"/>
  <c r="W151" i="1"/>
  <c r="T151" i="1"/>
  <c r="S151" i="1"/>
  <c r="K151" i="1"/>
  <c r="X151" i="1" s="1"/>
  <c r="AG151" i="1" s="1"/>
  <c r="W150" i="1"/>
  <c r="T150" i="1"/>
  <c r="S150" i="1"/>
  <c r="K150" i="1"/>
  <c r="W149" i="1"/>
  <c r="S149" i="1"/>
  <c r="K149" i="1"/>
  <c r="W148" i="1"/>
  <c r="T148" i="1"/>
  <c r="S148" i="1"/>
  <c r="K148" i="1"/>
  <c r="W147" i="1"/>
  <c r="T147" i="1"/>
  <c r="S147" i="1"/>
  <c r="K147" i="1"/>
  <c r="X147" i="1" s="1"/>
  <c r="AG147" i="1" s="1"/>
  <c r="W146" i="1"/>
  <c r="T146" i="1"/>
  <c r="S146" i="1"/>
  <c r="K146" i="1"/>
  <c r="W145" i="1"/>
  <c r="T145" i="1"/>
  <c r="S145" i="1"/>
  <c r="K145" i="1"/>
  <c r="W144" i="1"/>
  <c r="T144" i="1"/>
  <c r="S144" i="1"/>
  <c r="K144" i="1"/>
  <c r="W143" i="1"/>
  <c r="T143" i="1"/>
  <c r="S143" i="1"/>
  <c r="K143" i="1"/>
  <c r="W142" i="1"/>
  <c r="T142" i="1"/>
  <c r="S142" i="1"/>
  <c r="K142" i="1"/>
  <c r="W141" i="1"/>
  <c r="T141" i="1"/>
  <c r="S141" i="1"/>
  <c r="K141" i="1"/>
  <c r="W140" i="1"/>
  <c r="T140" i="1"/>
  <c r="S140" i="1"/>
  <c r="K140" i="1"/>
  <c r="W139" i="1"/>
  <c r="T139" i="1"/>
  <c r="S139" i="1"/>
  <c r="K139" i="1"/>
  <c r="W138" i="1"/>
  <c r="T138" i="1"/>
  <c r="S138" i="1"/>
  <c r="K138" i="1"/>
  <c r="W137" i="1"/>
  <c r="T137" i="1"/>
  <c r="S137" i="1"/>
  <c r="K137" i="1"/>
  <c r="W136" i="1"/>
  <c r="T136" i="1"/>
  <c r="S136" i="1"/>
  <c r="K136" i="1"/>
  <c r="Z134" i="1"/>
  <c r="Y134" i="1"/>
  <c r="V133" i="1"/>
  <c r="R133" i="1"/>
  <c r="Q133" i="1"/>
  <c r="G133" i="1"/>
  <c r="W132" i="1"/>
  <c r="T132" i="1"/>
  <c r="S132" i="1"/>
  <c r="K132" i="1"/>
  <c r="W131" i="1"/>
  <c r="T131" i="1"/>
  <c r="S131" i="1"/>
  <c r="K131" i="1"/>
  <c r="U131" i="1" s="1"/>
  <c r="W130" i="1"/>
  <c r="T130" i="1"/>
  <c r="S130" i="1"/>
  <c r="K130" i="1"/>
  <c r="T129" i="1"/>
  <c r="K129" i="1"/>
  <c r="T128" i="1"/>
  <c r="K128" i="1"/>
  <c r="W127" i="1"/>
  <c r="T127" i="1"/>
  <c r="S127" i="1"/>
  <c r="K127" i="1"/>
  <c r="W126" i="1"/>
  <c r="T126" i="1"/>
  <c r="S126" i="1"/>
  <c r="K126" i="1"/>
  <c r="W125" i="1"/>
  <c r="T125" i="1"/>
  <c r="S125" i="1"/>
  <c r="K125" i="1"/>
  <c r="W124" i="1"/>
  <c r="T124" i="1"/>
  <c r="S124" i="1"/>
  <c r="K124" i="1"/>
  <c r="W123" i="1"/>
  <c r="T123" i="1"/>
  <c r="S123" i="1"/>
  <c r="K123" i="1"/>
  <c r="Z121" i="1"/>
  <c r="Y121" i="1"/>
  <c r="T152" i="1" l="1"/>
  <c r="U147" i="1"/>
  <c r="AE126" i="1"/>
  <c r="AC126" i="1" s="1"/>
  <c r="AA126" i="1"/>
  <c r="AE140" i="1"/>
  <c r="AC140" i="1" s="1"/>
  <c r="AA140" i="1"/>
  <c r="X140" i="1"/>
  <c r="AG140" i="1" s="1"/>
  <c r="U140" i="1"/>
  <c r="AA150" i="1"/>
  <c r="AE150" i="1"/>
  <c r="AC150" i="1" s="1"/>
  <c r="AE137" i="1"/>
  <c r="AC137" i="1" s="1"/>
  <c r="AA137" i="1"/>
  <c r="AA143" i="1"/>
  <c r="AE143" i="1"/>
  <c r="AC143" i="1" s="1"/>
  <c r="AA129" i="1"/>
  <c r="AE129" i="1"/>
  <c r="AC129" i="1" s="1"/>
  <c r="AA146" i="1"/>
  <c r="AE146" i="1"/>
  <c r="AC146" i="1" s="1"/>
  <c r="AE136" i="1"/>
  <c r="AC136" i="1" s="1"/>
  <c r="AA136" i="1"/>
  <c r="AA148" i="1"/>
  <c r="AE148" i="1"/>
  <c r="AC148" i="1" s="1"/>
  <c r="X130" i="1"/>
  <c r="AG130" i="1" s="1"/>
  <c r="AE130" i="1"/>
  <c r="AC130" i="1" s="1"/>
  <c r="AA130" i="1"/>
  <c r="X131" i="1"/>
  <c r="AG131" i="1" s="1"/>
  <c r="AA144" i="1"/>
  <c r="AE144" i="1"/>
  <c r="AC144" i="1" s="1"/>
  <c r="AA139" i="1"/>
  <c r="AE139" i="1"/>
  <c r="AC139" i="1" s="1"/>
  <c r="AA141" i="1"/>
  <c r="AE141" i="1"/>
  <c r="AC141" i="1" s="1"/>
  <c r="AA127" i="1"/>
  <c r="AE127" i="1"/>
  <c r="AC127" i="1" s="1"/>
  <c r="AA142" i="1"/>
  <c r="AE142" i="1"/>
  <c r="AC142" i="1" s="1"/>
  <c r="AE128" i="1"/>
  <c r="AC128" i="1" s="1"/>
  <c r="AA128" i="1"/>
  <c r="AA149" i="1"/>
  <c r="AE149" i="1"/>
  <c r="AC149" i="1" s="1"/>
  <c r="AE131" i="1"/>
  <c r="AC131" i="1" s="1"/>
  <c r="AA131" i="1"/>
  <c r="S133" i="1"/>
  <c r="AA132" i="1"/>
  <c r="AE132" i="1"/>
  <c r="AC132" i="1" s="1"/>
  <c r="AA147" i="1"/>
  <c r="AE147" i="1"/>
  <c r="AC147" i="1" s="1"/>
  <c r="AE151" i="1"/>
  <c r="AC151" i="1" s="1"/>
  <c r="AA151" i="1"/>
  <c r="AB151" i="1" s="1"/>
  <c r="AA124" i="1"/>
  <c r="AE124" i="1"/>
  <c r="AC124" i="1" s="1"/>
  <c r="AA125" i="1"/>
  <c r="AE125" i="1"/>
  <c r="AC125" i="1" s="1"/>
  <c r="AE138" i="1"/>
  <c r="AC138" i="1" s="1"/>
  <c r="AA138" i="1"/>
  <c r="AA145" i="1"/>
  <c r="AE145" i="1"/>
  <c r="AC145" i="1" s="1"/>
  <c r="AA123" i="1"/>
  <c r="AE123" i="1"/>
  <c r="AC123" i="1" s="1"/>
  <c r="X124" i="1"/>
  <c r="AG124" i="1" s="1"/>
  <c r="X148" i="1"/>
  <c r="AG148" i="1" s="1"/>
  <c r="X127" i="1"/>
  <c r="AG127" i="1" s="1"/>
  <c r="X132" i="1"/>
  <c r="AG132" i="1" s="1"/>
  <c r="U132" i="1"/>
  <c r="X123" i="1"/>
  <c r="AG123" i="1" s="1"/>
  <c r="U123" i="1"/>
  <c r="K133" i="1"/>
  <c r="X149" i="1"/>
  <c r="AG149" i="1" s="1"/>
  <c r="X126" i="1"/>
  <c r="AG126" i="1" s="1"/>
  <c r="S152" i="1"/>
  <c r="X144" i="1"/>
  <c r="AG144" i="1" s="1"/>
  <c r="X145" i="1"/>
  <c r="AG145" i="1" s="1"/>
  <c r="T133" i="1"/>
  <c r="W133" i="1"/>
  <c r="U139" i="1"/>
  <c r="X139" i="1"/>
  <c r="AG139" i="1" s="1"/>
  <c r="U128" i="1"/>
  <c r="X128" i="1"/>
  <c r="AG128" i="1" s="1"/>
  <c r="X137" i="1"/>
  <c r="AG137" i="1" s="1"/>
  <c r="U137" i="1"/>
  <c r="U126" i="1"/>
  <c r="X138" i="1"/>
  <c r="AG138" i="1" s="1"/>
  <c r="X150" i="1"/>
  <c r="AG150" i="1" s="1"/>
  <c r="X129" i="1"/>
  <c r="AG129" i="1" s="1"/>
  <c r="X146" i="1"/>
  <c r="AG146" i="1" s="1"/>
  <c r="U125" i="1"/>
  <c r="K152" i="1"/>
  <c r="W152" i="1"/>
  <c r="X141" i="1"/>
  <c r="AG141" i="1" s="1"/>
  <c r="U141" i="1"/>
  <c r="X143" i="1"/>
  <c r="AG143" i="1" s="1"/>
  <c r="U142" i="1"/>
  <c r="X125" i="1"/>
  <c r="AG125" i="1" s="1"/>
  <c r="X136" i="1"/>
  <c r="AG136" i="1" s="1"/>
  <c r="X142" i="1"/>
  <c r="AG142" i="1" s="1"/>
  <c r="AB147" i="1" l="1"/>
  <c r="AD147" i="1" s="1"/>
  <c r="AD151" i="1"/>
  <c r="AB128" i="1"/>
  <c r="AD128" i="1" s="1"/>
  <c r="AB143" i="1"/>
  <c r="AD143" i="1" s="1"/>
  <c r="AB145" i="1"/>
  <c r="AD145" i="1" s="1"/>
  <c r="AB149" i="1"/>
  <c r="AD149" i="1" s="1"/>
  <c r="AB138" i="1"/>
  <c r="AD138" i="1" s="1"/>
  <c r="AB139" i="1"/>
  <c r="AD139" i="1" s="1"/>
  <c r="AB123" i="1"/>
  <c r="AD123" i="1" s="1"/>
  <c r="AB140" i="1"/>
  <c r="AD140" i="1" s="1"/>
  <c r="AB136" i="1"/>
  <c r="AD136" i="1" s="1"/>
  <c r="AB150" i="1"/>
  <c r="AD150" i="1" s="1"/>
  <c r="AB144" i="1"/>
  <c r="AD144" i="1" s="1"/>
  <c r="AB148" i="1"/>
  <c r="AD148" i="1" s="1"/>
  <c r="AB126" i="1"/>
  <c r="AD126" i="1" s="1"/>
  <c r="AB130" i="1"/>
  <c r="AD130" i="1" s="1"/>
  <c r="U133" i="1"/>
  <c r="AB146" i="1"/>
  <c r="AD146" i="1" s="1"/>
  <c r="AB142" i="1"/>
  <c r="AD142" i="1" s="1"/>
  <c r="AB129" i="1"/>
  <c r="AD129" i="1" s="1"/>
  <c r="AB132" i="1"/>
  <c r="AD132" i="1" s="1"/>
  <c r="AB124" i="1"/>
  <c r="AD124" i="1" s="1"/>
  <c r="AB137" i="1"/>
  <c r="AD137" i="1" s="1"/>
  <c r="AB127" i="1"/>
  <c r="AD127" i="1" s="1"/>
  <c r="AB131" i="1"/>
  <c r="AD131" i="1" s="1"/>
  <c r="AB125" i="1"/>
  <c r="AD125" i="1" s="1"/>
  <c r="AB141" i="1"/>
  <c r="AD141" i="1" s="1"/>
  <c r="X133" i="1"/>
  <c r="X152" i="1"/>
  <c r="U152" i="1"/>
  <c r="V120" i="1" l="1"/>
  <c r="R120" i="1"/>
  <c r="Q120" i="1"/>
  <c r="P120" i="1"/>
  <c r="G120" i="1"/>
  <c r="W119" i="1"/>
  <c r="T119" i="1"/>
  <c r="S119" i="1"/>
  <c r="K119" i="1"/>
  <c r="W118" i="1"/>
  <c r="U118" i="1"/>
  <c r="T118" i="1"/>
  <c r="S118" i="1"/>
  <c r="K118" i="1"/>
  <c r="W117" i="1"/>
  <c r="T117" i="1"/>
  <c r="S117" i="1"/>
  <c r="K117" i="1"/>
  <c r="W116" i="1"/>
  <c r="T116" i="1"/>
  <c r="S116" i="1"/>
  <c r="K116" i="1"/>
  <c r="W115" i="1"/>
  <c r="U115" i="1"/>
  <c r="T115" i="1"/>
  <c r="S115" i="1"/>
  <c r="K115" i="1"/>
  <c r="Z113" i="1"/>
  <c r="Y113" i="1"/>
  <c r="R112" i="1"/>
  <c r="P112" i="1"/>
  <c r="G112" i="1"/>
  <c r="W111" i="1"/>
  <c r="W112" i="1" s="1"/>
  <c r="V111" i="1"/>
  <c r="V112" i="1" s="1"/>
  <c r="U111" i="1"/>
  <c r="U112" i="1" s="1"/>
  <c r="T111" i="1"/>
  <c r="T112" i="1" s="1"/>
  <c r="S111" i="1"/>
  <c r="S112" i="1" s="1"/>
  <c r="Q111" i="1"/>
  <c r="Q112" i="1" s="1"/>
  <c r="K111" i="1"/>
  <c r="Z109" i="1"/>
  <c r="Y109" i="1"/>
  <c r="V108" i="1"/>
  <c r="R108" i="1"/>
  <c r="Q108" i="1"/>
  <c r="P108" i="1"/>
  <c r="G108" i="1"/>
  <c r="W107" i="1"/>
  <c r="T107" i="1"/>
  <c r="S107" i="1"/>
  <c r="K107" i="1"/>
  <c r="W106" i="1"/>
  <c r="U106" i="1"/>
  <c r="T106" i="1"/>
  <c r="S106" i="1"/>
  <c r="K106" i="1"/>
  <c r="X106" i="1" s="1"/>
  <c r="AG106" i="1" s="1"/>
  <c r="W105" i="1"/>
  <c r="U105" i="1"/>
  <c r="T105" i="1"/>
  <c r="S105" i="1"/>
  <c r="K105" i="1"/>
  <c r="W104" i="1"/>
  <c r="T104" i="1"/>
  <c r="S104" i="1"/>
  <c r="K104" i="1"/>
  <c r="W103" i="1"/>
  <c r="U103" i="1"/>
  <c r="T103" i="1"/>
  <c r="S103" i="1"/>
  <c r="K103" i="1"/>
  <c r="X103" i="1" s="1"/>
  <c r="AG103" i="1" s="1"/>
  <c r="Z101" i="1"/>
  <c r="Y101" i="1"/>
  <c r="V100" i="1"/>
  <c r="R100" i="1"/>
  <c r="Q100" i="1"/>
  <c r="P100" i="1"/>
  <c r="G100" i="1"/>
  <c r="W99" i="1"/>
  <c r="U99" i="1"/>
  <c r="T99" i="1"/>
  <c r="S99" i="1"/>
  <c r="K99" i="1"/>
  <c r="X99" i="1" s="1"/>
  <c r="AG99" i="1" s="1"/>
  <c r="W98" i="1"/>
  <c r="U98" i="1"/>
  <c r="T98" i="1"/>
  <c r="S98" i="1"/>
  <c r="K98" i="1"/>
  <c r="X98" i="1" s="1"/>
  <c r="AG98" i="1" s="1"/>
  <c r="W97" i="1"/>
  <c r="U97" i="1"/>
  <c r="T97" i="1"/>
  <c r="S97" i="1"/>
  <c r="K97" i="1"/>
  <c r="W96" i="1"/>
  <c r="U96" i="1"/>
  <c r="T96" i="1"/>
  <c r="S96" i="1"/>
  <c r="K96" i="1"/>
  <c r="X96" i="1" s="1"/>
  <c r="AG96" i="1" s="1"/>
  <c r="W95" i="1"/>
  <c r="T95" i="1"/>
  <c r="S95" i="1"/>
  <c r="K95" i="1"/>
  <c r="W94" i="1"/>
  <c r="U94" i="1"/>
  <c r="T94" i="1"/>
  <c r="S94" i="1"/>
  <c r="K94" i="1"/>
  <c r="W93" i="1"/>
  <c r="T93" i="1"/>
  <c r="S93" i="1"/>
  <c r="K93" i="1"/>
  <c r="W92" i="1"/>
  <c r="U92" i="1"/>
  <c r="T92" i="1"/>
  <c r="S92" i="1"/>
  <c r="K92" i="1"/>
  <c r="W91" i="1"/>
  <c r="T91" i="1"/>
  <c r="S91" i="1"/>
  <c r="K91" i="1"/>
  <c r="W90" i="1"/>
  <c r="U90" i="1"/>
  <c r="T90" i="1"/>
  <c r="S90" i="1"/>
  <c r="K90" i="1"/>
  <c r="Z88" i="1"/>
  <c r="Y88" i="1"/>
  <c r="V87" i="1"/>
  <c r="R87" i="1"/>
  <c r="Q87" i="1"/>
  <c r="P87" i="1"/>
  <c r="G87" i="1"/>
  <c r="W86" i="1"/>
  <c r="T86" i="1"/>
  <c r="S86" i="1"/>
  <c r="K86" i="1"/>
  <c r="X86" i="1" s="1"/>
  <c r="AG86" i="1" s="1"/>
  <c r="W85" i="1"/>
  <c r="T85" i="1"/>
  <c r="S85" i="1"/>
  <c r="O85" i="1"/>
  <c r="K85" i="1"/>
  <c r="W84" i="1"/>
  <c r="U84" i="1"/>
  <c r="T84" i="1"/>
  <c r="S84" i="1"/>
  <c r="K84" i="1"/>
  <c r="W83" i="1"/>
  <c r="T83" i="1"/>
  <c r="S83" i="1"/>
  <c r="K83" i="1"/>
  <c r="X83" i="1" s="1"/>
  <c r="AG83" i="1" s="1"/>
  <c r="W82" i="1"/>
  <c r="U82" i="1"/>
  <c r="T82" i="1"/>
  <c r="S82" i="1"/>
  <c r="K82" i="1"/>
  <c r="X82" i="1" s="1"/>
  <c r="AG82" i="1" s="1"/>
  <c r="W81" i="1"/>
  <c r="T81" i="1"/>
  <c r="S81" i="1"/>
  <c r="K81" i="1"/>
  <c r="Z79" i="1"/>
  <c r="Y79" i="1"/>
  <c r="V78" i="1"/>
  <c r="R78" i="1"/>
  <c r="Q78" i="1"/>
  <c r="P78" i="1"/>
  <c r="G78" i="1"/>
  <c r="W77" i="1"/>
  <c r="T77" i="1"/>
  <c r="S77" i="1"/>
  <c r="K77" i="1"/>
  <c r="W76" i="1"/>
  <c r="T76" i="1"/>
  <c r="S76" i="1"/>
  <c r="K76" i="1"/>
  <c r="W75" i="1"/>
  <c r="U75" i="1"/>
  <c r="T75" i="1"/>
  <c r="S75" i="1"/>
  <c r="K75" i="1"/>
  <c r="W74" i="1"/>
  <c r="T74" i="1"/>
  <c r="S74" i="1"/>
  <c r="K74" i="1"/>
  <c r="W73" i="1"/>
  <c r="U73" i="1"/>
  <c r="T73" i="1"/>
  <c r="S73" i="1"/>
  <c r="K73" i="1"/>
  <c r="W72" i="1"/>
  <c r="U72" i="1"/>
  <c r="T72" i="1"/>
  <c r="S72" i="1"/>
  <c r="K72" i="1"/>
  <c r="W71" i="1"/>
  <c r="T71" i="1"/>
  <c r="S71" i="1"/>
  <c r="K71" i="1"/>
  <c r="W70" i="1"/>
  <c r="U70" i="1"/>
  <c r="T70" i="1"/>
  <c r="S70" i="1"/>
  <c r="K70" i="1"/>
  <c r="W69" i="1"/>
  <c r="T69" i="1"/>
  <c r="S69" i="1"/>
  <c r="K69" i="1"/>
  <c r="W68" i="1"/>
  <c r="T68" i="1"/>
  <c r="S68" i="1"/>
  <c r="K68" i="1"/>
  <c r="W67" i="1"/>
  <c r="U67" i="1"/>
  <c r="T67" i="1"/>
  <c r="S67" i="1"/>
  <c r="K67" i="1"/>
  <c r="W66" i="1"/>
  <c r="T66" i="1"/>
  <c r="S66" i="1"/>
  <c r="K66" i="1"/>
  <c r="W65" i="1"/>
  <c r="T65" i="1"/>
  <c r="S65" i="1"/>
  <c r="K65" i="1"/>
  <c r="Z63" i="1"/>
  <c r="Y63" i="1"/>
  <c r="V62" i="1"/>
  <c r="R62" i="1"/>
  <c r="P62" i="1"/>
  <c r="G62" i="1"/>
  <c r="W61" i="1"/>
  <c r="W62" i="1" s="1"/>
  <c r="U61" i="1"/>
  <c r="U62" i="1" s="1"/>
  <c r="T61" i="1"/>
  <c r="T62" i="1" s="1"/>
  <c r="S61" i="1"/>
  <c r="S62" i="1" s="1"/>
  <c r="Q61" i="1"/>
  <c r="Q62" i="1" s="1"/>
  <c r="K61" i="1"/>
  <c r="Z59" i="1"/>
  <c r="Y59" i="1"/>
  <c r="T87" i="1" l="1"/>
  <c r="AA97" i="1"/>
  <c r="AE97" i="1"/>
  <c r="AC97" i="1" s="1"/>
  <c r="X97" i="1"/>
  <c r="AG97" i="1" s="1"/>
  <c r="AE69" i="1"/>
  <c r="AC69" i="1" s="1"/>
  <c r="AA69" i="1"/>
  <c r="X69" i="1"/>
  <c r="AG69" i="1" s="1"/>
  <c r="U69" i="1"/>
  <c r="AE105" i="1"/>
  <c r="AC105" i="1" s="1"/>
  <c r="AA105" i="1"/>
  <c r="X105" i="1"/>
  <c r="AG105" i="1" s="1"/>
  <c r="AA92" i="1"/>
  <c r="AE92" i="1"/>
  <c r="AC92" i="1" s="1"/>
  <c r="X92" i="1"/>
  <c r="AG92" i="1" s="1"/>
  <c r="AA116" i="1"/>
  <c r="AE116" i="1"/>
  <c r="AC116" i="1" s="1"/>
  <c r="AA111" i="1"/>
  <c r="AE111" i="1"/>
  <c r="AC111" i="1" s="1"/>
  <c r="AE115" i="1"/>
  <c r="AC115" i="1" s="1"/>
  <c r="AA115" i="1"/>
  <c r="AA61" i="1"/>
  <c r="AE61" i="1"/>
  <c r="AC61" i="1" s="1"/>
  <c r="X61" i="1"/>
  <c r="AG61" i="1" s="1"/>
  <c r="K62" i="1"/>
  <c r="AE68" i="1"/>
  <c r="AC68" i="1" s="1"/>
  <c r="AA68" i="1"/>
  <c r="AA75" i="1"/>
  <c r="AE75" i="1"/>
  <c r="AC75" i="1" s="1"/>
  <c r="X75" i="1"/>
  <c r="AG75" i="1" s="1"/>
  <c r="AE81" i="1"/>
  <c r="AC81" i="1" s="1"/>
  <c r="AA81" i="1"/>
  <c r="U74" i="1"/>
  <c r="AA74" i="1"/>
  <c r="AE74" i="1"/>
  <c r="AC74" i="1" s="1"/>
  <c r="X74" i="1"/>
  <c r="AG74" i="1" s="1"/>
  <c r="AE95" i="1"/>
  <c r="AC95" i="1" s="1"/>
  <c r="AA95" i="1"/>
  <c r="X95" i="1"/>
  <c r="AG95" i="1" s="1"/>
  <c r="U95" i="1"/>
  <c r="AA73" i="1"/>
  <c r="AE73" i="1"/>
  <c r="AC73" i="1" s="1"/>
  <c r="AE70" i="1"/>
  <c r="AC70" i="1" s="1"/>
  <c r="AA70" i="1"/>
  <c r="AA71" i="1"/>
  <c r="AE71" i="1"/>
  <c r="AC71" i="1" s="1"/>
  <c r="X71" i="1"/>
  <c r="AG71" i="1" s="1"/>
  <c r="AA77" i="1"/>
  <c r="AE77" i="1"/>
  <c r="AC77" i="1" s="1"/>
  <c r="AA84" i="1"/>
  <c r="AE84" i="1"/>
  <c r="AC84" i="1" s="1"/>
  <c r="AE65" i="1"/>
  <c r="AC65" i="1" s="1"/>
  <c r="AA65" i="1"/>
  <c r="X65" i="1"/>
  <c r="AG65" i="1" s="1"/>
  <c r="X119" i="1"/>
  <c r="AG119" i="1" s="1"/>
  <c r="AA119" i="1"/>
  <c r="AE119" i="1"/>
  <c r="AC119" i="1" s="1"/>
  <c r="AA94" i="1"/>
  <c r="AE94" i="1"/>
  <c r="AC94" i="1" s="1"/>
  <c r="S108" i="1"/>
  <c r="T120" i="1"/>
  <c r="AE118" i="1"/>
  <c r="AC118" i="1" s="1"/>
  <c r="AA118" i="1"/>
  <c r="AA76" i="1"/>
  <c r="AE76" i="1"/>
  <c r="AC76" i="1" s="1"/>
  <c r="AA83" i="1"/>
  <c r="AE83" i="1"/>
  <c r="AC83" i="1" s="1"/>
  <c r="U93" i="1"/>
  <c r="AA93" i="1"/>
  <c r="AE93" i="1"/>
  <c r="AC93" i="1" s="1"/>
  <c r="AE96" i="1"/>
  <c r="AC96" i="1" s="1"/>
  <c r="AA96" i="1"/>
  <c r="AB96" i="1" s="1"/>
  <c r="T108" i="1"/>
  <c r="AA85" i="1"/>
  <c r="AE85" i="1"/>
  <c r="AC85" i="1" s="1"/>
  <c r="W120" i="1"/>
  <c r="W87" i="1"/>
  <c r="AE86" i="1"/>
  <c r="AC86" i="1" s="1"/>
  <c r="AA86" i="1"/>
  <c r="AA72" i="1"/>
  <c r="AE72" i="1"/>
  <c r="AC72" i="1" s="1"/>
  <c r="AA98" i="1"/>
  <c r="AB98" i="1" s="1"/>
  <c r="AE98" i="1"/>
  <c r="AC98" i="1" s="1"/>
  <c r="AA107" i="1"/>
  <c r="AE107" i="1"/>
  <c r="AC107" i="1" s="1"/>
  <c r="AA117" i="1"/>
  <c r="AE117" i="1"/>
  <c r="AC117" i="1" s="1"/>
  <c r="AA82" i="1"/>
  <c r="AB82" i="1" s="1"/>
  <c r="AE82" i="1"/>
  <c r="AC82" i="1" s="1"/>
  <c r="U83" i="1"/>
  <c r="AA91" i="1"/>
  <c r="AE91" i="1"/>
  <c r="AC91" i="1" s="1"/>
  <c r="AA67" i="1"/>
  <c r="AE67" i="1"/>
  <c r="AC67" i="1" s="1"/>
  <c r="U119" i="1"/>
  <c r="AA99" i="1"/>
  <c r="AB99" i="1" s="1"/>
  <c r="AE99" i="1"/>
  <c r="AC99" i="1" s="1"/>
  <c r="AE103" i="1"/>
  <c r="AC103" i="1" s="1"/>
  <c r="AA103" i="1"/>
  <c r="AB103" i="1" s="1"/>
  <c r="AE90" i="1"/>
  <c r="AC90" i="1" s="1"/>
  <c r="AA90" i="1"/>
  <c r="AE66" i="1"/>
  <c r="AC66" i="1" s="1"/>
  <c r="AA66" i="1"/>
  <c r="X93" i="1"/>
  <c r="AG93" i="1" s="1"/>
  <c r="AE104" i="1"/>
  <c r="AC104" i="1" s="1"/>
  <c r="AA104" i="1"/>
  <c r="AE106" i="1"/>
  <c r="AC106" i="1" s="1"/>
  <c r="AA106" i="1"/>
  <c r="AB106" i="1" s="1"/>
  <c r="S120" i="1"/>
  <c r="X94" i="1"/>
  <c r="AG94" i="1" s="1"/>
  <c r="K87" i="1"/>
  <c r="X66" i="1"/>
  <c r="AG66" i="1" s="1"/>
  <c r="U66" i="1"/>
  <c r="U91" i="1"/>
  <c r="X91" i="1"/>
  <c r="AG91" i="1" s="1"/>
  <c r="X67" i="1"/>
  <c r="AG67" i="1" s="1"/>
  <c r="X90" i="1"/>
  <c r="AG90" i="1" s="1"/>
  <c r="W78" i="1"/>
  <c r="S87" i="1"/>
  <c r="X81" i="1"/>
  <c r="AG81" i="1" s="1"/>
  <c r="U68" i="1"/>
  <c r="X70" i="1"/>
  <c r="AG70" i="1" s="1"/>
  <c r="X104" i="1"/>
  <c r="AG104" i="1" s="1"/>
  <c r="U104" i="1"/>
  <c r="T100" i="1"/>
  <c r="X68" i="1"/>
  <c r="AG68" i="1" s="1"/>
  <c r="U81" i="1"/>
  <c r="X111" i="1"/>
  <c r="AG111" i="1" s="1"/>
  <c r="K112" i="1"/>
  <c r="X116" i="1"/>
  <c r="AG116" i="1" s="1"/>
  <c r="U116" i="1"/>
  <c r="X118" i="1"/>
  <c r="AG118" i="1" s="1"/>
  <c r="X72" i="1"/>
  <c r="AG72" i="1" s="1"/>
  <c r="X73" i="1"/>
  <c r="AG73" i="1" s="1"/>
  <c r="K78" i="1"/>
  <c r="U65" i="1"/>
  <c r="K100" i="1"/>
  <c r="U107" i="1"/>
  <c r="X107" i="1"/>
  <c r="AG107" i="1" s="1"/>
  <c r="X76" i="1"/>
  <c r="AG76" i="1" s="1"/>
  <c r="U76" i="1"/>
  <c r="S78" i="1"/>
  <c r="T78" i="1"/>
  <c r="U71" i="1"/>
  <c r="X77" i="1"/>
  <c r="AG77" i="1" s="1"/>
  <c r="U77" i="1"/>
  <c r="S100" i="1"/>
  <c r="X115" i="1"/>
  <c r="AG115" i="1" s="1"/>
  <c r="K120" i="1"/>
  <c r="U86" i="1"/>
  <c r="W108" i="1"/>
  <c r="X117" i="1"/>
  <c r="AG117" i="1" s="1"/>
  <c r="U117" i="1"/>
  <c r="U85" i="1"/>
  <c r="X85" i="1"/>
  <c r="AG85" i="1" s="1"/>
  <c r="X84" i="1"/>
  <c r="AG84" i="1" s="1"/>
  <c r="W100" i="1"/>
  <c r="K108" i="1"/>
  <c r="AB105" i="1" l="1"/>
  <c r="AD105" i="1" s="1"/>
  <c r="X62" i="1"/>
  <c r="AB97" i="1"/>
  <c r="AD97" i="1" s="1"/>
  <c r="AB85" i="1"/>
  <c r="AD85" i="1" s="1"/>
  <c r="AB90" i="1"/>
  <c r="AD90" i="1" s="1"/>
  <c r="AB86" i="1"/>
  <c r="AD86" i="1" s="1"/>
  <c r="AD103" i="1"/>
  <c r="AB83" i="1"/>
  <c r="AD83" i="1" s="1"/>
  <c r="AB61" i="1"/>
  <c r="AD61" i="1" s="1"/>
  <c r="AB73" i="1"/>
  <c r="AD73" i="1" s="1"/>
  <c r="AB67" i="1"/>
  <c r="AD67" i="1" s="1"/>
  <c r="AD96" i="1"/>
  <c r="AB107" i="1"/>
  <c r="AD107" i="1" s="1"/>
  <c r="AD106" i="1"/>
  <c r="AD82" i="1"/>
  <c r="AB75" i="1"/>
  <c r="AD75" i="1" s="1"/>
  <c r="AB65" i="1"/>
  <c r="AD65" i="1" s="1"/>
  <c r="U100" i="1"/>
  <c r="AB74" i="1"/>
  <c r="AD74" i="1" s="1"/>
  <c r="AB68" i="1"/>
  <c r="AD68" i="1" s="1"/>
  <c r="AB116" i="1"/>
  <c r="AD116" i="1" s="1"/>
  <c r="AD99" i="1"/>
  <c r="AB81" i="1"/>
  <c r="AD81" i="1" s="1"/>
  <c r="AB91" i="1"/>
  <c r="AD91" i="1" s="1"/>
  <c r="AB118" i="1"/>
  <c r="AD118" i="1" s="1"/>
  <c r="AB70" i="1"/>
  <c r="AD70" i="1" s="1"/>
  <c r="AD98" i="1"/>
  <c r="AB71" i="1"/>
  <c r="AD71" i="1" s="1"/>
  <c r="AB94" i="1"/>
  <c r="AD94" i="1" s="1"/>
  <c r="AB119" i="1"/>
  <c r="AD119" i="1" s="1"/>
  <c r="AB69" i="1"/>
  <c r="AD69" i="1" s="1"/>
  <c r="AB72" i="1"/>
  <c r="AD72" i="1" s="1"/>
  <c r="U120" i="1"/>
  <c r="AB92" i="1"/>
  <c r="AD92" i="1" s="1"/>
  <c r="AB66" i="1"/>
  <c r="AD66" i="1" s="1"/>
  <c r="AB104" i="1"/>
  <c r="AD104" i="1" s="1"/>
  <c r="AB77" i="1"/>
  <c r="AD77" i="1" s="1"/>
  <c r="AB115" i="1"/>
  <c r="AD115" i="1" s="1"/>
  <c r="AB95" i="1"/>
  <c r="AD95" i="1" s="1"/>
  <c r="U78" i="1"/>
  <c r="U108" i="1"/>
  <c r="AB117" i="1"/>
  <c r="AD117" i="1" s="1"/>
  <c r="AB84" i="1"/>
  <c r="AD84" i="1" s="1"/>
  <c r="AB76" i="1"/>
  <c r="AD76" i="1" s="1"/>
  <c r="AB111" i="1"/>
  <c r="AD111" i="1" s="1"/>
  <c r="AB93" i="1"/>
  <c r="AD93" i="1" s="1"/>
  <c r="U87" i="1"/>
  <c r="X120" i="1"/>
  <c r="X108" i="1"/>
  <c r="X87" i="1"/>
  <c r="X112" i="1"/>
  <c r="X78" i="1"/>
  <c r="X100" i="1"/>
  <c r="Z55" i="1" l="1"/>
  <c r="Y55" i="1"/>
  <c r="Z51" i="1" l="1"/>
  <c r="Z417" i="1" s="1"/>
  <c r="Z418" i="1" s="1"/>
  <c r="Y51" i="1"/>
  <c r="Y417" i="1" s="1"/>
  <c r="Y418" i="1" s="1"/>
  <c r="W49" i="1" l="1"/>
  <c r="T49" i="1"/>
  <c r="S49" i="1"/>
  <c r="O49" i="1"/>
  <c r="Y47" i="1"/>
  <c r="Z47" i="1"/>
  <c r="V45" i="1" l="1"/>
  <c r="W45" i="1"/>
  <c r="T45" i="1"/>
  <c r="S45" i="1"/>
  <c r="Y43" i="1"/>
  <c r="Z43" i="1"/>
  <c r="Z361" i="1" l="1"/>
  <c r="Y361" i="1"/>
  <c r="T41" i="1"/>
  <c r="T40" i="1"/>
  <c r="T39" i="1"/>
  <c r="Y37" i="1"/>
  <c r="Z37" i="1"/>
  <c r="Z362" i="1" l="1"/>
  <c r="Y362" i="1"/>
  <c r="T35" i="1"/>
  <c r="W34" i="1"/>
  <c r="S34" i="1"/>
  <c r="U33" i="1"/>
  <c r="T33" i="1"/>
  <c r="K33" i="1"/>
  <c r="Y30" i="1"/>
  <c r="Y303" i="1" s="1"/>
  <c r="Y304" i="1" s="1"/>
  <c r="Z30" i="1"/>
  <c r="Z303" i="1" s="1"/>
  <c r="Z304" i="1" s="1"/>
  <c r="AA33" i="1" l="1"/>
  <c r="AE33" i="1"/>
  <c r="AC33" i="1" s="1"/>
  <c r="Z33" i="1"/>
  <c r="X33" i="1"/>
  <c r="AG33" i="1" s="1"/>
  <c r="Y33" i="1"/>
  <c r="AB33" i="1" l="1"/>
  <c r="AD33" i="1" s="1"/>
  <c r="W28" i="1"/>
  <c r="T28" i="1"/>
  <c r="Y26" i="1"/>
  <c r="Z26" i="1"/>
  <c r="W22" i="1" l="1"/>
  <c r="W21" i="1"/>
  <c r="S21" i="1"/>
  <c r="T22" i="1"/>
  <c r="T23" i="1"/>
  <c r="T24" i="1"/>
  <c r="T21" i="1"/>
  <c r="W20" i="1"/>
  <c r="S20" i="1"/>
  <c r="T20" i="1"/>
  <c r="Y18" i="1"/>
  <c r="Z18" i="1"/>
  <c r="Z353" i="1" l="1"/>
  <c r="Z357" i="1"/>
  <c r="Z356" i="1"/>
  <c r="Z352" i="1"/>
  <c r="Z354" i="1"/>
  <c r="Z355" i="1"/>
  <c r="Z65" i="1"/>
  <c r="Z73" i="1"/>
  <c r="Z69" i="1"/>
  <c r="Z75" i="1"/>
  <c r="Z76" i="1"/>
  <c r="Z77" i="1"/>
  <c r="Z74" i="1"/>
  <c r="Z66" i="1"/>
  <c r="Z71" i="1"/>
  <c r="Z72" i="1"/>
  <c r="Z67" i="1"/>
  <c r="Z70" i="1"/>
  <c r="Z68" i="1"/>
  <c r="Y352" i="1"/>
  <c r="Y356" i="1"/>
  <c r="Y357" i="1"/>
  <c r="Y353" i="1"/>
  <c r="Y355" i="1"/>
  <c r="Y354" i="1"/>
  <c r="Y75" i="1"/>
  <c r="Y73" i="1"/>
  <c r="Y69" i="1"/>
  <c r="Y72" i="1"/>
  <c r="Y66" i="1"/>
  <c r="Y68" i="1"/>
  <c r="Y77" i="1"/>
  <c r="Y76" i="1"/>
  <c r="Y74" i="1"/>
  <c r="Y65" i="1"/>
  <c r="Y71" i="1"/>
  <c r="Y67" i="1"/>
  <c r="Y70" i="1"/>
  <c r="V16" i="1"/>
  <c r="W16" i="1"/>
  <c r="T16" i="1"/>
  <c r="S16" i="1"/>
  <c r="O16" i="1"/>
  <c r="Y14" i="1"/>
  <c r="Z14" i="1"/>
  <c r="Y358" i="1" l="1"/>
  <c r="Z78" i="1"/>
  <c r="Z422" i="1"/>
  <c r="Z421" i="1"/>
  <c r="Z403" i="1"/>
  <c r="Z405" i="1"/>
  <c r="Z404" i="1"/>
  <c r="Z406" i="1"/>
  <c r="Z375" i="1"/>
  <c r="Z374" i="1"/>
  <c r="Z376" i="1"/>
  <c r="Z373" i="1"/>
  <c r="Z365" i="1"/>
  <c r="Z348" i="1"/>
  <c r="Z349" i="1" s="1"/>
  <c r="Z344" i="1"/>
  <c r="Z334" i="1"/>
  <c r="Z333" i="1"/>
  <c r="Z331" i="1"/>
  <c r="Z332" i="1"/>
  <c r="Z330" i="1"/>
  <c r="Z321" i="1"/>
  <c r="Z320" i="1"/>
  <c r="Z319" i="1"/>
  <c r="Z322" i="1"/>
  <c r="Z318" i="1"/>
  <c r="Z308" i="1"/>
  <c r="Z307" i="1"/>
  <c r="Z309" i="1"/>
  <c r="Z311" i="1"/>
  <c r="Z312" i="1"/>
  <c r="Z314" i="1"/>
  <c r="Z310" i="1"/>
  <c r="Z313" i="1"/>
  <c r="Z287" i="1"/>
  <c r="Z158" i="1"/>
  <c r="Z157" i="1"/>
  <c r="Z244" i="1" s="1"/>
  <c r="Z245" i="1" s="1"/>
  <c r="Z155" i="1"/>
  <c r="Z156" i="1"/>
  <c r="Z61" i="1"/>
  <c r="Z358" i="1"/>
  <c r="Y422" i="1"/>
  <c r="Y421" i="1"/>
  <c r="Y404" i="1"/>
  <c r="Y403" i="1"/>
  <c r="Y405" i="1"/>
  <c r="Y406" i="1"/>
  <c r="Y375" i="1"/>
  <c r="Y374" i="1"/>
  <c r="Y373" i="1"/>
  <c r="Y376" i="1"/>
  <c r="Y365" i="1"/>
  <c r="Y348" i="1"/>
  <c r="Y349" i="1" s="1"/>
  <c r="Y344" i="1"/>
  <c r="Y334" i="1"/>
  <c r="Y333" i="1"/>
  <c r="Y330" i="1"/>
  <c r="Y332" i="1"/>
  <c r="Y331" i="1"/>
  <c r="Y320" i="1"/>
  <c r="Y322" i="1"/>
  <c r="Y319" i="1"/>
  <c r="Y321" i="1"/>
  <c r="Y318" i="1"/>
  <c r="Y308" i="1"/>
  <c r="Y309" i="1"/>
  <c r="Y314" i="1"/>
  <c r="Y311" i="1"/>
  <c r="Y313" i="1"/>
  <c r="Y312" i="1"/>
  <c r="Y307" i="1"/>
  <c r="Y310" i="1"/>
  <c r="Y287" i="1"/>
  <c r="Y157" i="1"/>
  <c r="Y244" i="1" s="1"/>
  <c r="Y245" i="1" s="1"/>
  <c r="Y155" i="1"/>
  <c r="Y158" i="1"/>
  <c r="Y156" i="1"/>
  <c r="Y61" i="1"/>
  <c r="Y78" i="1"/>
  <c r="S41" i="1"/>
  <c r="S40" i="1"/>
  <c r="S39" i="1"/>
  <c r="S35" i="1"/>
  <c r="S28" i="1"/>
  <c r="S24" i="1"/>
  <c r="S22" i="1"/>
  <c r="Y423" i="1" l="1"/>
  <c r="Z345" i="1"/>
  <c r="Z323" i="1"/>
  <c r="Y189" i="1"/>
  <c r="Y212" i="1"/>
  <c r="Y209" i="1"/>
  <c r="Y216" i="1"/>
  <c r="Y210" i="1"/>
  <c r="Y214" i="1"/>
  <c r="Y217" i="1"/>
  <c r="Y215" i="1"/>
  <c r="Y211" i="1"/>
  <c r="Y213" i="1"/>
  <c r="Z407" i="1"/>
  <c r="Z189" i="1"/>
  <c r="Y407" i="1"/>
  <c r="Z288" i="1"/>
  <c r="Y248" i="1"/>
  <c r="Y251" i="1"/>
  <c r="Y249" i="1"/>
  <c r="Y253" i="1"/>
  <c r="Y250" i="1"/>
  <c r="Y252" i="1"/>
  <c r="Y323" i="1"/>
  <c r="Z423" i="1"/>
  <c r="Y159" i="1"/>
  <c r="Z253" i="1"/>
  <c r="Z251" i="1"/>
  <c r="Z252" i="1"/>
  <c r="Z249" i="1"/>
  <c r="Z250" i="1"/>
  <c r="Z248" i="1"/>
  <c r="Z62" i="1"/>
  <c r="Z141" i="1"/>
  <c r="Z142" i="1"/>
  <c r="Z151" i="1"/>
  <c r="Z140" i="1"/>
  <c r="Z137" i="1"/>
  <c r="Z147" i="1"/>
  <c r="Z143" i="1"/>
  <c r="Z146" i="1"/>
  <c r="Z148" i="1"/>
  <c r="Z150" i="1"/>
  <c r="Z136" i="1"/>
  <c r="Z149" i="1"/>
  <c r="Z139" i="1"/>
  <c r="Z145" i="1"/>
  <c r="Z138" i="1"/>
  <c r="Z144" i="1"/>
  <c r="Y315" i="1"/>
  <c r="Z315" i="1"/>
  <c r="Y366" i="1"/>
  <c r="Y335" i="1"/>
  <c r="Y377" i="1"/>
  <c r="Z214" i="1"/>
  <c r="Z213" i="1"/>
  <c r="Z209" i="1"/>
  <c r="Z217" i="1"/>
  <c r="Z210" i="1"/>
  <c r="Z211" i="1"/>
  <c r="Z212" i="1"/>
  <c r="Z216" i="1"/>
  <c r="Z215" i="1"/>
  <c r="Z377" i="1"/>
  <c r="Z366" i="1"/>
  <c r="Z159" i="1"/>
  <c r="Y345" i="1"/>
  <c r="Y62" i="1"/>
  <c r="Y151" i="1"/>
  <c r="Y140" i="1"/>
  <c r="Y147" i="1"/>
  <c r="Y150" i="1"/>
  <c r="Y142" i="1"/>
  <c r="Y137" i="1"/>
  <c r="Y136" i="1"/>
  <c r="Y149" i="1"/>
  <c r="Y146" i="1"/>
  <c r="Y139" i="1"/>
  <c r="Y138" i="1"/>
  <c r="Y145" i="1"/>
  <c r="Y143" i="1"/>
  <c r="Y148" i="1"/>
  <c r="Y144" i="1"/>
  <c r="Y141" i="1"/>
  <c r="Z108" i="1"/>
  <c r="Z335" i="1"/>
  <c r="Y108" i="1"/>
  <c r="Y288" i="1"/>
  <c r="V58" i="1"/>
  <c r="S58" i="1"/>
  <c r="R58" i="1"/>
  <c r="Q58" i="1"/>
  <c r="P58" i="1"/>
  <c r="G58" i="1"/>
  <c r="K57" i="1"/>
  <c r="V54" i="1"/>
  <c r="S54" i="1"/>
  <c r="R54" i="1"/>
  <c r="Q54" i="1"/>
  <c r="P54" i="1"/>
  <c r="G54" i="1"/>
  <c r="K53" i="1"/>
  <c r="V50" i="1"/>
  <c r="S50" i="1"/>
  <c r="R50" i="1"/>
  <c r="Q50" i="1"/>
  <c r="P50" i="1"/>
  <c r="G50" i="1"/>
  <c r="U49" i="1"/>
  <c r="K49" i="1"/>
  <c r="V46" i="1"/>
  <c r="S46" i="1"/>
  <c r="R46" i="1"/>
  <c r="Q46" i="1"/>
  <c r="P46" i="1"/>
  <c r="G46" i="1"/>
  <c r="U45" i="1"/>
  <c r="K45" i="1"/>
  <c r="V42" i="1"/>
  <c r="S42" i="1"/>
  <c r="R42" i="1"/>
  <c r="Q42" i="1"/>
  <c r="P42" i="1"/>
  <c r="G42" i="1"/>
  <c r="W41" i="1"/>
  <c r="K41" i="1"/>
  <c r="W40" i="1"/>
  <c r="U40" i="1"/>
  <c r="K40" i="1"/>
  <c r="W39" i="1"/>
  <c r="K39" i="1"/>
  <c r="V36" i="1"/>
  <c r="S36" i="1"/>
  <c r="R36" i="1"/>
  <c r="Q36" i="1"/>
  <c r="P36" i="1"/>
  <c r="G36" i="1"/>
  <c r="W35" i="1"/>
  <c r="K35" i="1"/>
  <c r="T34" i="1"/>
  <c r="K34" i="1"/>
  <c r="T32" i="1"/>
  <c r="K32" i="1"/>
  <c r="V29" i="1"/>
  <c r="S29" i="1"/>
  <c r="R29" i="1"/>
  <c r="Q29" i="1"/>
  <c r="P29" i="1"/>
  <c r="G29" i="1"/>
  <c r="K28" i="1"/>
  <c r="V25" i="1"/>
  <c r="S25" i="1"/>
  <c r="R25" i="1"/>
  <c r="Q25" i="1"/>
  <c r="P25" i="1"/>
  <c r="G25" i="1"/>
  <c r="W24" i="1"/>
  <c r="U24" i="1"/>
  <c r="K24" i="1"/>
  <c r="U23" i="1"/>
  <c r="K23" i="1"/>
  <c r="U22" i="1"/>
  <c r="K22" i="1"/>
  <c r="U21" i="1"/>
  <c r="K21" i="1"/>
  <c r="K20" i="1"/>
  <c r="S17" i="1"/>
  <c r="AE53" i="1" l="1"/>
  <c r="AC53" i="1" s="1"/>
  <c r="AA53" i="1"/>
  <c r="Y237" i="1"/>
  <c r="Y238" i="1"/>
  <c r="Y240" i="1"/>
  <c r="Y239" i="1"/>
  <c r="AA49" i="1"/>
  <c r="AE49" i="1"/>
  <c r="AC49" i="1" s="1"/>
  <c r="Y179" i="1"/>
  <c r="Y180" i="1"/>
  <c r="Y175" i="1"/>
  <c r="Y176" i="1"/>
  <c r="Y177" i="1"/>
  <c r="Y178" i="1"/>
  <c r="Y174" i="1"/>
  <c r="Z237" i="1"/>
  <c r="Z240" i="1"/>
  <c r="Z239" i="1"/>
  <c r="Z238" i="1"/>
  <c r="AA22" i="1"/>
  <c r="AE22" i="1"/>
  <c r="AC22" i="1" s="1"/>
  <c r="Y152" i="1"/>
  <c r="Y254" i="1"/>
  <c r="AA34" i="1"/>
  <c r="AE34" i="1"/>
  <c r="AC34" i="1" s="1"/>
  <c r="Y40" i="1"/>
  <c r="AE40" i="1"/>
  <c r="AC40" i="1" s="1"/>
  <c r="AA40" i="1"/>
  <c r="X57" i="1"/>
  <c r="AG57" i="1" s="1"/>
  <c r="AE57" i="1"/>
  <c r="AC57" i="1" s="1"/>
  <c r="AA57" i="1"/>
  <c r="AA21" i="1"/>
  <c r="AE21" i="1"/>
  <c r="AC21" i="1" s="1"/>
  <c r="Z254" i="1"/>
  <c r="AE20" i="1"/>
  <c r="AC20" i="1" s="1"/>
  <c r="AA20" i="1"/>
  <c r="Z23" i="1"/>
  <c r="AA23" i="1"/>
  <c r="AE23" i="1"/>
  <c r="AC23" i="1" s="1"/>
  <c r="AA45" i="1"/>
  <c r="AE45" i="1"/>
  <c r="AC45" i="1" s="1"/>
  <c r="AA28" i="1"/>
  <c r="AE28" i="1"/>
  <c r="AC28" i="1" s="1"/>
  <c r="Z218" i="1"/>
  <c r="Z152" i="1"/>
  <c r="Z175" i="1"/>
  <c r="Z180" i="1"/>
  <c r="Z179" i="1"/>
  <c r="Z174" i="1"/>
  <c r="Z176" i="1"/>
  <c r="Z178" i="1"/>
  <c r="Z177" i="1"/>
  <c r="Y218" i="1"/>
  <c r="AE32" i="1"/>
  <c r="AC32" i="1" s="1"/>
  <c r="AA32" i="1"/>
  <c r="U39" i="1"/>
  <c r="AA39" i="1"/>
  <c r="AE39" i="1"/>
  <c r="AC39" i="1" s="1"/>
  <c r="U35" i="1"/>
  <c r="AE35" i="1"/>
  <c r="AC35" i="1" s="1"/>
  <c r="AA35" i="1"/>
  <c r="AA24" i="1"/>
  <c r="AE24" i="1"/>
  <c r="AC24" i="1" s="1"/>
  <c r="AA41" i="1"/>
  <c r="AE41" i="1"/>
  <c r="AC41" i="1" s="1"/>
  <c r="Y57" i="1"/>
  <c r="U41" i="1"/>
  <c r="U34" i="1"/>
  <c r="U32" i="1"/>
  <c r="U28" i="1"/>
  <c r="Y20" i="1"/>
  <c r="U20" i="1"/>
  <c r="U25" i="1" s="1"/>
  <c r="Y22" i="1"/>
  <c r="Z41" i="1"/>
  <c r="Y41" i="1"/>
  <c r="Y21" i="1"/>
  <c r="Z49" i="1"/>
  <c r="Z21" i="1"/>
  <c r="Z57" i="1"/>
  <c r="Z34" i="1"/>
  <c r="Z35" i="1"/>
  <c r="Z32" i="1"/>
  <c r="Y32" i="1"/>
  <c r="Y34" i="1"/>
  <c r="Y35" i="1"/>
  <c r="Z53" i="1"/>
  <c r="Z28" i="1"/>
  <c r="Y53" i="1"/>
  <c r="Z40" i="1"/>
  <c r="Z39" i="1"/>
  <c r="Y49" i="1"/>
  <c r="Y23" i="1"/>
  <c r="Y24" i="1"/>
  <c r="Z22" i="1"/>
  <c r="Z20" i="1"/>
  <c r="Z24" i="1"/>
  <c r="Y39" i="1"/>
  <c r="Y28" i="1"/>
  <c r="Y45" i="1"/>
  <c r="Z45" i="1"/>
  <c r="W54" i="1"/>
  <c r="T54" i="1"/>
  <c r="X34" i="1"/>
  <c r="AG34" i="1" s="1"/>
  <c r="T58" i="1"/>
  <c r="K54" i="1"/>
  <c r="U58" i="1"/>
  <c r="W58" i="1"/>
  <c r="U54" i="1"/>
  <c r="T29" i="1"/>
  <c r="T50" i="1"/>
  <c r="U50" i="1"/>
  <c r="X53" i="1"/>
  <c r="AG53" i="1" s="1"/>
  <c r="K58" i="1"/>
  <c r="T36" i="1"/>
  <c r="T42" i="1"/>
  <c r="K36" i="1"/>
  <c r="X32" i="1"/>
  <c r="AG32" i="1" s="1"/>
  <c r="X35" i="1"/>
  <c r="AG35" i="1" s="1"/>
  <c r="W36" i="1"/>
  <c r="X40" i="1"/>
  <c r="AG40" i="1" s="1"/>
  <c r="K42" i="1"/>
  <c r="X41" i="1"/>
  <c r="AG41" i="1" s="1"/>
  <c r="X23" i="1"/>
  <c r="AG23" i="1" s="1"/>
  <c r="X22" i="1"/>
  <c r="AG22" i="1" s="1"/>
  <c r="W42" i="1"/>
  <c r="X39" i="1"/>
  <c r="AG39" i="1" s="1"/>
  <c r="K46" i="1"/>
  <c r="X45" i="1"/>
  <c r="AG45" i="1" s="1"/>
  <c r="T46" i="1"/>
  <c r="U46" i="1"/>
  <c r="W46" i="1"/>
  <c r="W50" i="1"/>
  <c r="X49" i="1"/>
  <c r="AG49" i="1" s="1"/>
  <c r="K50" i="1"/>
  <c r="X21" i="1"/>
  <c r="AG21" i="1" s="1"/>
  <c r="X24" i="1"/>
  <c r="AG24" i="1" s="1"/>
  <c r="K25" i="1"/>
  <c r="X20" i="1"/>
  <c r="AG20" i="1" s="1"/>
  <c r="W29" i="1"/>
  <c r="T25" i="1"/>
  <c r="X28" i="1"/>
  <c r="AG28" i="1" s="1"/>
  <c r="W25" i="1"/>
  <c r="K29" i="1"/>
  <c r="AB49" i="1" l="1"/>
  <c r="AD49" i="1" s="1"/>
  <c r="AB53" i="1"/>
  <c r="AD53" i="1" s="1"/>
  <c r="AB21" i="1"/>
  <c r="AD21" i="1" s="1"/>
  <c r="U29" i="1"/>
  <c r="AB40" i="1"/>
  <c r="AD40" i="1" s="1"/>
  <c r="AB41" i="1"/>
  <c r="AD41" i="1" s="1"/>
  <c r="AB20" i="1"/>
  <c r="AD20" i="1" s="1"/>
  <c r="AB39" i="1"/>
  <c r="AD39" i="1" s="1"/>
  <c r="Z93" i="1"/>
  <c r="Z97" i="1"/>
  <c r="Z98" i="1"/>
  <c r="Z99" i="1"/>
  <c r="Z92" i="1"/>
  <c r="Z96" i="1"/>
  <c r="Z91" i="1"/>
  <c r="Z90" i="1"/>
  <c r="Z95" i="1"/>
  <c r="Z94" i="1"/>
  <c r="AB35" i="1"/>
  <c r="AD35" i="1" s="1"/>
  <c r="AB45" i="1"/>
  <c r="AD45" i="1" s="1"/>
  <c r="AB32" i="1"/>
  <c r="AD32" i="1" s="1"/>
  <c r="U42" i="1"/>
  <c r="Y181" i="1"/>
  <c r="Y99" i="1"/>
  <c r="Y95" i="1"/>
  <c r="Y98" i="1"/>
  <c r="Y93" i="1"/>
  <c r="Y97" i="1"/>
  <c r="Y90" i="1"/>
  <c r="Y94" i="1"/>
  <c r="Y92" i="1"/>
  <c r="Y96" i="1"/>
  <c r="Y91" i="1"/>
  <c r="Y130" i="1"/>
  <c r="Y131" i="1"/>
  <c r="Y127" i="1"/>
  <c r="Y125" i="1"/>
  <c r="Y126" i="1"/>
  <c r="Y124" i="1"/>
  <c r="Y132" i="1"/>
  <c r="Y128" i="1"/>
  <c r="Y129" i="1"/>
  <c r="Y123" i="1"/>
  <c r="Z112" i="1"/>
  <c r="Y326" i="1"/>
  <c r="Y299" i="1"/>
  <c r="Y298" i="1"/>
  <c r="Y112" i="1"/>
  <c r="AB57" i="1"/>
  <c r="AD57" i="1" s="1"/>
  <c r="AB24" i="1"/>
  <c r="AD24" i="1" s="1"/>
  <c r="Z130" i="1"/>
  <c r="Z131" i="1"/>
  <c r="Z132" i="1"/>
  <c r="Z129" i="1"/>
  <c r="Z127" i="1"/>
  <c r="Z125" i="1"/>
  <c r="Z124" i="1"/>
  <c r="Z123" i="1"/>
  <c r="Z126" i="1"/>
  <c r="Z128" i="1"/>
  <c r="Y241" i="1"/>
  <c r="AB28" i="1"/>
  <c r="AD28" i="1" s="1"/>
  <c r="Z326" i="1"/>
  <c r="Z298" i="1"/>
  <c r="Z299" i="1"/>
  <c r="AB22" i="1"/>
  <c r="AD22" i="1" s="1"/>
  <c r="AB34" i="1"/>
  <c r="AD34" i="1" s="1"/>
  <c r="AB23" i="1"/>
  <c r="AD23" i="1" s="1"/>
  <c r="Z181" i="1"/>
  <c r="Z241" i="1"/>
  <c r="U36" i="1"/>
  <c r="Y46" i="1"/>
  <c r="Z46" i="1"/>
  <c r="Y58" i="1"/>
  <c r="X58" i="1"/>
  <c r="Y54" i="1"/>
  <c r="Z58" i="1"/>
  <c r="Z54" i="1"/>
  <c r="X54" i="1"/>
  <c r="X42" i="1"/>
  <c r="Z25" i="1"/>
  <c r="X50" i="1"/>
  <c r="Z36" i="1"/>
  <c r="Z29" i="1"/>
  <c r="X36" i="1"/>
  <c r="X29" i="1"/>
  <c r="Z42" i="1"/>
  <c r="Z50" i="1"/>
  <c r="Y42" i="1"/>
  <c r="Y50" i="1"/>
  <c r="Y36" i="1"/>
  <c r="X46" i="1"/>
  <c r="Y25" i="1"/>
  <c r="Y29" i="1"/>
  <c r="X25" i="1"/>
  <c r="K16" i="1"/>
  <c r="Y300" i="1" l="1"/>
  <c r="Z341" i="1"/>
  <c r="Z264" i="1"/>
  <c r="Y427" i="1"/>
  <c r="Y426" i="1"/>
  <c r="Y411" i="1"/>
  <c r="Y412" i="1"/>
  <c r="Y410" i="1"/>
  <c r="Y413" i="1"/>
  <c r="Y380" i="1"/>
  <c r="Z276" i="1"/>
  <c r="Y264" i="1"/>
  <c r="Z437" i="1"/>
  <c r="Z438" i="1"/>
  <c r="Z432" i="1"/>
  <c r="Z431" i="1"/>
  <c r="Z433" i="1"/>
  <c r="Z279" i="1"/>
  <c r="Y369" i="1"/>
  <c r="Y116" i="1"/>
  <c r="Y119" i="1"/>
  <c r="Y118" i="1"/>
  <c r="Y117" i="1"/>
  <c r="Y115" i="1"/>
  <c r="Z393" i="1"/>
  <c r="Z390" i="1"/>
  <c r="Z392" i="1"/>
  <c r="Z389" i="1"/>
  <c r="Z391" i="1"/>
  <c r="Z397" i="1"/>
  <c r="Z398" i="1"/>
  <c r="Z399" i="1"/>
  <c r="Y437" i="1"/>
  <c r="Y438" i="1"/>
  <c r="Y432" i="1"/>
  <c r="Y431" i="1"/>
  <c r="Y433" i="1"/>
  <c r="Y279" i="1"/>
  <c r="Y283" i="1"/>
  <c r="Z427" i="1"/>
  <c r="Z426" i="1"/>
  <c r="Z133" i="1"/>
  <c r="Y87" i="1"/>
  <c r="Z283" i="1"/>
  <c r="Z100" i="1"/>
  <c r="Y327" i="1"/>
  <c r="Z369" i="1"/>
  <c r="Z117" i="1"/>
  <c r="Z116" i="1"/>
  <c r="Z119" i="1"/>
  <c r="Z118" i="1"/>
  <c r="Z115" i="1"/>
  <c r="Z300" i="1"/>
  <c r="Y341" i="1"/>
  <c r="Y276" i="1"/>
  <c r="Y393" i="1"/>
  <c r="Y390" i="1"/>
  <c r="Y391" i="1"/>
  <c r="Y389" i="1"/>
  <c r="Y392" i="1"/>
  <c r="Z87" i="1"/>
  <c r="Z412" i="1"/>
  <c r="Z413" i="1"/>
  <c r="Z410" i="1"/>
  <c r="Z411" i="1"/>
  <c r="Z380" i="1"/>
  <c r="Z327" i="1"/>
  <c r="Y133" i="1"/>
  <c r="Y100" i="1"/>
  <c r="Y397" i="1"/>
  <c r="Y399" i="1"/>
  <c r="Y398" i="1"/>
  <c r="AE16" i="1"/>
  <c r="Y16" i="1"/>
  <c r="Z16" i="1"/>
  <c r="Z17" i="1" s="1"/>
  <c r="AA16" i="1"/>
  <c r="U16" i="1"/>
  <c r="Z284" i="1" l="1"/>
  <c r="Z280" i="1"/>
  <c r="Z400" i="1"/>
  <c r="Z370" i="1"/>
  <c r="Z428" i="1"/>
  <c r="Y120" i="1"/>
  <c r="Y381" i="1"/>
  <c r="Y284" i="1"/>
  <c r="Z394" i="1"/>
  <c r="Z440" i="1" s="1"/>
  <c r="Z434" i="1"/>
  <c r="Y394" i="1"/>
  <c r="Y440" i="1" s="1"/>
  <c r="Y234" i="1"/>
  <c r="Y386" i="1"/>
  <c r="Y439" i="1"/>
  <c r="Z439" i="1"/>
  <c r="AC16" i="1"/>
  <c r="AC439" i="1" s="1"/>
  <c r="Y400" i="1"/>
  <c r="Z414" i="1"/>
  <c r="Z381" i="1"/>
  <c r="Y428" i="1"/>
  <c r="Y434" i="1"/>
  <c r="Y414" i="1"/>
  <c r="Z234" i="1"/>
  <c r="Y280" i="1"/>
  <c r="Z386" i="1"/>
  <c r="Z120" i="1"/>
  <c r="Y370" i="1"/>
  <c r="V17" i="1"/>
  <c r="R17" i="1"/>
  <c r="Q17" i="1"/>
  <c r="P17" i="1"/>
  <c r="K17" i="1" l="1"/>
  <c r="W17" i="1"/>
  <c r="X16" i="1"/>
  <c r="AG16" i="1" s="1"/>
  <c r="T17" i="1"/>
  <c r="U17" i="1"/>
  <c r="AB16" i="1" l="1"/>
  <c r="Y17" i="1"/>
  <c r="X17" i="1"/>
  <c r="X444" i="1" l="1"/>
  <c r="AD16" i="1"/>
  <c r="AD4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Rizka EPO</author>
    <author>Aissa Lintang</author>
  </authors>
  <commentList>
    <comment ref="Q61" authorId="0" shapeId="0" xr:uid="{592CC6B2-34C8-49F2-85D5-2C20DE7E1C51}">
      <text>
        <r>
          <rPr>
            <b/>
            <sz val="9"/>
            <color indexed="81"/>
            <rFont val="Tahoma"/>
            <family val="2"/>
          </rPr>
          <t>MOP Cost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11" authorId="0" shapeId="0" xr:uid="{80E0D785-5172-4E3F-8AEE-D953B6436D2A}">
      <text>
        <r>
          <rPr>
            <b/>
            <sz val="9"/>
            <color indexed="81"/>
            <rFont val="Tahoma"/>
            <family val="2"/>
          </rPr>
          <t>MOP COST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1" authorId="0" shapeId="0" xr:uid="{1D2C6F81-8763-4BA3-B408-F7EF70B7A82A}">
      <text>
        <r>
          <rPr>
            <b/>
            <sz val="9"/>
            <color indexed="81"/>
            <rFont val="Tahoma"/>
            <family val="2"/>
          </rPr>
          <t>MOP COST</t>
        </r>
      </text>
    </comment>
    <comment ref="Q244" authorId="0" shapeId="0" xr:uid="{371505F2-F06D-4E21-9713-DAB00A04D707}">
      <text>
        <r>
          <rPr>
            <b/>
            <sz val="9"/>
            <color indexed="81"/>
            <rFont val="Tahoma"/>
            <family val="2"/>
          </rPr>
          <t>MOP COST</t>
        </r>
      </text>
    </comment>
    <comment ref="Q330" authorId="1" shapeId="0" xr:uid="{687F6533-DFE3-483F-B561-6230C9E545CF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Q331" authorId="1" shapeId="0" xr:uid="{A4A7E017-0771-409B-A37C-431672B06CAC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Q332" authorId="1" shapeId="0" xr:uid="{C7EADB52-C8FA-4101-8D56-F1A91381F682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Q333" authorId="1" shapeId="0" xr:uid="{B021F619-D0D9-468E-A5AE-E9F944480371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Q334" authorId="1" shapeId="0" xr:uid="{797EF180-DB0F-4E27-ABC9-132F42DF71B4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Q348" authorId="1" shapeId="0" xr:uid="{48D64509-CC0E-4182-8EE6-BBBF228C2023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Q417" authorId="1" shapeId="0" xr:uid="{261934E8-D71C-4DBF-A636-AF539150535B}">
      <text>
        <r>
          <rPr>
            <b/>
            <sz val="9"/>
            <color indexed="81"/>
            <rFont val="Tahoma"/>
            <family val="2"/>
          </rPr>
          <t>MOP</t>
        </r>
      </text>
    </comment>
  </commentList>
</comments>
</file>

<file path=xl/sharedStrings.xml><?xml version="1.0" encoding="utf-8"?>
<sst xmlns="http://schemas.openxmlformats.org/spreadsheetml/2006/main" count="3056" uniqueCount="661">
  <si>
    <t>Seller:</t>
  </si>
  <si>
    <t>Consignee:</t>
  </si>
  <si>
    <t xml:space="preserve">A/C No. : </t>
  </si>
  <si>
    <t xml:space="preserve">C/T No. : </t>
  </si>
  <si>
    <t>PO#</t>
    <phoneticPr fontId="11" type="noConversion"/>
  </si>
  <si>
    <t>Item No.</t>
    <phoneticPr fontId="11" type="noConversion"/>
  </si>
  <si>
    <t>Metal</t>
    <phoneticPr fontId="11" type="noConversion"/>
  </si>
  <si>
    <t>Q'ty</t>
    <phoneticPr fontId="11" type="noConversion"/>
  </si>
  <si>
    <t>Total w't</t>
    <phoneticPr fontId="11" type="noConversion"/>
  </si>
  <si>
    <t>Wire w't</t>
    <phoneticPr fontId="11" type="noConversion"/>
  </si>
  <si>
    <t>Labor</t>
    <phoneticPr fontId="11" type="noConversion"/>
  </si>
  <si>
    <t>SIGNED BY</t>
    <phoneticPr fontId="21" type="noConversion"/>
  </si>
  <si>
    <t>Labor
Cost</t>
    <phoneticPr fontId="11" type="noConversion"/>
  </si>
  <si>
    <t>Wire
Cost</t>
    <phoneticPr fontId="11" type="noConversion"/>
  </si>
  <si>
    <t>Gold w't</t>
    <phoneticPr fontId="11" type="noConversion"/>
  </si>
  <si>
    <t>Setting
Cost</t>
    <phoneticPr fontId="3" type="noConversion"/>
  </si>
  <si>
    <t>Total Amount</t>
    <phoneticPr fontId="3" type="noConversion"/>
  </si>
  <si>
    <t>Deposit</t>
    <phoneticPr fontId="3" type="noConversion"/>
  </si>
  <si>
    <t>Balance</t>
    <phoneticPr fontId="3" type="noConversion"/>
  </si>
  <si>
    <t>Tel : 62-286-598-8594   Fax : 62-286-598-8650</t>
    <phoneticPr fontId="11" type="noConversion"/>
  </si>
  <si>
    <t>Stone</t>
    <phoneticPr fontId="3" type="noConversion"/>
  </si>
  <si>
    <t>Stone Q'ty</t>
    <phoneticPr fontId="3" type="noConversion"/>
  </si>
  <si>
    <t>Gold &amp; 5%
Cost</t>
    <phoneticPr fontId="11" type="noConversion"/>
  </si>
  <si>
    <t>Color</t>
    <phoneticPr fontId="3" type="noConversion"/>
  </si>
  <si>
    <t>Buyer No.</t>
    <phoneticPr fontId="3" type="noConversion"/>
  </si>
  <si>
    <t>PRESIDENT     J.E. PARK</t>
    <phoneticPr fontId="3" type="noConversion"/>
  </si>
  <si>
    <t>FREIGHT CHARGE</t>
  </si>
  <si>
    <t>Invoice No. &amp; Date :</t>
  </si>
  <si>
    <t>L/C No. &amp; Date :</t>
    <phoneticPr fontId="11" type="noConversion"/>
  </si>
  <si>
    <t xml:space="preserve">"GSP eligible Article" </t>
    <phoneticPr fontId="4" type="noConversion"/>
  </si>
  <si>
    <t>Terms of  Payment:</t>
  </si>
  <si>
    <t>Country of Origin :</t>
    <phoneticPr fontId="4" type="noConversion"/>
  </si>
  <si>
    <t>INDONESIA</t>
    <phoneticPr fontId="4" type="noConversion"/>
  </si>
  <si>
    <t xml:space="preserve">B/L No. : </t>
    <phoneticPr fontId="9" type="noConversion"/>
  </si>
  <si>
    <t xml:space="preserve">Departure Date :     </t>
    <phoneticPr fontId="3" type="noConversion"/>
  </si>
  <si>
    <t xml:space="preserve">From :      </t>
    <phoneticPr fontId="3" type="noConversion"/>
  </si>
  <si>
    <t xml:space="preserve">To :      </t>
    <phoneticPr fontId="3" type="noConversion"/>
  </si>
  <si>
    <t>INDONESIA</t>
    <phoneticPr fontId="3" type="noConversion"/>
  </si>
  <si>
    <t>U.S.A</t>
    <phoneticPr fontId="3" type="noConversion"/>
  </si>
  <si>
    <t>PT. VERONIQUE INDONESIA</t>
  </si>
  <si>
    <t>Jawa Tengah  Zip Code : 53472   INDONESIA</t>
  </si>
  <si>
    <t>(Buyer : if then Consignee):</t>
  </si>
  <si>
    <t xml:space="preserve">Vessel/Flight :     </t>
  </si>
  <si>
    <t>Jl. Raya Purwonegoro, Rt. 007/003  Purwonegoro, Banjarnegara,  Jawa Tengah   Zip Code : 53472   INDONESIA</t>
  </si>
  <si>
    <t>Jl. Raya Purwonegoro, Rt. 007/003  Purwonegoro, Banjarnegara,</t>
  </si>
  <si>
    <t>PROFORMA INVOICE</t>
  </si>
  <si>
    <t>Buyer PO</t>
  </si>
  <si>
    <t>Dia w't</t>
  </si>
  <si>
    <t>Stone
Cost</t>
  </si>
  <si>
    <t>Dia Carat</t>
  </si>
  <si>
    <t>Extra Cost</t>
  </si>
  <si>
    <t>to Veronique Oro Corp.</t>
  </si>
  <si>
    <t>Plating Cost</t>
  </si>
  <si>
    <t xml:space="preserve">All unpaid balance will be charged 1.5% per month. </t>
  </si>
  <si>
    <t>24K Payment</t>
  </si>
  <si>
    <t>Dia Packaging Cost</t>
  </si>
  <si>
    <t>nilai maklon</t>
  </si>
  <si>
    <t>material cost</t>
  </si>
  <si>
    <t>total</t>
  </si>
  <si>
    <t>gold price</t>
  </si>
  <si>
    <t>dia price</t>
  </si>
  <si>
    <t>plating</t>
  </si>
  <si>
    <t>TOTAL</t>
  </si>
  <si>
    <t>W</t>
  </si>
  <si>
    <t>Buyer Dia</t>
  </si>
  <si>
    <t>IDD SANDEEP</t>
  </si>
  <si>
    <t>SUBTOTAL</t>
  </si>
  <si>
    <t>IDD PO SERIAL#</t>
  </si>
  <si>
    <t>Current Gold &amp;
5% Cost</t>
  </si>
  <si>
    <t>labor amount</t>
  </si>
  <si>
    <t>Dia Handling Service Fee</t>
  </si>
  <si>
    <t>PI IDD240717</t>
  </si>
  <si>
    <t>8 Apr London AM + 2%</t>
  </si>
  <si>
    <t>14K WG</t>
  </si>
  <si>
    <t>14K YG</t>
  </si>
  <si>
    <t>W
W</t>
  </si>
  <si>
    <t>IDD250324RB-4-14K-NS</t>
  </si>
  <si>
    <t>K0098R12 #6.5-8.0</t>
  </si>
  <si>
    <t>FSR5020TQS8Y</t>
  </si>
  <si>
    <t>1.00mm
1.10mm
1.20mm
Flower Cabachon 4 petals 5.50mm
Flower Cabachon 5 petals 7.0mm</t>
  </si>
  <si>
    <t>W
W
W
Turquise
Turquise</t>
  </si>
  <si>
    <t>18pcs
8pcs
10pcs
1pcs
1pcs</t>
  </si>
  <si>
    <t>28 Mar London AM + 2%</t>
  </si>
  <si>
    <t>IDD250325RB-3-14K</t>
  </si>
  <si>
    <t>K0107R128 #5.50</t>
  </si>
  <si>
    <t>FSR5014K5W-5C</t>
  </si>
  <si>
    <t>EM 3.40*2.50
1.10mm</t>
  </si>
  <si>
    <t>2pcs
60pcs</t>
  </si>
  <si>
    <t>K01135B03 OV H 8.25"</t>
  </si>
  <si>
    <t>FSBG5109S8Y-8B</t>
  </si>
  <si>
    <t>1.60mm
1.70mm
1.80mm</t>
  </si>
  <si>
    <t>W
W
W</t>
  </si>
  <si>
    <t>8pcs
32pcs
12pcs</t>
  </si>
  <si>
    <t>K0038B50 8.0"</t>
  </si>
  <si>
    <t>FSBG5041S8Y-8A</t>
  </si>
  <si>
    <t>K0098B140 7.0"</t>
  </si>
  <si>
    <t>FSBG5232Y-7A</t>
  </si>
  <si>
    <t>K0634B01 OV 6.75"</t>
  </si>
  <si>
    <t>FSBG5045S8Y</t>
  </si>
  <si>
    <t>1 Apr London AM + 2%</t>
  </si>
  <si>
    <t>IDD250326DB-3-14K</t>
  </si>
  <si>
    <t>K0038B533 OV F 6.75"</t>
  </si>
  <si>
    <t>FSBG5450S8WS</t>
  </si>
  <si>
    <t>31 Mar London AM + 2%</t>
  </si>
  <si>
    <t>IDD250326RB-1-14K</t>
  </si>
  <si>
    <t>FSBG5232W-7A</t>
  </si>
  <si>
    <t>2.00mm
4.15mm</t>
  </si>
  <si>
    <t>28pcs
4pcs</t>
  </si>
  <si>
    <t>K0098B326 7.50"</t>
  </si>
  <si>
    <t>FSBG5203K6YW-7C</t>
  </si>
  <si>
    <t>14K WYG</t>
  </si>
  <si>
    <t>1.10mm
1.20mm
3.10mm
BT 2.20*1.10
BT 3.70*1.70</t>
  </si>
  <si>
    <t>W
W
W
W
W</t>
  </si>
  <si>
    <t>4pcs
3pcs
3pcs
2pcs
3pcs</t>
  </si>
  <si>
    <t>K0165B01 7.50"</t>
  </si>
  <si>
    <t>FSBG5000S8W-7.5</t>
  </si>
  <si>
    <t>11 Apr London AM + 2%</t>
  </si>
  <si>
    <t>IDD250404RB-14K</t>
  </si>
  <si>
    <t>K0107R151 #6.5-8.0</t>
  </si>
  <si>
    <t>K01494B02 OV H 6.75"</t>
  </si>
  <si>
    <t>FSRT5067RDS8YW4</t>
  </si>
  <si>
    <t>FSBG5184S8W</t>
  </si>
  <si>
    <t>IDD250404RB-14K-NS</t>
  </si>
  <si>
    <t>1.00mm
1.10mm
1.20mm
Flower Cabachon 4 petal 5.50mm
Flower Cabachon 5 petal 7.00mm</t>
  </si>
  <si>
    <t>23 Apr London AM + 2%</t>
  </si>
  <si>
    <t>IDD250421RB-14K</t>
  </si>
  <si>
    <t>K0098B13 5.50"</t>
  </si>
  <si>
    <t>FSBG5067S8Y-5C</t>
  </si>
  <si>
    <t>1.50mm
1.60mm</t>
  </si>
  <si>
    <t>16pcs
12pcs</t>
  </si>
  <si>
    <t>24 Apr London AM + 2%</t>
  </si>
  <si>
    <t>IDD250422RM-14K</t>
  </si>
  <si>
    <t>Mounting</t>
  </si>
  <si>
    <t>K5025E36  OV 0.75"</t>
  </si>
  <si>
    <t>28 Apr London AM + 2%</t>
  </si>
  <si>
    <t>IDD250424RM-14K</t>
  </si>
  <si>
    <t>K5021E37 RD 0.75"</t>
  </si>
  <si>
    <t>27 Feb London AM + 2%</t>
  </si>
  <si>
    <t>IDD250227RB-14K-NS</t>
  </si>
  <si>
    <t>K02376B07 6.5"</t>
  </si>
  <si>
    <t>FSBG5410PLS8Y -6C</t>
  </si>
  <si>
    <t>1.50mm
1.60mm
Flower Flat 4 petal 7.00mm</t>
  </si>
  <si>
    <t>W
W
Black MOP</t>
  </si>
  <si>
    <t>50pcs
260pcs
10pcs</t>
  </si>
  <si>
    <t>24 Mar London AM + 2%</t>
  </si>
  <si>
    <t>IDD250312RB-2-14K</t>
  </si>
  <si>
    <t>K0038B60 OV H 6.75"</t>
  </si>
  <si>
    <t>FSBG5040S8W</t>
  </si>
  <si>
    <t>K0038B56 OV F 8.0"</t>
  </si>
  <si>
    <t>FSBG5076S8W-8A</t>
  </si>
  <si>
    <t>FSBG5076S8Y-8A</t>
  </si>
  <si>
    <t>K0038B56 OV F 7.0"</t>
  </si>
  <si>
    <t>FSBG5076S8W-7A</t>
  </si>
  <si>
    <t>K0038B56 OV F 6.50"</t>
  </si>
  <si>
    <t>FSBG5076S8W-6C</t>
  </si>
  <si>
    <t>FSBG5076S8Y-6C</t>
  </si>
  <si>
    <t>FSBG5088S8W-6C</t>
  </si>
  <si>
    <t>1.60mm
1.80mm
2.25mm</t>
  </si>
  <si>
    <t>8pcs
12pcs
24pcs</t>
  </si>
  <si>
    <t>14K RG</t>
  </si>
  <si>
    <t>K0038B54 OV F 6.50"</t>
  </si>
  <si>
    <t>FSBG5073S8W-6C</t>
  </si>
  <si>
    <t>FSBG5073S8Y-6C</t>
  </si>
  <si>
    <t>K0038B118 OV F 6.50"</t>
  </si>
  <si>
    <t>FSBG5079S8Y-6C</t>
  </si>
  <si>
    <t>K0038B54 OV F 6.0"</t>
  </si>
  <si>
    <t>FSBG5073S8W-6A</t>
  </si>
  <si>
    <t>FSBG5073S8Y-6A</t>
  </si>
  <si>
    <t>FSBG5067S8W-7C</t>
  </si>
  <si>
    <t>K0098B13 6.75"</t>
  </si>
  <si>
    <t>K0098B13 6.0"</t>
  </si>
  <si>
    <t>FSBG5067S8W-6A</t>
  </si>
  <si>
    <t>FSBG5080S8W-6D</t>
  </si>
  <si>
    <t>1.30mm
1.50mm
1.70mm
2.00mm</t>
  </si>
  <si>
    <t>W
W
W
W</t>
  </si>
  <si>
    <t>12pcs
14pcs
14pcs
7pcs</t>
  </si>
  <si>
    <t>FSBG5080S8Y</t>
  </si>
  <si>
    <t>K0632B01 6.75"</t>
  </si>
  <si>
    <t>FSBG5050K5W</t>
  </si>
  <si>
    <t>EM 3.40*2.50</t>
  </si>
  <si>
    <t>18 Mar London AM + 2%</t>
  </si>
  <si>
    <t>IDD250313RB-1-14K</t>
  </si>
  <si>
    <t>FSBG5215S8W-6C</t>
  </si>
  <si>
    <t>1.40mm
1.60mm
1.80mm
1.90mm
2.20mm
2.50mm
2.70mm
2.90mm
3.50mm</t>
  </si>
  <si>
    <t>W
W
W
W
W
W
W
W
W</t>
  </si>
  <si>
    <t>4pcs
2pcs
2pcs
2pcs
2pcs
2pcs
2pcs
2pcs
1pcs</t>
  </si>
  <si>
    <t>K0098B336 7.25"</t>
  </si>
  <si>
    <t>FSBG5206S8W-7B</t>
  </si>
  <si>
    <t>K0107R118  #4.5-6.0</t>
  </si>
  <si>
    <t>FSRT5060RDS8Y4-5A</t>
  </si>
  <si>
    <t>1.50mm
2.30mm
2.80mm
3.45mm</t>
  </si>
  <si>
    <t>36pcs
2pcs
2pcs
8pcs</t>
  </si>
  <si>
    <t>K0262B01 6.0"</t>
  </si>
  <si>
    <t>FSBG5018K8W-6A</t>
  </si>
  <si>
    <t>K0039B01 6.25"</t>
  </si>
  <si>
    <t>FSBG5007S8Y-6B</t>
  </si>
  <si>
    <t>K01745B01 7.0"</t>
  </si>
  <si>
    <t>FSBG5173S8W-7A</t>
  </si>
  <si>
    <t>1.25mm
2.00mm</t>
  </si>
  <si>
    <t>53pcs
23pcs</t>
  </si>
  <si>
    <t>K0342B08 7.50"</t>
  </si>
  <si>
    <t>FSBG5201S8YW-7C</t>
  </si>
  <si>
    <t>IDD250318RB-14K</t>
  </si>
  <si>
    <t>K0132B06 6.5"</t>
  </si>
  <si>
    <t>FSBG5023S8WS</t>
  </si>
  <si>
    <t>K0038B59 6.75"</t>
  </si>
  <si>
    <t>FSBG5036S8WS</t>
  </si>
  <si>
    <t>FSBG5036S8YS</t>
  </si>
  <si>
    <t>FSBG5067S8WS</t>
  </si>
  <si>
    <t>K0634B01 6.75"</t>
  </si>
  <si>
    <t>FSBG5045S8PS</t>
  </si>
  <si>
    <t>K0107B15 6.5"</t>
  </si>
  <si>
    <t>FSBG5043S8WS</t>
  </si>
  <si>
    <t>FSBG5043S8YS</t>
  </si>
  <si>
    <t>K0039B01 6.75"</t>
  </si>
  <si>
    <t>FSBG5007S8YS</t>
  </si>
  <si>
    <t>K0629B02 6.75"</t>
  </si>
  <si>
    <t>FSBG5044K6YS</t>
  </si>
  <si>
    <t>1.30mm
BT 2.6*1.3</t>
  </si>
  <si>
    <t>W  
W</t>
  </si>
  <si>
    <t>10pcs
11pcs</t>
  </si>
  <si>
    <t>FSBG5044K6PS</t>
  </si>
  <si>
    <t>21 Mar London AM + 2%</t>
  </si>
  <si>
    <t>IDD250319RB-1-14K</t>
  </si>
  <si>
    <t>K0098B283 6.75"</t>
  </si>
  <si>
    <t>FSBG5190S8Y</t>
  </si>
  <si>
    <t>K0107R127 #6.5-8</t>
  </si>
  <si>
    <t>FSR5015K5W</t>
  </si>
  <si>
    <t>1.10mm
EM 3.4*2.5
PR 4.3*2.8</t>
  </si>
  <si>
    <t>40pcs
1pcs
1pcs</t>
  </si>
  <si>
    <t>K0038B60 6.75"</t>
  </si>
  <si>
    <t>FSBG5040S8Y</t>
  </si>
  <si>
    <t>K02057B01 6.75"</t>
  </si>
  <si>
    <t>FSBG5246S8Y</t>
  </si>
  <si>
    <t>1.30mm
1.40mm
1.50mm
1.60mm</t>
  </si>
  <si>
    <t>6pcs
18pcs
18pcs
3pcs</t>
  </si>
  <si>
    <t>K0688B01 6.75"</t>
  </si>
  <si>
    <t>FSBG5082S8W-6D</t>
  </si>
  <si>
    <t>1.80mm
2.20mm
2.70mm
3.30mm</t>
  </si>
  <si>
    <t>10pcs
10pcs
10pcs
5pcs</t>
  </si>
  <si>
    <t>IDD250319RB-2-14K-NS</t>
  </si>
  <si>
    <t>H0181B01 6.75"</t>
  </si>
  <si>
    <t>FSBG5420PLS8YS</t>
  </si>
  <si>
    <t>1.10mm
Rectangle Cabochon 6.05*3.5*1.23
Triangle Cabochon 12.85*5.8*3.2</t>
  </si>
  <si>
    <t>W
White MOP
Black Onyx</t>
  </si>
  <si>
    <t>20pcs
1pcs
1pcs</t>
  </si>
  <si>
    <t>25 Mar London AM + 2%</t>
  </si>
  <si>
    <t>IDD250319RB-5-14K</t>
  </si>
  <si>
    <t>K0165B01 OV H 7"</t>
  </si>
  <si>
    <t>FSBG5000S8Y-7A</t>
  </si>
  <si>
    <t>K0132B06 7.5"</t>
  </si>
  <si>
    <t>FSBG5023S8YW-7C</t>
  </si>
  <si>
    <t>K0132B06 7.25"</t>
  </si>
  <si>
    <t>FSBG5023S8YW-7B</t>
  </si>
  <si>
    <t>K0632B01 6"</t>
  </si>
  <si>
    <t>FSBG5050K5Y-6A</t>
  </si>
  <si>
    <t>EM 3.4*2.5</t>
  </si>
  <si>
    <t>K0629B02 OV 6.5"</t>
  </si>
  <si>
    <t>FSBG5044K6W-6C</t>
  </si>
  <si>
    <t>27 Mar London AM + 2%</t>
  </si>
  <si>
    <t>IDD250324RB-2-14K</t>
  </si>
  <si>
    <t>K0098B191 6.5"</t>
  </si>
  <si>
    <t>FSBG5153S8W-6C</t>
  </si>
  <si>
    <t>FSBG5153S8Y-6C</t>
  </si>
  <si>
    <t>K0165B12 OV H 6.5"</t>
  </si>
  <si>
    <t>FSBG5190S8W</t>
  </si>
  <si>
    <t>FSBG5190S8P</t>
  </si>
  <si>
    <t>K0098B140 6.5"</t>
  </si>
  <si>
    <t>FSBG5232W-6C</t>
  </si>
  <si>
    <t>FSBG5232Y-6C</t>
  </si>
  <si>
    <t>K0038B259 OV F 6.75"</t>
  </si>
  <si>
    <t>FSBG5230K8Y</t>
  </si>
  <si>
    <t>4.70mm
4.90mm</t>
  </si>
  <si>
    <t>5pcs
28pcs</t>
  </si>
  <si>
    <t>K0098B392 6.75"</t>
  </si>
  <si>
    <t>K0165B12 OV H 6.75"</t>
  </si>
  <si>
    <t>FSBG5208S8W</t>
  </si>
  <si>
    <t>IDD250324RB-1-14K</t>
  </si>
  <si>
    <t>K0098B13 7.5"</t>
  </si>
  <si>
    <t>K01135B02 OV H 6.5"</t>
  </si>
  <si>
    <t>FSBG5088S8Y-6C</t>
  </si>
  <si>
    <t>K0634B01 OV 7.5"</t>
  </si>
  <si>
    <t>FSBG5045S8W-7C</t>
  </si>
  <si>
    <t>K0107B01 6.5"</t>
  </si>
  <si>
    <t>FSBG5024S8T</t>
  </si>
  <si>
    <t>14K WRG</t>
  </si>
  <si>
    <t>FSBG5043S8T</t>
  </si>
  <si>
    <t>K0132B06 6.75"</t>
  </si>
  <si>
    <t>FSBG5023S8W-6D</t>
  </si>
  <si>
    <t>FSBG5023S8Y-6D</t>
  </si>
  <si>
    <t>K0304B06 OV H 6.75"</t>
  </si>
  <si>
    <t>FSBG5090S8Y-6D</t>
  </si>
  <si>
    <t>FSBG5090S8P-6D</t>
  </si>
  <si>
    <t>FSBG5007S8Y</t>
  </si>
  <si>
    <t>FSBG5045S8W</t>
  </si>
  <si>
    <t>K0140TB02 6.75" IDD 17.5 V</t>
  </si>
  <si>
    <t>FSBG5022S8Y</t>
  </si>
  <si>
    <t>K0038B59 OV F 6.75"</t>
  </si>
  <si>
    <t>FSBG5036S8Y</t>
  </si>
  <si>
    <t>14 Mar London AM + 2%</t>
  </si>
  <si>
    <t>IDD250312RB-1-14K</t>
  </si>
  <si>
    <t>K0038B59 OV F 6.0"</t>
  </si>
  <si>
    <t>FSBG5036S8W-6A</t>
  </si>
  <si>
    <t>FSBG5036S8P-6A</t>
  </si>
  <si>
    <t>K0038B59 OV F 7.50"</t>
  </si>
  <si>
    <t>FSBG5036S8W-7C</t>
  </si>
  <si>
    <t>K0165B01 OV H 7.50"</t>
  </si>
  <si>
    <t>K0262B01 6.50"</t>
  </si>
  <si>
    <t>FSBG5018K8W</t>
  </si>
  <si>
    <t>IDD250312RB-3-14K</t>
  </si>
  <si>
    <t>K0098B147 6.50"</t>
  </si>
  <si>
    <t>FSBG5139S8W-6C</t>
  </si>
  <si>
    <t>1.50mm
1.50mm
1.60mm
1.60mm</t>
  </si>
  <si>
    <t>24pcs
4pcs
18pcs
3pcs</t>
  </si>
  <si>
    <t>FSBG5139S8Y-6C</t>
  </si>
  <si>
    <t>K0098B191 6.50"</t>
  </si>
  <si>
    <t>FSBG5153S8P-6C</t>
  </si>
  <si>
    <t>K0098B147 7.50"</t>
  </si>
  <si>
    <t>FSBG5139S8W-7C</t>
  </si>
  <si>
    <t>FSBG5139S8P-7C</t>
  </si>
  <si>
    <t>K0098B267 6.75"</t>
  </si>
  <si>
    <t>FSBG5170K5Y</t>
  </si>
  <si>
    <t>EM 4.30*3.20</t>
  </si>
  <si>
    <t>K01588B01 6.75"</t>
  </si>
  <si>
    <t>1.90mm
2.00mm</t>
  </si>
  <si>
    <t>62pcs
13pcs</t>
  </si>
  <si>
    <t>K0098B147 6.75"</t>
  </si>
  <si>
    <t>FSBG5139S8Y</t>
  </si>
  <si>
    <t>FSBG5182S8WY</t>
  </si>
  <si>
    <t>K01237B01 6.75"</t>
  </si>
  <si>
    <t>FSBG5104K6Y</t>
  </si>
  <si>
    <t>1.95mm
OV 3.90*2.90</t>
  </si>
  <si>
    <t>14pcs
15pcs</t>
  </si>
  <si>
    <t>IDD250312RB-4-14K</t>
  </si>
  <si>
    <t>K0098B282 6.50"</t>
  </si>
  <si>
    <t>FSBG5189S8P-6C</t>
  </si>
  <si>
    <t>K0098B336 6.50"</t>
  </si>
  <si>
    <t>FSBG5206S8W-6C</t>
  </si>
  <si>
    <t>K0098B325 6.50"</t>
  </si>
  <si>
    <t>FSBG5198S8YW-6C</t>
  </si>
  <si>
    <t>K01810B01 6.50"</t>
  </si>
  <si>
    <t>FSBG5216S8W-6C</t>
  </si>
  <si>
    <t>FSBG5216S8Y-6C</t>
  </si>
  <si>
    <t>K01093B05 6.75"</t>
  </si>
  <si>
    <t>FSBG5207S8Y</t>
  </si>
  <si>
    <t>1.80mm
2.20mm
2.50mm</t>
  </si>
  <si>
    <t>4pcs
2pcs
1pcs</t>
  </si>
  <si>
    <t>19 Mar London AM + 2%</t>
  </si>
  <si>
    <t>IDD250312RB-5-14K</t>
  </si>
  <si>
    <t>K0107R126 #6.5-8.0</t>
  </si>
  <si>
    <t>FSR5013K5YW</t>
  </si>
  <si>
    <t>1pcs
16pcs
104pcs</t>
  </si>
  <si>
    <t>K0107R103 #6.5-8.0</t>
  </si>
  <si>
    <t>FSRT5060RDS8W4</t>
  </si>
  <si>
    <t>3.45mm
2.80mm
2.30mm
1.50mm</t>
  </si>
  <si>
    <t>8pcs
2pcs
2pcs
41pcs</t>
  </si>
  <si>
    <t>FSRT5060RDS8Y4</t>
  </si>
  <si>
    <t>FSRT5060RDS8P4</t>
  </si>
  <si>
    <t>K01678B07 6.50"</t>
  </si>
  <si>
    <t>FSBG5413S8W-6C</t>
  </si>
  <si>
    <t>K02658R02 #6.5-8.0</t>
  </si>
  <si>
    <t>FSRT5070RDS8W</t>
  </si>
  <si>
    <t>1.00mm
1.10mm</t>
  </si>
  <si>
    <t>9pcs
71pcs</t>
  </si>
  <si>
    <t>K0098R41 #6.5-8.0</t>
  </si>
  <si>
    <t>FSR5024W</t>
  </si>
  <si>
    <t>IDD250312RB-5-14K-NS</t>
  </si>
  <si>
    <t>W
W
W
White MOP</t>
  </si>
  <si>
    <t>K01923N06 16"+2"</t>
  </si>
  <si>
    <t>FSNF5013PLS8Y</t>
  </si>
  <si>
    <t>0.90mm
2.00mm
1.00mm
Round Flat 12.60mm
Round Cabachon 3.50mm</t>
  </si>
  <si>
    <t>W
W
W
White MOP
Lapiz Lazuli</t>
  </si>
  <si>
    <t>36pcs
4pcs
8pcs
1pcs
2pcs</t>
  </si>
  <si>
    <t>$7.50/g+$2.00/st</t>
  </si>
  <si>
    <t>IDD250312RB-6-14K</t>
  </si>
  <si>
    <t>K01589B03 6.50"</t>
  </si>
  <si>
    <t>FSBG5387S8W-6C</t>
  </si>
  <si>
    <t>FSBG5387S8Y-6C</t>
  </si>
  <si>
    <t>FSBG5387S8P-6C</t>
  </si>
  <si>
    <t>K0098B612 6.50"</t>
  </si>
  <si>
    <t>K0098B542 6.75"</t>
  </si>
  <si>
    <t>FSBG5292S8Y</t>
  </si>
  <si>
    <t>K0098B546 6.50"</t>
  </si>
  <si>
    <t>W
W
W
W
W
W
W</t>
  </si>
  <si>
    <t>K02747B01 6.75"</t>
  </si>
  <si>
    <t>FSBG5394Y</t>
  </si>
  <si>
    <t>K02339B01 6.75"</t>
  </si>
  <si>
    <t>FSBG5296S8Y</t>
  </si>
  <si>
    <t>K0098B495-RCB 6.75"</t>
  </si>
  <si>
    <t>FSBG5268S8W</t>
  </si>
  <si>
    <t>1.00mm
1.10mm
1.20mm
1.30mm</t>
  </si>
  <si>
    <t>10pcs
8pcs
16pcs
34pcs</t>
  </si>
  <si>
    <t>K0098B19 6.75"</t>
  </si>
  <si>
    <t>FSBG5259S8Y</t>
  </si>
  <si>
    <t>K02669B01 6.75"</t>
  </si>
  <si>
    <t>FSBG5383Y</t>
  </si>
  <si>
    <t>K02672B01 6.75"</t>
  </si>
  <si>
    <t>FSBG5381W</t>
  </si>
  <si>
    <t>K0098B97 6.75"</t>
  </si>
  <si>
    <t>FSBG5374S8Y</t>
  </si>
  <si>
    <t>1.70mm
2.10mm</t>
  </si>
  <si>
    <t>6pcs
1pcs</t>
  </si>
  <si>
    <t>K02291B02 6.75"</t>
  </si>
  <si>
    <t>FSBG5278S8W</t>
  </si>
  <si>
    <t>FSBG5278S8Y</t>
  </si>
  <si>
    <t>IDD250313RB-2-14K</t>
  </si>
  <si>
    <t>K0098B546 6.75"</t>
  </si>
  <si>
    <t>FSBG5291S8Y</t>
  </si>
  <si>
    <t>K0107R99 #6.5-8.0</t>
  </si>
  <si>
    <t>FSRT5062RDS8Y4</t>
  </si>
  <si>
    <t>K01494B03 6.75"</t>
  </si>
  <si>
    <t>FSBG5185S8P</t>
  </si>
  <si>
    <t>K0098B525 6.75"</t>
  </si>
  <si>
    <t>FSBG5288K6YW</t>
  </si>
  <si>
    <t>1.10mm
1.50mm
BT 2.20*1.50
BT 3.70*1.70</t>
  </si>
  <si>
    <t>6pcs
8pcs
2pcs
3pcs</t>
  </si>
  <si>
    <t>K02291B03 6.75"</t>
  </si>
  <si>
    <t>FSBG5282S8Y</t>
  </si>
  <si>
    <t>FSR5018K5W</t>
  </si>
  <si>
    <t>1.10mm
EM 3.55*2.45
EM 4.45*3.25</t>
  </si>
  <si>
    <t>34pcs
2pcs
1pcs</t>
  </si>
  <si>
    <t>K0107R130 #6.5-8.0</t>
  </si>
  <si>
    <t>FSR5017K6YW</t>
  </si>
  <si>
    <t>BT 3.20*1.60
1.30mm</t>
  </si>
  <si>
    <t>2pcs
42pcs</t>
  </si>
  <si>
    <t>K0107R127 #6.5</t>
  </si>
  <si>
    <t>FSR5015K5Y</t>
  </si>
  <si>
    <t>IDD250313RB-2-14K-NS</t>
  </si>
  <si>
    <t>K0098B689 6.75"</t>
  </si>
  <si>
    <t>FSBG5375PLS8Y</t>
  </si>
  <si>
    <t>1.00mm
1.50mm
2.00mm
Flower Flat 4 petal 4.0*4.0</t>
  </si>
  <si>
    <t>20pcs
4pcs
2pcs
1pcs</t>
  </si>
  <si>
    <t>IDD250314RB-1-14K</t>
  </si>
  <si>
    <t>K0098B192 7.50"</t>
  </si>
  <si>
    <t>FSBG5154S8W-7C</t>
  </si>
  <si>
    <t>IDD250317RB-3-14K</t>
  </si>
  <si>
    <t>FSBG5045S8P</t>
  </si>
  <si>
    <t>K01135B02 6.50"</t>
  </si>
  <si>
    <t>FSBG5139S8W</t>
  </si>
  <si>
    <t>FSBG5039S8Y</t>
  </si>
  <si>
    <t>1.30mm
BT 2.60*1.30</t>
  </si>
  <si>
    <t>K0165B12 OV H 6.50"</t>
  </si>
  <si>
    <t>W
SAPPHIRE</t>
  </si>
  <si>
    <t>IDD250318RB-1-14K</t>
  </si>
  <si>
    <t>K01135B03 6.75"</t>
  </si>
  <si>
    <t>FSBG5109S8W</t>
  </si>
  <si>
    <t>K01745B01 6.75"</t>
  </si>
  <si>
    <t>FSBG5173S8Y</t>
  </si>
  <si>
    <t>K0098B284 6.75"</t>
  </si>
  <si>
    <t>FSBG5191S8Y</t>
  </si>
  <si>
    <t>K01176B01 6.75"</t>
  </si>
  <si>
    <t>FSBG5077S8W</t>
  </si>
  <si>
    <t>1.60mm
1.80mm
2.00mm
2.50mm</t>
  </si>
  <si>
    <t>2pcs
2pcs
2pcs
1pcs</t>
  </si>
  <si>
    <t>K0246B05 6.75"</t>
  </si>
  <si>
    <t>FSBG5155S8Y</t>
  </si>
  <si>
    <t>IDD250318RB-1-14K-NS</t>
  </si>
  <si>
    <t>K01765B04 6.75"</t>
  </si>
  <si>
    <t>FSBG5225S8Y</t>
  </si>
  <si>
    <t>1.20mm
1.00mm
1.80mm
Butterfly Cabachon 11.96*8.36</t>
  </si>
  <si>
    <t>2pcs
34pcs
37pcs
1pcs</t>
  </si>
  <si>
    <t>IDD250318RB-2-14K</t>
  </si>
  <si>
    <t>FSBG5215S8YS</t>
  </si>
  <si>
    <t>K0098B191 6.75"</t>
  </si>
  <si>
    <t>FSRT5062RDS8W4S</t>
  </si>
  <si>
    <t>FSRT5062RDS8Y4S</t>
  </si>
  <si>
    <t>FSBG5246S8YS</t>
  </si>
  <si>
    <t>K0107R01 #6.5-8</t>
  </si>
  <si>
    <t>FSR5000S8PS</t>
  </si>
  <si>
    <t>K0107R122 #6.5-8</t>
  </si>
  <si>
    <t>FSRT5064RDS8YW4S</t>
  </si>
  <si>
    <t>IDD250319RB-3-14K</t>
  </si>
  <si>
    <t>FSBG5383W</t>
  </si>
  <si>
    <t>FSBG5383P</t>
  </si>
  <si>
    <t>K0098B612 6.75"</t>
  </si>
  <si>
    <t>FSBG5338S8W</t>
  </si>
  <si>
    <t>K0107R128 #6.5</t>
  </si>
  <si>
    <t>FSR5014K5Y</t>
  </si>
  <si>
    <t>1.10mm
EM 3.4*2.5</t>
  </si>
  <si>
    <t>60pcs
2pcs</t>
  </si>
  <si>
    <t>K02303B01 6.75"</t>
  </si>
  <si>
    <t>FSBG5283K6Y</t>
  </si>
  <si>
    <t>2.10mm
MQ 4.1*2.3</t>
  </si>
  <si>
    <t>12pcs
11pcs</t>
  </si>
  <si>
    <t>K0304B06 6.75"</t>
  </si>
  <si>
    <t>FSBG5090S8W-6D</t>
  </si>
  <si>
    <t>IDD250321RB-3-14K</t>
  </si>
  <si>
    <t>IDD250324RB-3-14K</t>
  </si>
  <si>
    <t>FSBG5338S8W-6C</t>
  </si>
  <si>
    <t>K02291B01 6.50"</t>
  </si>
  <si>
    <t>FSBG5278S8W-6C</t>
  </si>
  <si>
    <t>K0098B542 6.50"</t>
  </si>
  <si>
    <t>FSBG5292S8Y-6C</t>
  </si>
  <si>
    <t>FSBG5291S8W-6C</t>
  </si>
  <si>
    <t>FSBG5288K6W</t>
  </si>
  <si>
    <t>FSBG5338S8YW</t>
  </si>
  <si>
    <t>5 Mar London AM + 2%</t>
  </si>
  <si>
    <t>IDD250228RB-3-14K</t>
  </si>
  <si>
    <t>K02339B01 OV F 6.75"</t>
  </si>
  <si>
    <t>FSBG5282S8W</t>
  </si>
  <si>
    <t>FSBG5206S8W</t>
  </si>
  <si>
    <t>IDD250228RB-7-14K</t>
  </si>
  <si>
    <t>FSBG5036S8W</t>
  </si>
  <si>
    <t>7th Apr London AM + 2%</t>
  </si>
  <si>
    <t>Dia Handling Cost</t>
  </si>
  <si>
    <t>IDD250402RB-2-14K</t>
  </si>
  <si>
    <t>K0304B06 OV H 7.75"</t>
  </si>
  <si>
    <t>FSBG5090S8P-7D</t>
  </si>
  <si>
    <t>IDD250402RB-3-14K</t>
  </si>
  <si>
    <t>K0342B08 7.0"</t>
  </si>
  <si>
    <t>FSBG5201S8YW-7A</t>
  </si>
  <si>
    <t>148574</t>
  </si>
  <si>
    <t>K0107B20 OV 7.25"</t>
  </si>
  <si>
    <t>FSBG5054S8YW-7B</t>
  </si>
  <si>
    <t>K0038B54 OV F 7.50"</t>
  </si>
  <si>
    <t>FSBG5073S8W-7C</t>
  </si>
  <si>
    <t>K0098B257 7.50"</t>
  </si>
  <si>
    <t>FSBG5169S8YW-7C</t>
  </si>
  <si>
    <t>1.20mm
1.40mm
1.90mm
2.10mm
2.30mm
2.50mm
2.75mm
3.00mm</t>
  </si>
  <si>
    <t>W
W
W
W
W
W
W
W</t>
  </si>
  <si>
    <t>12pcs
7pcs
1pcs
1pcs
1pcs
1pcs
1pcs
1pcs</t>
  </si>
  <si>
    <t>9th Apr London AM + 2%</t>
  </si>
  <si>
    <t>IDD250401RB-1-14K</t>
  </si>
  <si>
    <t>K0098B216 7.50"</t>
  </si>
  <si>
    <t>FSBG5350S8YW-7C</t>
  </si>
  <si>
    <t>K01093B20 OV 7.15"</t>
  </si>
  <si>
    <t>FSBG5231S8W-7.15</t>
  </si>
  <si>
    <t>12pcs
6pcs
3pcs</t>
  </si>
  <si>
    <t>4th Apr London AM + 2%</t>
  </si>
  <si>
    <t>IDD250401RB-9-14K</t>
  </si>
  <si>
    <t>K0038B49 OV H 6.75"</t>
  </si>
  <si>
    <t>VPO#148557</t>
  </si>
  <si>
    <t>IDD250324RB-4-14K</t>
  </si>
  <si>
    <t>K02654B01 OV 6.5"</t>
  </si>
  <si>
    <t>FSBG5376S8YW-6C</t>
  </si>
  <si>
    <t>K01589B03 6.5"</t>
  </si>
  <si>
    <t>K02662B03 6.75"</t>
  </si>
  <si>
    <t>FSBG5377S8W</t>
  </si>
  <si>
    <t>FSBG5377S8Y</t>
  </si>
  <si>
    <t>K02610B01 6.75"</t>
  </si>
  <si>
    <t>FSBG5372S8W</t>
  </si>
  <si>
    <t>1.80mm
2.00mm
2.10mm
2.30mm
2.40mm
2.90mm
3.00mm</t>
  </si>
  <si>
    <t>2pcs
2pcs
4pcs
2pcs
4pcs
2pcs
2pcs</t>
  </si>
  <si>
    <t>FSR5014K5W</t>
  </si>
  <si>
    <t>28th Mar London AM + 2%</t>
  </si>
  <si>
    <t>IDD250321RB-1-14K</t>
  </si>
  <si>
    <t>K02303B01 OV 6.50"</t>
  </si>
  <si>
    <t>FSBG5283K6W-6C</t>
  </si>
  <si>
    <t>2.10mm
MQ 4.10*2.30</t>
  </si>
  <si>
    <t>31st Mar London AM + 2%</t>
  </si>
  <si>
    <t>IDD250321RB-2-14K</t>
  </si>
  <si>
    <t>24th Mar London AM + 2%</t>
  </si>
  <si>
    <t>IDD250320DB-1-14K</t>
  </si>
  <si>
    <t>K0098B828 OV 6.75"</t>
  </si>
  <si>
    <t>FSBG5424S8YS</t>
  </si>
  <si>
    <t>K0098B829 OV 6.75"</t>
  </si>
  <si>
    <t>FSBG5425S8YS</t>
  </si>
  <si>
    <t>K0098B830 OV 6.75"</t>
  </si>
  <si>
    <t>FSBG5426S8YS</t>
  </si>
  <si>
    <t>2.70mm
3.30mm
3.40mm</t>
  </si>
  <si>
    <t>1pcs
2pcs
1pcs</t>
  </si>
  <si>
    <t>K0098B832 OV 6.75"</t>
  </si>
  <si>
    <t>FSBG5428S8YS</t>
  </si>
  <si>
    <t>K02928B02 OV 6.75"</t>
  </si>
  <si>
    <t>FSBG5440S8YS</t>
  </si>
  <si>
    <t>2.10mm
2.40mm
2.55mm</t>
  </si>
  <si>
    <t>2pcs
2pcs
2pcs</t>
  </si>
  <si>
    <t>IDD250320RB-1-14K</t>
  </si>
  <si>
    <t>K0098B148 6.50"</t>
  </si>
  <si>
    <t>FSBG5141S8W-6C</t>
  </si>
  <si>
    <t>1.05mm
1.10mm
1.20mm
1.95mm
2.05mm</t>
  </si>
  <si>
    <t>36pcs
9pcs
3pcs
3pcs
6pcs</t>
  </si>
  <si>
    <t>IDD250320RB-2-14K</t>
  </si>
  <si>
    <t>K0107R125 #4</t>
  </si>
  <si>
    <t>FSR5012K6W -4A</t>
  </si>
  <si>
    <t>1.10mm
1.30mm
OV 5.7*4.3</t>
  </si>
  <si>
    <t>16pcs
104pcs
1pcs</t>
  </si>
  <si>
    <t>14th Mar London AM + 2%</t>
  </si>
  <si>
    <t>IDD250307DB-1-14K</t>
  </si>
  <si>
    <t>K0038B566 OV F 7.0"</t>
  </si>
  <si>
    <t>FSBG5415K8W-7A</t>
  </si>
  <si>
    <t>12th Mar London AM + 2%</t>
  </si>
  <si>
    <t>IDD250307RB-3-14K</t>
  </si>
  <si>
    <t>K0165B01 OV H 6.50"</t>
  </si>
  <si>
    <t>FSBG5000S8W</t>
  </si>
  <si>
    <t>K0132B02 OV F 6.75"</t>
  </si>
  <si>
    <t>FSBG5002S8W</t>
  </si>
  <si>
    <t>FSBG5002S8Y</t>
  </si>
  <si>
    <t>K0038B19 OV F 6.75"</t>
  </si>
  <si>
    <t>FSBG5038S8W</t>
  </si>
  <si>
    <t>K0629B02 OV 6.75"</t>
  </si>
  <si>
    <t>FSBG5044K6W</t>
  </si>
  <si>
    <t>FSBG5044K6Y</t>
  </si>
  <si>
    <t>IDD250307RB-4-14K</t>
  </si>
  <si>
    <t>K0107R13 #6.5</t>
  </si>
  <si>
    <t>FSR5007S8W</t>
  </si>
  <si>
    <t>FSRT5062RDS8W4</t>
  </si>
  <si>
    <t>K0107R122 #6.5-8.0</t>
  </si>
  <si>
    <t>FSRT5064RDS8YW4</t>
  </si>
  <si>
    <t>IDD250306RB-1-14K</t>
  </si>
  <si>
    <t>K0079B01 6.0"</t>
  </si>
  <si>
    <t>FSBG5010HDS8W-6A</t>
  </si>
  <si>
    <t>18th Mar London AM + 2%</t>
  </si>
  <si>
    <t>IDD250306RB-3-14K</t>
  </si>
  <si>
    <t>K01678B03 6.50"</t>
  </si>
  <si>
    <t>K01678B08 6.50"</t>
  </si>
  <si>
    <t>FSBG5417S8WS-6C</t>
  </si>
  <si>
    <t>7th Mar London AM + 2%</t>
  </si>
  <si>
    <t>IDD250305RB-1-14K</t>
  </si>
  <si>
    <t>VPO#148171</t>
  </si>
  <si>
    <t>FSBG5412S8W-6C</t>
  </si>
  <si>
    <t>K01588B01 OV F 6.75"</t>
  </si>
  <si>
    <t>IDD250305RB-2-14K</t>
  </si>
  <si>
    <t>FSBG5153SA3S8W</t>
  </si>
  <si>
    <t>VPO#148184</t>
  </si>
  <si>
    <t>2.00mm
2.00mm</t>
  </si>
  <si>
    <t>5pcs
10pcs</t>
  </si>
  <si>
    <t>31 Jan London AM + 2%</t>
  </si>
  <si>
    <t>IDD250131RB-1-14K</t>
  </si>
  <si>
    <t>K0252B01 OV H 6.75"</t>
  </si>
  <si>
    <t>7 Feb London AM + 2%</t>
  </si>
  <si>
    <t>IDD250205RB-1-14K</t>
  </si>
  <si>
    <t>K0098B336 OV 6.75"</t>
  </si>
  <si>
    <t>K02426B01 6.50"</t>
  </si>
  <si>
    <t>FSBG5335S8Y-6C</t>
  </si>
  <si>
    <t>K02321B01 6.75"</t>
  </si>
  <si>
    <t>FSBG5295S8Y</t>
  </si>
  <si>
    <t>1.30mm
1.50mm</t>
  </si>
  <si>
    <t>66pcs
33pcs</t>
  </si>
  <si>
    <t>IDD250205RB-2-14K</t>
  </si>
  <si>
    <t>K02662B03 6.50"</t>
  </si>
  <si>
    <t>FSBG5377S8Y-6C</t>
  </si>
  <si>
    <t>IDD250304RB-1-14K</t>
  </si>
  <si>
    <t>VPO#148163</t>
  </si>
  <si>
    <t>1.85mm
1.85mm</t>
  </si>
  <si>
    <t>21pcs
20pcs</t>
  </si>
  <si>
    <t>FSBG5039BSS8W</t>
  </si>
  <si>
    <t>6th Mar London AM + 2%</t>
  </si>
  <si>
    <t>IDD250304RB-3-14K</t>
  </si>
  <si>
    <t>VPO#148166</t>
  </si>
  <si>
    <t>K02303B01 OV 6.75"</t>
  </si>
  <si>
    <t>IDD250304RB-3-14K-NS</t>
  </si>
  <si>
    <t>6 Feb London AM + 2%</t>
  </si>
  <si>
    <t>IDD250124RB-14K</t>
  </si>
  <si>
    <t>K0252B01 OV H 6.5"</t>
  </si>
  <si>
    <t>K01135B03 OV H 6.25"</t>
  </si>
  <si>
    <t>FSBG5109S8Y-6B</t>
  </si>
  <si>
    <t>IDD250127RB-5-14K</t>
  </si>
  <si>
    <t>FSBG5215S8P-6C</t>
  </si>
  <si>
    <t>K0165B12 OV H 7.0"</t>
  </si>
  <si>
    <t>FSBG5215S8P-7A</t>
  </si>
  <si>
    <t>IDD250127RB-6-14K</t>
  </si>
  <si>
    <t>K02605B01 6.50"</t>
  </si>
  <si>
    <t>FSBG5380S8W-6C</t>
  </si>
  <si>
    <t>0.90mm
1.20mm
1.50mm</t>
  </si>
  <si>
    <t>18pcs
18pcs
27pcs</t>
  </si>
  <si>
    <t>EM 5.0*3.7
1.10mm
1.30mm</t>
  </si>
  <si>
    <t>K0107R133 #6.50</t>
  </si>
  <si>
    <t>24th Feb London AM + 2%</t>
  </si>
  <si>
    <t>IDD250218RB-14K</t>
  </si>
  <si>
    <t>K02662B03 OV 6.75"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</si>
</sst>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[$-409]d&quot;-&quot;mmm&quot;-&quot;yy;@"/>
    <numFmt numFmtId="165" formatCode="0.00\ &quot;gr&quot;"/>
    <numFmt numFmtId="166" formatCode="0.000\ &quot;cts&quot;"/>
    <numFmt numFmtId="167" formatCode="0\ &quot;pcs&quot;"/>
    <numFmt numFmtId="168" formatCode="\$\ #,#00.00\ &quot;/oz&quot;"/>
    <numFmt numFmtId="169" formatCode="\$\ 0.00"/>
    <numFmt numFmtId="170" formatCode="\$#,##0.00"/>
    <numFmt numFmtId="171" formatCode="#,#00.00\ &quot;gr&quot;"/>
    <numFmt numFmtId="172" formatCode="0.00&quot;mm&quot;"/>
    <numFmt numFmtId="173" formatCode="#,##0.000\ &quot;ct&quot;"/>
    <numFmt numFmtId="174" formatCode="0.00\ &quot;g&quot;"/>
    <numFmt numFmtId="175" formatCode="\$0.00&quot;/g&quot;"/>
  </numFmts>
  <fonts count="36">
    <font>
      <sz val="11"/>
      <color theme="1"/>
      <name val="Calibri"/>
      <family val="2"/>
      <scheme val="minor"/>
    </font>
    <font>
      <sz val="12"/>
      <name val="宋体"/>
      <family val="3"/>
      <charset val="129"/>
    </font>
    <font>
      <b/>
      <i/>
      <sz val="20"/>
      <name val="Times New Roman"/>
      <family val="1"/>
    </font>
    <font>
      <sz val="8"/>
      <name val="Times New Roman"/>
      <family val="2"/>
      <charset val="129"/>
    </font>
    <font>
      <sz val="8"/>
      <name val="돋움"/>
      <family val="3"/>
      <charset val="129"/>
    </font>
    <font>
      <i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name val="돋움"/>
      <family val="3"/>
    </font>
    <font>
      <b/>
      <sz val="12"/>
      <name val="Times New Roman"/>
      <family val="1"/>
    </font>
    <font>
      <sz val="8"/>
      <name val="Calibri"/>
      <family val="3"/>
      <charset val="129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u/>
      <sz val="14"/>
      <color rgb="FFFF0000"/>
      <name val="Times New Roman"/>
      <family val="1"/>
    </font>
    <font>
      <b/>
      <u/>
      <sz val="16"/>
      <color theme="1"/>
      <name val="Times New Roman"/>
      <family val="1"/>
    </font>
    <font>
      <b/>
      <sz val="10"/>
      <color theme="0" tint="-0.499984740745262"/>
      <name val="Times New Roman"/>
      <family val="1"/>
    </font>
    <font>
      <sz val="9"/>
      <name val="宋体"/>
    </font>
    <font>
      <b/>
      <sz val="14"/>
      <name val="Times New Roman"/>
      <family val="1"/>
    </font>
    <font>
      <u/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b/>
      <sz val="10"/>
      <color theme="1" tint="0.499984740745262"/>
      <name val="Times New Roman"/>
      <family val="1"/>
    </font>
    <font>
      <b/>
      <sz val="10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8"/>
      <color rgb="FF222222"/>
      <name val="Comic Sans MS"/>
      <family val="4"/>
    </font>
    <font>
      <sz val="10"/>
      <color rgb="FFFF0000"/>
      <name val="Times New Roman"/>
      <family val="1"/>
    </font>
    <font>
      <i/>
      <u/>
      <sz val="14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84">
    <xf numFmtId="0" fontId="0" fillId="0" borderId="0" xfId="0"/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164" fontId="6" fillId="0" borderId="6" xfId="1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66" fontId="13" fillId="0" borderId="0" xfId="0" applyNumberFormat="1" applyFont="1" applyAlignment="1">
      <alignment horizontal="left" vertical="center"/>
    </xf>
    <xf numFmtId="167" fontId="13" fillId="0" borderId="0" xfId="0" applyNumberFormat="1" applyFont="1" applyAlignment="1">
      <alignment vertical="center"/>
    </xf>
    <xf numFmtId="166" fontId="13" fillId="0" borderId="0" xfId="0" applyNumberFormat="1" applyFont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right" vertical="center"/>
    </xf>
    <xf numFmtId="169" fontId="13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9" fontId="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6" fillId="0" borderId="1" xfId="2" applyFont="1" applyBorder="1" applyAlignment="1">
      <alignment horizontal="center" vertical="center"/>
    </xf>
    <xf numFmtId="170" fontId="13" fillId="0" borderId="13" xfId="0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166" fontId="19" fillId="0" borderId="0" xfId="0" applyNumberFormat="1" applyFont="1" applyAlignment="1">
      <alignment horizontal="right" vertical="center"/>
    </xf>
    <xf numFmtId="0" fontId="26" fillId="0" borderId="0" xfId="2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7" fillId="0" borderId="3" xfId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166" fontId="15" fillId="3" borderId="12" xfId="0" applyNumberFormat="1" applyFont="1" applyFill="1" applyBorder="1" applyAlignment="1">
      <alignment horizontal="center" vertical="center" wrapText="1"/>
    </xf>
    <xf numFmtId="164" fontId="6" fillId="0" borderId="9" xfId="1" applyNumberFormat="1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6" fontId="16" fillId="0" borderId="0" xfId="0" applyNumberFormat="1" applyFont="1" applyAlignment="1">
      <alignment vertical="center"/>
    </xf>
    <xf numFmtId="0" fontId="15" fillId="3" borderId="15" xfId="0" applyFont="1" applyFill="1" applyBorder="1" applyAlignment="1">
      <alignment horizontal="center" vertical="center" wrapText="1"/>
    </xf>
    <xf numFmtId="166" fontId="25" fillId="0" borderId="0" xfId="0" applyNumberFormat="1" applyFont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167" fontId="12" fillId="0" borderId="18" xfId="0" applyNumberFormat="1" applyFont="1" applyBorder="1" applyAlignment="1">
      <alignment horizontal="center" vertical="center"/>
    </xf>
    <xf numFmtId="166" fontId="12" fillId="0" borderId="18" xfId="0" applyNumberFormat="1" applyFont="1" applyBorder="1" applyAlignment="1">
      <alignment horizontal="center" vertical="center"/>
    </xf>
    <xf numFmtId="170" fontId="13" fillId="0" borderId="18" xfId="0" applyNumberFormat="1" applyFont="1" applyBorder="1" applyAlignment="1">
      <alignment horizontal="center" vertical="center"/>
    </xf>
    <xf numFmtId="170" fontId="17" fillId="0" borderId="18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" fontId="17" fillId="0" borderId="20" xfId="0" applyNumberFormat="1" applyFont="1" applyBorder="1" applyAlignment="1">
      <alignment horizontal="center" vertical="center"/>
    </xf>
    <xf numFmtId="171" fontId="13" fillId="0" borderId="20" xfId="0" applyNumberFormat="1" applyFont="1" applyBorder="1" applyAlignment="1">
      <alignment horizontal="center" vertical="center"/>
    </xf>
    <xf numFmtId="170" fontId="17" fillId="0" borderId="20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70" fontId="17" fillId="0" borderId="18" xfId="0" applyNumberFormat="1" applyFont="1" applyBorder="1" applyAlignment="1">
      <alignment horizontal="right" vertical="center"/>
    </xf>
    <xf numFmtId="166" fontId="28" fillId="0" borderId="0" xfId="0" applyNumberFormat="1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4" fontId="6" fillId="0" borderId="6" xfId="1" applyNumberFormat="1" applyFont="1" applyBorder="1" applyAlignment="1">
      <alignment vertical="center"/>
    </xf>
    <xf numFmtId="0" fontId="30" fillId="0" borderId="0" xfId="0" applyFont="1"/>
    <xf numFmtId="0" fontId="31" fillId="0" borderId="0" xfId="0" applyFont="1"/>
    <xf numFmtId="164" fontId="6" fillId="0" borderId="6" xfId="1" applyNumberFormat="1" applyFont="1" applyBorder="1" applyAlignment="1">
      <alignment horizontal="right" vertical="center"/>
    </xf>
    <xf numFmtId="0" fontId="6" fillId="0" borderId="6" xfId="1" applyFont="1" applyBorder="1" applyAlignment="1">
      <alignment horizontal="right" vertic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66" fontId="16" fillId="0" borderId="0" xfId="0" applyNumberFormat="1" applyFont="1" applyAlignment="1">
      <alignment horizontal="right" vertical="center"/>
    </xf>
    <xf numFmtId="0" fontId="32" fillId="0" borderId="6" xfId="1" applyFont="1" applyBorder="1" applyAlignment="1">
      <alignment vertical="center"/>
    </xf>
    <xf numFmtId="0" fontId="32" fillId="0" borderId="0" xfId="1" applyFont="1" applyAlignment="1">
      <alignment vertical="center"/>
    </xf>
    <xf numFmtId="170" fontId="13" fillId="0" borderId="21" xfId="0" applyNumberFormat="1" applyFont="1" applyBorder="1" applyAlignment="1">
      <alignment horizontal="center" vertical="center"/>
    </xf>
    <xf numFmtId="170" fontId="17" fillId="0" borderId="22" xfId="0" applyNumberFormat="1" applyFont="1" applyBorder="1" applyAlignment="1">
      <alignment horizontal="center" vertical="center"/>
    </xf>
    <xf numFmtId="170" fontId="13" fillId="5" borderId="23" xfId="0" applyNumberFormat="1" applyFont="1" applyFill="1" applyBorder="1" applyAlignment="1">
      <alignment horizontal="center" vertical="center"/>
    </xf>
    <xf numFmtId="0" fontId="17" fillId="0" borderId="19" xfId="0" applyFont="1" applyBorder="1" applyAlignment="1">
      <alignment horizontal="left" vertical="center"/>
    </xf>
    <xf numFmtId="0" fontId="15" fillId="4" borderId="14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165" fontId="15" fillId="4" borderId="12" xfId="0" applyNumberFormat="1" applyFont="1" applyFill="1" applyBorder="1" applyAlignment="1">
      <alignment horizontal="center" vertical="center" wrapText="1"/>
    </xf>
    <xf numFmtId="166" fontId="15" fillId="4" borderId="12" xfId="0" applyNumberFormat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168" fontId="14" fillId="0" borderId="0" xfId="0" applyNumberFormat="1" applyFont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1" fontId="24" fillId="0" borderId="13" xfId="0" applyNumberFormat="1" applyFont="1" applyBorder="1" applyAlignment="1">
      <alignment horizontal="center" vertical="center" shrinkToFit="1"/>
    </xf>
    <xf numFmtId="0" fontId="12" fillId="0" borderId="13" xfId="0" quotePrefix="1" applyFont="1" applyBorder="1" applyAlignment="1">
      <alignment horizontal="center" vertical="center" wrapText="1"/>
    </xf>
    <xf numFmtId="172" fontId="13" fillId="0" borderId="13" xfId="0" applyNumberFormat="1" applyFont="1" applyBorder="1" applyAlignment="1">
      <alignment horizontal="center" vertical="center" wrapText="1"/>
    </xf>
    <xf numFmtId="167" fontId="13" fillId="0" borderId="13" xfId="0" applyNumberFormat="1" applyFont="1" applyBorder="1" applyAlignment="1">
      <alignment horizontal="center" vertical="center" wrapText="1"/>
    </xf>
    <xf numFmtId="166" fontId="33" fillId="0" borderId="0" xfId="0" applyNumberFormat="1" applyFont="1" applyAlignment="1">
      <alignment vertical="center"/>
    </xf>
    <xf numFmtId="2" fontId="16" fillId="2" borderId="0" xfId="0" applyNumberFormat="1" applyFont="1" applyFill="1" applyAlignment="1">
      <alignment horizontal="center" vertical="center"/>
    </xf>
    <xf numFmtId="173" fontId="17" fillId="0" borderId="20" xfId="0" applyNumberFormat="1" applyFont="1" applyBorder="1" applyAlignment="1">
      <alignment horizontal="center" vertical="center"/>
    </xf>
    <xf numFmtId="174" fontId="0" fillId="0" borderId="3" xfId="0" applyNumberFormat="1" applyBorder="1" applyAlignment="1">
      <alignment vertical="center"/>
    </xf>
    <xf numFmtId="174" fontId="6" fillId="0" borderId="4" xfId="1" applyNumberFormat="1" applyFont="1" applyBorder="1" applyAlignment="1">
      <alignment vertical="center"/>
    </xf>
    <xf numFmtId="174" fontId="0" fillId="0" borderId="0" xfId="0" applyNumberFormat="1" applyAlignment="1">
      <alignment vertical="center"/>
    </xf>
    <xf numFmtId="174" fontId="6" fillId="0" borderId="8" xfId="1" applyNumberFormat="1" applyFont="1" applyBorder="1" applyAlignment="1">
      <alignment vertical="center"/>
    </xf>
    <xf numFmtId="174" fontId="0" fillId="0" borderId="1" xfId="0" applyNumberFormat="1" applyBorder="1" applyAlignment="1">
      <alignment vertical="center"/>
    </xf>
    <xf numFmtId="174" fontId="6" fillId="0" borderId="11" xfId="1" applyNumberFormat="1" applyFont="1" applyBorder="1" applyAlignment="1">
      <alignment vertical="center"/>
    </xf>
    <xf numFmtId="174" fontId="27" fillId="0" borderId="3" xfId="1" applyNumberFormat="1" applyFont="1" applyBorder="1" applyAlignment="1">
      <alignment horizontal="left" vertical="center"/>
    </xf>
    <xf numFmtId="174" fontId="6" fillId="0" borderId="0" xfId="1" applyNumberFormat="1" applyFont="1" applyAlignment="1">
      <alignment horizontal="left" vertical="center"/>
    </xf>
    <xf numFmtId="174" fontId="6" fillId="0" borderId="1" xfId="1" applyNumberFormat="1" applyFont="1" applyBorder="1" applyAlignment="1">
      <alignment horizontal="left" vertical="center"/>
    </xf>
    <xf numFmtId="174" fontId="6" fillId="0" borderId="6" xfId="1" applyNumberFormat="1" applyFont="1" applyBorder="1" applyAlignment="1">
      <alignment horizontal="right" vertical="center"/>
    </xf>
    <xf numFmtId="174" fontId="6" fillId="0" borderId="6" xfId="1" applyNumberFormat="1" applyFont="1" applyBorder="1" applyAlignment="1">
      <alignment vertical="center"/>
    </xf>
    <xf numFmtId="174" fontId="6" fillId="0" borderId="9" xfId="1" applyNumberFormat="1" applyFont="1" applyBorder="1" applyAlignment="1">
      <alignment vertical="center"/>
    </xf>
    <xf numFmtId="174" fontId="13" fillId="0" borderId="0" xfId="0" applyNumberFormat="1" applyFont="1" applyAlignment="1">
      <alignment vertical="center"/>
    </xf>
    <xf numFmtId="174" fontId="13" fillId="0" borderId="0" xfId="0" applyNumberFormat="1" applyFont="1" applyAlignment="1">
      <alignment horizontal="center" vertical="center"/>
    </xf>
    <xf numFmtId="174" fontId="15" fillId="4" borderId="12" xfId="0" applyNumberFormat="1" applyFont="1" applyFill="1" applyBorder="1" applyAlignment="1">
      <alignment horizontal="center" vertical="center" wrapText="1"/>
    </xf>
    <xf numFmtId="174" fontId="12" fillId="5" borderId="13" xfId="0" applyNumberFormat="1" applyFont="1" applyFill="1" applyBorder="1" applyAlignment="1">
      <alignment horizontal="center" vertical="center" wrapText="1"/>
    </xf>
    <xf numFmtId="174" fontId="13" fillId="5" borderId="13" xfId="0" applyNumberFormat="1" applyFont="1" applyFill="1" applyBorder="1" applyAlignment="1">
      <alignment horizontal="center" vertical="center"/>
    </xf>
    <xf numFmtId="174" fontId="13" fillId="5" borderId="20" xfId="0" applyNumberFormat="1" applyFont="1" applyFill="1" applyBorder="1" applyAlignment="1">
      <alignment horizontal="center" vertical="center"/>
    </xf>
    <xf numFmtId="174" fontId="12" fillId="0" borderId="18" xfId="0" applyNumberFormat="1" applyFont="1" applyBorder="1" applyAlignment="1">
      <alignment horizontal="center" vertical="center"/>
    </xf>
    <xf numFmtId="174" fontId="23" fillId="0" borderId="0" xfId="0" applyNumberFormat="1" applyFont="1" applyAlignment="1">
      <alignment horizontal="center"/>
    </xf>
    <xf numFmtId="174" fontId="6" fillId="0" borderId="0" xfId="0" applyNumberFormat="1" applyFont="1" applyAlignment="1">
      <alignment vertical="center"/>
    </xf>
    <xf numFmtId="174" fontId="6" fillId="0" borderId="0" xfId="0" applyNumberFormat="1" applyFont="1" applyAlignment="1">
      <alignment horizontal="center" vertical="center"/>
    </xf>
    <xf numFmtId="174" fontId="6" fillId="0" borderId="1" xfId="0" applyNumberFormat="1" applyFont="1" applyBorder="1" applyAlignment="1">
      <alignment vertical="center"/>
    </xf>
    <xf numFmtId="174" fontId="13" fillId="0" borderId="0" xfId="0" applyNumberFormat="1" applyFont="1" applyAlignment="1">
      <alignment horizontal="left" vertical="center"/>
    </xf>
    <xf numFmtId="175" fontId="6" fillId="0" borderId="6" xfId="1" applyNumberFormat="1" applyFont="1" applyBorder="1" applyAlignment="1">
      <alignment vertical="center"/>
    </xf>
    <xf numFmtId="175" fontId="32" fillId="0" borderId="6" xfId="1" applyNumberFormat="1" applyFont="1" applyBorder="1" applyAlignment="1">
      <alignment vertical="center"/>
    </xf>
    <xf numFmtId="175" fontId="6" fillId="0" borderId="3" xfId="1" applyNumberFormat="1" applyFont="1" applyBorder="1" applyAlignment="1">
      <alignment horizontal="left" vertical="center"/>
    </xf>
    <xf numFmtId="175" fontId="6" fillId="0" borderId="1" xfId="1" applyNumberFormat="1" applyFont="1" applyBorder="1" applyAlignment="1">
      <alignment horizontal="left" vertical="center"/>
    </xf>
    <xf numFmtId="175" fontId="6" fillId="0" borderId="6" xfId="1" applyNumberFormat="1" applyFont="1" applyBorder="1" applyAlignment="1">
      <alignment horizontal="left" vertical="center"/>
    </xf>
    <xf numFmtId="175" fontId="6" fillId="0" borderId="3" xfId="1" applyNumberFormat="1" applyFont="1" applyBorder="1" applyAlignment="1">
      <alignment vertical="center"/>
    </xf>
    <xf numFmtId="175" fontId="6" fillId="0" borderId="0" xfId="1" applyNumberFormat="1" applyFont="1" applyAlignment="1">
      <alignment vertical="center"/>
    </xf>
    <xf numFmtId="175" fontId="32" fillId="0" borderId="0" xfId="1" applyNumberFormat="1" applyFont="1" applyAlignment="1">
      <alignment vertical="center"/>
    </xf>
    <xf numFmtId="175" fontId="6" fillId="0" borderId="1" xfId="1" applyNumberFormat="1" applyFont="1" applyBorder="1" applyAlignment="1">
      <alignment vertical="center"/>
    </xf>
    <xf numFmtId="175" fontId="13" fillId="0" borderId="0" xfId="0" applyNumberFormat="1" applyFont="1" applyAlignment="1">
      <alignment vertical="center"/>
    </xf>
    <xf numFmtId="175" fontId="15" fillId="4" borderId="12" xfId="0" applyNumberFormat="1" applyFont="1" applyFill="1" applyBorder="1" applyAlignment="1">
      <alignment horizontal="center" vertical="center" wrapText="1"/>
    </xf>
    <xf numFmtId="175" fontId="12" fillId="0" borderId="13" xfId="0" applyNumberFormat="1" applyFont="1" applyBorder="1" applyAlignment="1">
      <alignment horizontal="center" vertical="center"/>
    </xf>
    <xf numFmtId="175" fontId="17" fillId="0" borderId="20" xfId="0" applyNumberFormat="1" applyFont="1" applyBorder="1" applyAlignment="1">
      <alignment horizontal="center" vertical="center"/>
    </xf>
    <xf numFmtId="175" fontId="12" fillId="0" borderId="18" xfId="0" applyNumberFormat="1" applyFont="1" applyBorder="1" applyAlignment="1">
      <alignment horizontal="center" vertical="center"/>
    </xf>
    <xf numFmtId="175" fontId="8" fillId="0" borderId="0" xfId="0" applyNumberFormat="1" applyFont="1" applyAlignment="1">
      <alignment horizontal="center" vertical="center"/>
    </xf>
    <xf numFmtId="175" fontId="6" fillId="0" borderId="0" xfId="0" applyNumberFormat="1" applyFont="1" applyAlignment="1">
      <alignment vertical="center"/>
    </xf>
    <xf numFmtId="175" fontId="6" fillId="0" borderId="1" xfId="0" applyNumberFormat="1" applyFont="1" applyBorder="1" applyAlignment="1">
      <alignment vertical="center"/>
    </xf>
    <xf numFmtId="173" fontId="12" fillId="0" borderId="13" xfId="0" applyNumberFormat="1" applyFont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1" fontId="17" fillId="0" borderId="0" xfId="0" applyNumberFormat="1" applyFont="1" applyAlignment="1">
      <alignment horizontal="center" vertical="center"/>
    </xf>
    <xf numFmtId="174" fontId="13" fillId="5" borderId="0" xfId="0" applyNumberFormat="1" applyFont="1" applyFill="1" applyAlignment="1">
      <alignment horizontal="center" vertical="center"/>
    </xf>
    <xf numFmtId="171" fontId="13" fillId="0" borderId="0" xfId="0" applyNumberFormat="1" applyFont="1" applyAlignment="1">
      <alignment horizontal="center" vertical="center"/>
    </xf>
    <xf numFmtId="175" fontId="17" fillId="0" borderId="0" xfId="0" applyNumberFormat="1" applyFont="1" applyAlignment="1">
      <alignment horizontal="center" vertical="center"/>
    </xf>
    <xf numFmtId="173" fontId="17" fillId="0" borderId="0" xfId="0" applyNumberFormat="1" applyFont="1" applyAlignment="1">
      <alignment horizontal="center" vertical="center"/>
    </xf>
    <xf numFmtId="170" fontId="17" fillId="0" borderId="0" xfId="0" applyNumberFormat="1" applyFont="1" applyAlignment="1">
      <alignment horizontal="center" vertical="center"/>
    </xf>
    <xf numFmtId="170" fontId="17" fillId="0" borderId="8" xfId="0" applyNumberFormat="1" applyFont="1" applyBorder="1" applyAlignment="1">
      <alignment horizontal="center" vertical="center"/>
    </xf>
    <xf numFmtId="170" fontId="17" fillId="0" borderId="0" xfId="0" applyNumberFormat="1" applyFont="1" applyBorder="1" applyAlignment="1">
      <alignment horizontal="center" vertical="center"/>
    </xf>
    <xf numFmtId="170" fontId="28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5" fillId="3" borderId="12" xfId="0" applyFont="1" applyFill="1" applyBorder="1" applyAlignment="1">
      <alignment horizontal="center" vertical="center" wrapText="1"/>
    </xf>
    <xf numFmtId="170" fontId="13" fillId="0" borderId="18" xfId="0" applyNumberFormat="1" applyFont="1" applyFill="1" applyBorder="1" applyAlignment="1">
      <alignment horizontal="center" vertical="center"/>
    </xf>
    <xf numFmtId="170" fontId="19" fillId="0" borderId="0" xfId="0" applyNumberFormat="1" applyFont="1" applyBorder="1" applyAlignment="1">
      <alignment vertical="center"/>
    </xf>
    <xf numFmtId="2" fontId="15" fillId="2" borderId="0" xfId="0" applyNumberFormat="1" applyFont="1" applyFill="1" applyAlignment="1">
      <alignment horizontal="center" vertical="center"/>
    </xf>
    <xf numFmtId="170" fontId="13" fillId="6" borderId="13" xfId="0" applyNumberFormat="1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167" fontId="13" fillId="5" borderId="13" xfId="0" applyNumberFormat="1" applyFont="1" applyFill="1" applyBorder="1" applyAlignment="1">
      <alignment horizontal="center" vertical="center" wrapText="1"/>
    </xf>
    <xf numFmtId="1" fontId="24" fillId="0" borderId="13" xfId="0" applyNumberFormat="1" applyFont="1" applyFill="1" applyBorder="1" applyAlignment="1">
      <alignment horizontal="center" vertical="center" shrinkToFit="1"/>
    </xf>
    <xf numFmtId="174" fontId="12" fillId="0" borderId="13" xfId="0" applyNumberFormat="1" applyFont="1" applyFill="1" applyBorder="1" applyAlignment="1">
      <alignment horizontal="center" vertical="center" wrapText="1"/>
    </xf>
    <xf numFmtId="174" fontId="13" fillId="0" borderId="13" xfId="0" applyNumberFormat="1" applyFont="1" applyFill="1" applyBorder="1" applyAlignment="1">
      <alignment horizontal="center" vertical="center"/>
    </xf>
    <xf numFmtId="1" fontId="17" fillId="0" borderId="20" xfId="0" applyNumberFormat="1" applyFont="1" applyFill="1" applyBorder="1" applyAlignment="1">
      <alignment horizontal="center" vertical="center"/>
    </xf>
    <xf numFmtId="174" fontId="13" fillId="0" borderId="20" xfId="0" applyNumberFormat="1" applyFont="1" applyFill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70" fontId="19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0" borderId="24" xfId="0" applyFont="1" applyBorder="1" applyAlignment="1">
      <alignment horizontal="center"/>
    </xf>
    <xf numFmtId="170" fontId="28" fillId="0" borderId="24" xfId="0" applyNumberFormat="1" applyFont="1" applyBorder="1" applyAlignment="1">
      <alignment horizontal="center" vertical="center"/>
    </xf>
    <xf numFmtId="170" fontId="28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표준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G454"/>
  <sheetViews>
    <sheetView showGridLines="0" tabSelected="1" view="pageBreakPreview" topLeftCell="P434" zoomScaleSheetLayoutView="100" workbookViewId="0">
      <selection activeCell="X442" sqref="X442:Y443"/>
    </sheetView>
  </sheetViews>
  <sheetFormatPr defaultColWidth="8.6640625" defaultRowHeight="13.8"/>
  <cols>
    <col min="1" max="1" width="22.88671875" style="21" customWidth="1"/>
    <col min="2" max="2" width="12.44140625" style="21" customWidth="1"/>
    <col min="3" max="3" width="16" style="21" customWidth="1"/>
    <col min="4" max="4" width="15.44140625" style="21" customWidth="1"/>
    <col min="5" max="5" width="15.109375" style="21" customWidth="1"/>
    <col min="6" max="6" width="10" style="21" customWidth="1"/>
    <col min="7" max="7" width="6.88671875" style="21" customWidth="1"/>
    <col min="8" max="10" width="8.5546875" style="114" customWidth="1"/>
    <col min="11" max="11" width="10.21875" style="125" customWidth="1"/>
    <col min="12" max="12" width="13.21875" style="23" customWidth="1"/>
    <col min="13" max="14" width="8.5546875" style="23" customWidth="1"/>
    <col min="15" max="15" width="8.44140625" style="135" customWidth="1"/>
    <col min="16" max="16" width="10.5546875" style="24" customWidth="1"/>
    <col min="17" max="17" width="12.44140625" style="25" customWidth="1"/>
    <col min="18" max="19" width="14.5546875" style="25" customWidth="1"/>
    <col min="20" max="20" width="9.77734375" style="25" customWidth="1"/>
    <col min="21" max="21" width="10.77734375" style="25" customWidth="1"/>
    <col min="22" max="22" width="11.5546875" style="25" customWidth="1"/>
    <col min="23" max="23" width="11.6640625" style="25" customWidth="1"/>
    <col min="24" max="24" width="13.44140625" style="28" customWidth="1"/>
    <col min="25" max="26" width="14.5546875" style="22" customWidth="1"/>
    <col min="27" max="27" width="8.6640625" style="22"/>
    <col min="28" max="28" width="10.6640625" style="22" customWidth="1"/>
    <col min="29" max="29" width="10.33203125" style="22" customWidth="1"/>
    <col min="30" max="30" width="10.6640625" style="22" customWidth="1"/>
    <col min="31" max="32" width="8.6640625" style="22"/>
    <col min="33" max="33" width="10.5546875" style="22" customWidth="1"/>
    <col min="34" max="16384" width="8.6640625" style="22"/>
  </cols>
  <sheetData>
    <row r="1" spans="1:33" s="1" customFormat="1" ht="31.5" customHeight="1">
      <c r="A1" s="172" t="s">
        <v>39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</row>
    <row r="2" spans="1:33" s="2" customFormat="1" ht="15.6">
      <c r="A2" s="174" t="s">
        <v>43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</row>
    <row r="3" spans="1:33" s="3" customFormat="1" ht="20.399999999999999">
      <c r="A3" s="176" t="s">
        <v>45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</row>
    <row r="4" spans="1:33" s="7" customFormat="1" ht="12" customHeight="1">
      <c r="A4" s="4" t="s">
        <v>0</v>
      </c>
      <c r="B4" s="43" t="s">
        <v>39</v>
      </c>
      <c r="C4" s="43"/>
      <c r="D4" s="43"/>
      <c r="E4" s="43"/>
      <c r="F4" s="44"/>
      <c r="G4" s="44"/>
      <c r="H4" s="102"/>
      <c r="I4" s="102"/>
      <c r="J4" s="102"/>
      <c r="K4" s="103"/>
      <c r="L4" s="5" t="s">
        <v>27</v>
      </c>
      <c r="M4" s="6"/>
      <c r="N4" s="6"/>
      <c r="O4" s="126"/>
      <c r="P4" s="6" t="s">
        <v>71</v>
      </c>
      <c r="Q4" s="6"/>
      <c r="R4" s="6"/>
      <c r="S4" s="6"/>
      <c r="T4" s="6"/>
      <c r="U4" s="6"/>
      <c r="V4" s="73"/>
      <c r="W4" s="6"/>
      <c r="X4" s="6"/>
      <c r="Y4" s="6"/>
      <c r="Z4" s="46">
        <v>45490</v>
      </c>
      <c r="AA4" s="7" t="s">
        <v>61</v>
      </c>
      <c r="AB4" s="7">
        <v>0.24</v>
      </c>
    </row>
    <row r="5" spans="1:33" s="7" customFormat="1" ht="12" customHeight="1">
      <c r="A5" s="8"/>
      <c r="B5" s="40" t="s">
        <v>44</v>
      </c>
      <c r="C5" s="40"/>
      <c r="D5" s="40"/>
      <c r="E5" s="40"/>
      <c r="F5" s="72"/>
      <c r="G5" s="72"/>
      <c r="H5" s="104"/>
      <c r="I5" s="104"/>
      <c r="J5" s="104"/>
      <c r="K5" s="105"/>
      <c r="L5" s="5" t="s">
        <v>28</v>
      </c>
      <c r="M5" s="6"/>
      <c r="N5" s="6"/>
      <c r="O5" s="127"/>
      <c r="P5" s="81"/>
      <c r="Q5" s="6"/>
      <c r="R5" s="6"/>
      <c r="S5" s="6"/>
      <c r="T5" s="6"/>
      <c r="U5" s="6"/>
      <c r="V5" s="6"/>
      <c r="W5" s="6"/>
      <c r="X5" s="6"/>
      <c r="Y5" s="6"/>
      <c r="Z5" s="9"/>
    </row>
    <row r="6" spans="1:33" s="7" customFormat="1" ht="12" customHeight="1">
      <c r="A6" s="8"/>
      <c r="B6" s="40" t="s">
        <v>40</v>
      </c>
      <c r="C6" s="40"/>
      <c r="D6" s="40"/>
      <c r="E6" s="40"/>
      <c r="F6" s="72"/>
      <c r="G6" s="72"/>
      <c r="H6" s="104"/>
      <c r="I6" s="104"/>
      <c r="J6" s="104"/>
      <c r="K6" s="105"/>
      <c r="L6" s="4" t="s">
        <v>41</v>
      </c>
      <c r="M6" s="36"/>
      <c r="N6" s="10"/>
      <c r="O6" s="128"/>
      <c r="P6" s="36"/>
      <c r="Q6" s="36"/>
      <c r="R6" s="36"/>
      <c r="S6" s="36"/>
      <c r="T6" s="36"/>
      <c r="U6" s="36"/>
      <c r="V6" s="10"/>
      <c r="W6" s="10"/>
      <c r="X6" s="10"/>
      <c r="Y6" s="10"/>
      <c r="Z6" s="11"/>
    </row>
    <row r="7" spans="1:33" s="7" customFormat="1" ht="12" customHeight="1">
      <c r="A7" s="12"/>
      <c r="B7" s="41" t="s">
        <v>19</v>
      </c>
      <c r="C7" s="41"/>
      <c r="D7" s="41"/>
      <c r="E7" s="41"/>
      <c r="F7" s="42"/>
      <c r="G7" s="42"/>
      <c r="H7" s="106"/>
      <c r="I7" s="106"/>
      <c r="J7" s="106"/>
      <c r="K7" s="107"/>
      <c r="L7" s="12"/>
      <c r="M7" s="41"/>
      <c r="N7" s="13"/>
      <c r="O7" s="129"/>
      <c r="P7" s="41"/>
      <c r="Q7" s="41"/>
      <c r="R7" s="41"/>
      <c r="S7" s="41"/>
      <c r="T7" s="41"/>
      <c r="U7" s="41"/>
      <c r="V7" s="13"/>
      <c r="W7" s="13"/>
      <c r="X7" s="13"/>
      <c r="Y7" s="13"/>
      <c r="Z7" s="20"/>
    </row>
    <row r="8" spans="1:33" s="7" customFormat="1" ht="12" customHeight="1">
      <c r="A8" s="4" t="s">
        <v>1</v>
      </c>
      <c r="B8" s="43" t="s">
        <v>65</v>
      </c>
      <c r="C8" s="43"/>
      <c r="D8" s="43"/>
      <c r="E8" s="43"/>
      <c r="F8" s="43"/>
      <c r="G8" s="43"/>
      <c r="H8" s="108"/>
      <c r="I8" s="108"/>
      <c r="J8" s="108"/>
      <c r="K8" s="103"/>
      <c r="L8" s="5" t="s">
        <v>29</v>
      </c>
      <c r="M8" s="15"/>
      <c r="N8" s="6"/>
      <c r="O8" s="130"/>
      <c r="P8" s="15"/>
      <c r="Q8" s="15"/>
      <c r="R8" s="15"/>
      <c r="S8" s="15"/>
      <c r="T8" s="15"/>
      <c r="U8" s="15"/>
      <c r="V8" s="6"/>
      <c r="W8" s="6"/>
      <c r="X8" s="6"/>
      <c r="Y8" s="6"/>
      <c r="Z8" s="9"/>
    </row>
    <row r="9" spans="1:33" s="7" customFormat="1" ht="12" customHeight="1">
      <c r="A9" s="8"/>
      <c r="B9" s="40" t="s">
        <v>51</v>
      </c>
      <c r="C9" s="40"/>
      <c r="D9" s="40"/>
      <c r="E9" s="40"/>
      <c r="F9" s="40"/>
      <c r="G9" s="40"/>
      <c r="H9" s="109"/>
      <c r="I9" s="109"/>
      <c r="J9" s="109"/>
      <c r="K9" s="105"/>
      <c r="L9" s="36" t="s">
        <v>31</v>
      </c>
      <c r="M9" s="36"/>
      <c r="N9" s="10"/>
      <c r="O9" s="131" t="s">
        <v>32</v>
      </c>
      <c r="P9" s="10"/>
      <c r="Q9" s="36"/>
      <c r="R9" s="36"/>
      <c r="S9" s="36"/>
      <c r="T9" s="36"/>
      <c r="U9" s="36"/>
      <c r="V9" s="10"/>
      <c r="W9" s="10"/>
      <c r="X9" s="10"/>
      <c r="Y9" s="10"/>
      <c r="Z9" s="11"/>
    </row>
    <row r="10" spans="1:33" s="7" customFormat="1" ht="12" customHeight="1">
      <c r="A10" s="8"/>
      <c r="B10" s="40"/>
      <c r="C10" s="40"/>
      <c r="D10" s="40"/>
      <c r="E10" s="40"/>
      <c r="F10" s="40"/>
      <c r="G10" s="40"/>
      <c r="H10" s="109"/>
      <c r="I10" s="109"/>
      <c r="J10" s="109"/>
      <c r="K10" s="105"/>
      <c r="L10" s="7" t="s">
        <v>33</v>
      </c>
      <c r="O10" s="132"/>
      <c r="Q10" s="74"/>
      <c r="R10" s="74"/>
      <c r="S10" s="74"/>
      <c r="T10" s="74"/>
      <c r="U10" s="74"/>
      <c r="V10" s="75"/>
      <c r="W10" s="16"/>
      <c r="Z10" s="14"/>
    </row>
    <row r="11" spans="1:33" s="7" customFormat="1" ht="12" customHeight="1">
      <c r="A11" s="12"/>
      <c r="B11" s="41"/>
      <c r="C11" s="41"/>
      <c r="D11" s="41"/>
      <c r="E11" s="41"/>
      <c r="F11" s="41"/>
      <c r="G11" s="41"/>
      <c r="H11" s="110"/>
      <c r="I11" s="110"/>
      <c r="J11" s="110"/>
      <c r="K11" s="107"/>
      <c r="L11" s="7" t="s">
        <v>2</v>
      </c>
      <c r="O11" s="133"/>
      <c r="P11" s="82"/>
      <c r="V11" s="16"/>
      <c r="W11" s="16"/>
      <c r="Z11" s="14"/>
    </row>
    <row r="12" spans="1:33" s="7" customFormat="1" ht="12" customHeight="1">
      <c r="A12" s="17"/>
      <c r="B12" s="76" t="s">
        <v>34</v>
      </c>
      <c r="C12" s="18"/>
      <c r="D12" s="18"/>
      <c r="E12" s="18"/>
      <c r="F12" s="18"/>
      <c r="G12" s="5"/>
      <c r="H12" s="111" t="s">
        <v>35</v>
      </c>
      <c r="I12" s="112" t="s">
        <v>37</v>
      </c>
      <c r="J12" s="112"/>
      <c r="K12" s="113"/>
      <c r="L12" s="13" t="s">
        <v>3</v>
      </c>
      <c r="M12" s="13"/>
      <c r="N12" s="13"/>
      <c r="O12" s="134"/>
      <c r="P12" s="13"/>
      <c r="Q12" s="13"/>
      <c r="R12" s="13"/>
      <c r="S12" s="13"/>
      <c r="T12" s="13"/>
      <c r="U12" s="13"/>
      <c r="V12" s="19"/>
      <c r="W12" s="19"/>
      <c r="X12" s="13"/>
      <c r="Y12" s="13"/>
      <c r="Z12" s="20"/>
    </row>
    <row r="13" spans="1:33" s="7" customFormat="1" ht="12.75" customHeight="1">
      <c r="A13" s="5"/>
      <c r="B13" s="77" t="s">
        <v>42</v>
      </c>
      <c r="C13" s="6"/>
      <c r="D13" s="6"/>
      <c r="E13" s="6"/>
      <c r="F13" s="6"/>
      <c r="G13" s="5"/>
      <c r="H13" s="111" t="s">
        <v>36</v>
      </c>
      <c r="I13" s="112" t="s">
        <v>38</v>
      </c>
      <c r="J13" s="112"/>
      <c r="K13" s="113"/>
      <c r="L13" s="5" t="s">
        <v>30</v>
      </c>
      <c r="M13" s="6"/>
      <c r="N13" s="6"/>
      <c r="O13" s="130"/>
      <c r="P13" s="15"/>
      <c r="Q13" s="15"/>
      <c r="R13" s="15"/>
      <c r="S13" s="15"/>
      <c r="T13" s="15"/>
      <c r="U13" s="15"/>
      <c r="V13" s="6"/>
      <c r="W13" s="6"/>
      <c r="X13" s="6"/>
      <c r="Y13" s="6"/>
      <c r="Z13" s="9"/>
      <c r="AB13" s="7" t="s">
        <v>59</v>
      </c>
      <c r="AC13" s="7">
        <v>72</v>
      </c>
    </row>
    <row r="14" spans="1:33" ht="15.9" customHeight="1">
      <c r="A14" s="52" t="s">
        <v>64</v>
      </c>
      <c r="K14" s="115"/>
      <c r="L14" s="48"/>
      <c r="M14" s="48"/>
      <c r="N14" s="48"/>
      <c r="W14" s="49"/>
      <c r="X14" s="80" t="s">
        <v>72</v>
      </c>
      <c r="Y14" s="92">
        <f>3002.7*1.02</f>
        <v>3062.7539999999999</v>
      </c>
      <c r="Z14" s="92">
        <f>3002.7*1.02</f>
        <v>3062.7539999999999</v>
      </c>
      <c r="AA14" s="100"/>
      <c r="AB14" s="22" t="s">
        <v>60</v>
      </c>
      <c r="AC14" s="100">
        <v>349.93712080515297</v>
      </c>
      <c r="AD14" s="100"/>
      <c r="AE14" s="100"/>
      <c r="AG14" s="26"/>
    </row>
    <row r="15" spans="1:33" s="91" customFormat="1" ht="27.6">
      <c r="A15" s="87" t="s">
        <v>4</v>
      </c>
      <c r="B15" s="88" t="s">
        <v>5</v>
      </c>
      <c r="C15" s="88" t="s">
        <v>24</v>
      </c>
      <c r="D15" s="88" t="s">
        <v>46</v>
      </c>
      <c r="E15" s="88" t="s">
        <v>67</v>
      </c>
      <c r="F15" s="88" t="s">
        <v>6</v>
      </c>
      <c r="G15" s="88" t="s">
        <v>7</v>
      </c>
      <c r="H15" s="116" t="s">
        <v>8</v>
      </c>
      <c r="I15" s="116" t="s">
        <v>47</v>
      </c>
      <c r="J15" s="116" t="s">
        <v>9</v>
      </c>
      <c r="K15" s="116" t="s">
        <v>14</v>
      </c>
      <c r="L15" s="89" t="s">
        <v>20</v>
      </c>
      <c r="M15" s="89" t="s">
        <v>23</v>
      </c>
      <c r="N15" s="89" t="s">
        <v>21</v>
      </c>
      <c r="O15" s="136" t="s">
        <v>10</v>
      </c>
      <c r="P15" s="90" t="s">
        <v>49</v>
      </c>
      <c r="Q15" s="45" t="s">
        <v>50</v>
      </c>
      <c r="R15" s="45" t="s">
        <v>55</v>
      </c>
      <c r="S15" s="45" t="s">
        <v>70</v>
      </c>
      <c r="T15" s="45" t="s">
        <v>13</v>
      </c>
      <c r="U15" s="45" t="s">
        <v>52</v>
      </c>
      <c r="V15" s="45" t="s">
        <v>48</v>
      </c>
      <c r="W15" s="45" t="s">
        <v>15</v>
      </c>
      <c r="X15" s="50" t="s">
        <v>12</v>
      </c>
      <c r="Y15" s="160" t="s">
        <v>22</v>
      </c>
      <c r="Z15" s="50" t="s">
        <v>68</v>
      </c>
      <c r="AA15" s="100"/>
      <c r="AB15" s="91" t="s">
        <v>56</v>
      </c>
      <c r="AC15" s="91" t="s">
        <v>57</v>
      </c>
      <c r="AD15" s="91" t="s">
        <v>58</v>
      </c>
      <c r="AE15" s="91" t="s">
        <v>54</v>
      </c>
      <c r="AG15" s="91" t="s">
        <v>69</v>
      </c>
    </row>
    <row r="16" spans="1:33" s="26" customFormat="1" ht="124.8" thickBot="1">
      <c r="A16" s="94" t="s">
        <v>76</v>
      </c>
      <c r="B16" s="93" t="s">
        <v>77</v>
      </c>
      <c r="C16" s="93" t="s">
        <v>78</v>
      </c>
      <c r="D16" s="93">
        <v>148439</v>
      </c>
      <c r="E16" s="93">
        <v>110</v>
      </c>
      <c r="F16" s="93" t="s">
        <v>74</v>
      </c>
      <c r="G16" s="95">
        <v>1</v>
      </c>
      <c r="H16" s="117">
        <v>4.72</v>
      </c>
      <c r="I16" s="117">
        <v>0.16</v>
      </c>
      <c r="J16" s="117">
        <v>0</v>
      </c>
      <c r="K16" s="118">
        <f t="shared" ref="K16" si="0">H16-I16-J16</f>
        <v>4.5599999999999996</v>
      </c>
      <c r="L16" s="97" t="s">
        <v>79</v>
      </c>
      <c r="M16" s="97" t="s">
        <v>80</v>
      </c>
      <c r="N16" s="98" t="s">
        <v>81</v>
      </c>
      <c r="O16" s="137">
        <f>12+2</f>
        <v>14</v>
      </c>
      <c r="P16" s="143">
        <v>0.19</v>
      </c>
      <c r="Q16" s="35"/>
      <c r="R16" s="35"/>
      <c r="S16" s="35">
        <f>0.02*(18+8+10)*G16</f>
        <v>0.72</v>
      </c>
      <c r="T16" s="35">
        <f>3.225*G16</f>
        <v>3.2250000000000001</v>
      </c>
      <c r="U16" s="35">
        <f t="shared" ref="U16" si="1">IF(RIGHT(F16,2)="WG",K16*$AB$4,IF(RIGHT(F16,3)="WRG",K16*$AB$4+3*G16,IF(RIGHT(F16,3)="WYG",K16*$AB$4+3*G16,IF(RIGHT(F16,3)="WYR",K16*$AB$4+3*G16,0))))</f>
        <v>0</v>
      </c>
      <c r="V16" s="35">
        <f>(50*1+70*1)*G16</f>
        <v>120</v>
      </c>
      <c r="W16" s="35">
        <f>G16*(18+8+10)*0.3</f>
        <v>10.799999999999999</v>
      </c>
      <c r="X16" s="35">
        <f t="shared" ref="X16" si="2">K16*O16</f>
        <v>63.839999999999996</v>
      </c>
      <c r="Y16" s="35">
        <f>($Y$14/31.1035*IF(LEFT(F16,3)="10K",(0.417*1.07*K16),IF(LEFT(F16,3)="14K",(0.585*1.05*K16),IF(LEFT(F16,3)="18K",(0.75*1.05*K16),0))))*0.5</f>
        <v>137.90590607037791</v>
      </c>
      <c r="Z16" s="83">
        <f>($Z$14/31.1035*IF(LEFT(F16,3)="10K",(0.417*1.07*K16),IF(LEFT(F16,3)="14K",(0.585*1.05*K16),IF(LEFT(F16,3)="18K",(0.75*1.05*K16),0))))*0.5</f>
        <v>137.90590607037791</v>
      </c>
      <c r="AA16" s="100">
        <f t="shared" ref="AA16" si="3">2*K16</f>
        <v>9.1199999999999992</v>
      </c>
      <c r="AB16" s="100">
        <f t="shared" ref="AB16" si="4">(SUM(Q16:W16)+AG16)-AA16</f>
        <v>189.465</v>
      </c>
      <c r="AC16" s="100">
        <f>AE16*$AC$13+P16*$AC$14</f>
        <v>268.15861295297901</v>
      </c>
      <c r="AD16" s="100">
        <f t="shared" ref="AD16" si="5">SUM(AB16:AC16)</f>
        <v>457.62361295297899</v>
      </c>
      <c r="AE16" s="100">
        <f t="shared" ref="AE16" si="6">IF(LEFT(F16,3)="10K",(0.417*1.07*K16),IF(LEFT(F16,3)="14K",(0.585*1.05*K16),IF(LEFT(F16,3)="18K",(0.75*1.05*K16),0)))</f>
        <v>2.8009799999999996</v>
      </c>
      <c r="AG16" s="26">
        <f t="shared" ref="AG16" si="7">IF(AF16&gt;0,AF16*K16,X16)</f>
        <v>63.839999999999996</v>
      </c>
    </row>
    <row r="17" spans="1:33" s="27" customFormat="1" ht="15.9" customHeight="1">
      <c r="A17" s="86" t="s">
        <v>66</v>
      </c>
      <c r="B17" s="63"/>
      <c r="C17" s="63"/>
      <c r="D17" s="63"/>
      <c r="E17" s="63"/>
      <c r="F17" s="63"/>
      <c r="G17" s="64">
        <f>SUM(G16:G16)</f>
        <v>1</v>
      </c>
      <c r="H17" s="119"/>
      <c r="I17" s="119"/>
      <c r="J17" s="119"/>
      <c r="K17" s="119">
        <f>SUM(K16:K16)</f>
        <v>4.5599999999999996</v>
      </c>
      <c r="L17" s="65"/>
      <c r="M17" s="65"/>
      <c r="N17" s="65"/>
      <c r="O17" s="138"/>
      <c r="P17" s="101">
        <f t="shared" ref="P17:Z17" si="8">SUM(P16:P16)</f>
        <v>0.19</v>
      </c>
      <c r="Q17" s="66">
        <f t="shared" si="8"/>
        <v>0</v>
      </c>
      <c r="R17" s="66">
        <f t="shared" si="8"/>
        <v>0</v>
      </c>
      <c r="S17" s="66">
        <f t="shared" si="8"/>
        <v>0.72</v>
      </c>
      <c r="T17" s="66">
        <f t="shared" si="8"/>
        <v>3.2250000000000001</v>
      </c>
      <c r="U17" s="66">
        <f t="shared" si="8"/>
        <v>0</v>
      </c>
      <c r="V17" s="66">
        <f t="shared" si="8"/>
        <v>120</v>
      </c>
      <c r="W17" s="66">
        <f t="shared" si="8"/>
        <v>10.799999999999999</v>
      </c>
      <c r="X17" s="66">
        <f t="shared" si="8"/>
        <v>63.839999999999996</v>
      </c>
      <c r="Y17" s="66">
        <f t="shared" si="8"/>
        <v>137.90590607037791</v>
      </c>
      <c r="Z17" s="84">
        <f t="shared" si="8"/>
        <v>137.90590607037791</v>
      </c>
      <c r="AA17" s="100"/>
      <c r="AB17" s="100"/>
      <c r="AC17" s="100"/>
      <c r="AD17" s="100"/>
      <c r="AE17" s="100"/>
      <c r="AF17" s="26"/>
      <c r="AG17" s="26"/>
    </row>
    <row r="18" spans="1:33" ht="15.9" customHeight="1">
      <c r="A18" s="52" t="s">
        <v>64</v>
      </c>
      <c r="K18" s="115"/>
      <c r="L18" s="48"/>
      <c r="M18" s="48"/>
      <c r="N18" s="48"/>
      <c r="W18" s="49"/>
      <c r="X18" s="80" t="s">
        <v>82</v>
      </c>
      <c r="Y18" s="92">
        <f>1.02*3070.4</f>
        <v>3131.808</v>
      </c>
      <c r="Z18" s="92">
        <f>1.02*3070.4</f>
        <v>3131.808</v>
      </c>
      <c r="AA18" s="100"/>
      <c r="AB18" s="100"/>
      <c r="AC18" s="100"/>
      <c r="AD18" s="100"/>
      <c r="AE18" s="100"/>
      <c r="AF18" s="26"/>
      <c r="AG18" s="26"/>
    </row>
    <row r="19" spans="1:33" s="91" customFormat="1" ht="24.6" customHeight="1">
      <c r="A19" s="87" t="s">
        <v>4</v>
      </c>
      <c r="B19" s="88" t="s">
        <v>5</v>
      </c>
      <c r="C19" s="88" t="s">
        <v>24</v>
      </c>
      <c r="D19" s="88" t="s">
        <v>46</v>
      </c>
      <c r="E19" s="88" t="s">
        <v>67</v>
      </c>
      <c r="F19" s="88" t="s">
        <v>6</v>
      </c>
      <c r="G19" s="88" t="s">
        <v>7</v>
      </c>
      <c r="H19" s="116" t="s">
        <v>8</v>
      </c>
      <c r="I19" s="116" t="s">
        <v>47</v>
      </c>
      <c r="J19" s="116" t="s">
        <v>9</v>
      </c>
      <c r="K19" s="116" t="s">
        <v>14</v>
      </c>
      <c r="L19" s="89" t="s">
        <v>20</v>
      </c>
      <c r="M19" s="89" t="s">
        <v>23</v>
      </c>
      <c r="N19" s="89" t="s">
        <v>21</v>
      </c>
      <c r="O19" s="136" t="s">
        <v>10</v>
      </c>
      <c r="P19" s="90" t="s">
        <v>49</v>
      </c>
      <c r="Q19" s="45" t="s">
        <v>50</v>
      </c>
      <c r="R19" s="45" t="s">
        <v>55</v>
      </c>
      <c r="S19" s="45" t="s">
        <v>70</v>
      </c>
      <c r="T19" s="45" t="s">
        <v>13</v>
      </c>
      <c r="U19" s="45" t="s">
        <v>52</v>
      </c>
      <c r="V19" s="45" t="s">
        <v>48</v>
      </c>
      <c r="W19" s="45" t="s">
        <v>15</v>
      </c>
      <c r="X19" s="50" t="s">
        <v>12</v>
      </c>
      <c r="Y19" s="160" t="s">
        <v>22</v>
      </c>
      <c r="Z19" s="50" t="s">
        <v>68</v>
      </c>
      <c r="AA19" s="100"/>
      <c r="AB19" s="100"/>
      <c r="AC19" s="100"/>
      <c r="AD19" s="100"/>
      <c r="AE19" s="100"/>
      <c r="AF19" s="26"/>
      <c r="AG19" s="26"/>
    </row>
    <row r="20" spans="1:33" s="26" customFormat="1" ht="27.6">
      <c r="A20" s="94" t="s">
        <v>83</v>
      </c>
      <c r="B20" s="93" t="s">
        <v>84</v>
      </c>
      <c r="C20" s="93" t="s">
        <v>85</v>
      </c>
      <c r="D20" s="93">
        <v>148442</v>
      </c>
      <c r="E20" s="93">
        <v>101</v>
      </c>
      <c r="F20" s="93" t="s">
        <v>73</v>
      </c>
      <c r="G20" s="95">
        <v>1</v>
      </c>
      <c r="H20" s="117">
        <v>6.21</v>
      </c>
      <c r="I20" s="117">
        <v>0.13</v>
      </c>
      <c r="J20" s="117">
        <v>0.26</v>
      </c>
      <c r="K20" s="118">
        <f>H20-I20-J20</f>
        <v>5.82</v>
      </c>
      <c r="L20" s="97" t="s">
        <v>86</v>
      </c>
      <c r="M20" s="97" t="s">
        <v>75</v>
      </c>
      <c r="N20" s="98" t="s">
        <v>87</v>
      </c>
      <c r="O20" s="137">
        <v>12</v>
      </c>
      <c r="P20" s="143">
        <v>0.65</v>
      </c>
      <c r="Q20" s="35"/>
      <c r="R20" s="35"/>
      <c r="S20" s="35">
        <f>0.02*(2+60)*G20</f>
        <v>1.24</v>
      </c>
      <c r="T20" s="35">
        <f>3.23*G20</f>
        <v>3.23</v>
      </c>
      <c r="U20" s="35">
        <f t="shared" ref="U20:U24" si="9">IF(RIGHT(F20,2)="WG",K20*$AB$4,IF(RIGHT(F20,3)="WRG",K20*$AB$4+3*G20,IF(RIGHT(F20,3)="WYG",K20*$AB$4+3*G20,IF(RIGHT(F20,3)="WYR",K20*$AB$4+3*G20,0))))</f>
        <v>1.3968</v>
      </c>
      <c r="V20" s="35"/>
      <c r="W20" s="35">
        <f>(3*2+0.3*60)*G20</f>
        <v>24</v>
      </c>
      <c r="X20" s="35">
        <f t="shared" ref="X20:X24" si="10">K20*O20</f>
        <v>69.84</v>
      </c>
      <c r="Y20" s="35">
        <f>($Y$18/31.1035*IF(LEFT(F20,3)="10K",(0.417*1.07*K20),IF(LEFT(F20,3)="14K",(0.585*1.05*K20),IF(LEFT(F20,3)="18K",(0.75*1.05*K20),0))))*0.5</f>
        <v>179.97990632051057</v>
      </c>
      <c r="Z20" s="83">
        <f>($Z$18/31.1035*IF(LEFT(F20,3)="10K",(0.417*1.07*K20),IF(LEFT(F20,3)="14K",(0.585*1.05*K20),IF(LEFT(F20,3)="18K",(0.75*1.05*K20),0))))*0.5</f>
        <v>179.97990632051057</v>
      </c>
      <c r="AA20" s="100">
        <f t="shared" ref="AA20:AA74" si="11">2*K20</f>
        <v>11.64</v>
      </c>
      <c r="AB20" s="100">
        <f t="shared" ref="AB20:AB74" si="12">(SUM(Q20:W20)+AG20)-AA20</f>
        <v>88.066800000000001</v>
      </c>
      <c r="AC20" s="100">
        <f t="shared" ref="AC20:AC74" si="13">AE20*$AC$13+P20*$AC$14</f>
        <v>484.85444852334945</v>
      </c>
      <c r="AD20" s="100">
        <f t="shared" ref="AD20:AD74" si="14">SUM(AB20:AC20)</f>
        <v>572.9212485233495</v>
      </c>
      <c r="AE20" s="100">
        <f t="shared" ref="AE20:AE74" si="15">IF(LEFT(F20,3)="10K",(0.417*1.07*K20),IF(LEFT(F20,3)="14K",(0.585*1.05*K20),IF(LEFT(F20,3)="18K",(0.75*1.05*K20),0)))</f>
        <v>3.574935</v>
      </c>
      <c r="AG20" s="26">
        <f t="shared" ref="AG20:AG74" si="16">IF(AF20&gt;0,AF20*K20,X20)</f>
        <v>69.84</v>
      </c>
    </row>
    <row r="21" spans="1:33" s="26" customFormat="1" ht="41.4">
      <c r="A21" s="94">
        <v>2</v>
      </c>
      <c r="B21" s="93" t="s">
        <v>88</v>
      </c>
      <c r="C21" s="93" t="s">
        <v>89</v>
      </c>
      <c r="D21" s="93">
        <v>148442</v>
      </c>
      <c r="E21" s="93">
        <v>102</v>
      </c>
      <c r="F21" s="93" t="s">
        <v>74</v>
      </c>
      <c r="G21" s="95">
        <v>1</v>
      </c>
      <c r="H21" s="117">
        <v>11.78</v>
      </c>
      <c r="I21" s="117">
        <v>0.2</v>
      </c>
      <c r="J21" s="117">
        <v>0.4</v>
      </c>
      <c r="K21" s="118">
        <f t="shared" ref="K21:K24" si="17">H21-I21-J21</f>
        <v>11.18</v>
      </c>
      <c r="L21" s="97" t="s">
        <v>90</v>
      </c>
      <c r="M21" s="97" t="s">
        <v>91</v>
      </c>
      <c r="N21" s="98" t="s">
        <v>92</v>
      </c>
      <c r="O21" s="137">
        <v>10.5</v>
      </c>
      <c r="P21" s="143">
        <v>0.99</v>
      </c>
      <c r="Q21" s="35"/>
      <c r="R21" s="35"/>
      <c r="S21" s="35">
        <f>0.02*(8+32+12)*G21</f>
        <v>1.04</v>
      </c>
      <c r="T21" s="35">
        <f>2.3*G21</f>
        <v>2.2999999999999998</v>
      </c>
      <c r="U21" s="35">
        <f t="shared" si="9"/>
        <v>0</v>
      </c>
      <c r="V21" s="35"/>
      <c r="W21" s="35">
        <f>((8+12)*0.6+(32*0.3)*G21)</f>
        <v>21.6</v>
      </c>
      <c r="X21" s="35">
        <f t="shared" si="10"/>
        <v>117.39</v>
      </c>
      <c r="Y21" s="35">
        <f t="shared" ref="Y21:Y24" si="18">($Y$18/31.1035*IF(LEFT(F21,3)="10K",(0.417*1.07*K21),IF(LEFT(F21,3)="14K",(0.585*1.05*K21),IF(LEFT(F21,3)="18K",(0.75*1.05*K21),0))))*0.5</f>
        <v>345.73459667754435</v>
      </c>
      <c r="Z21" s="83">
        <f t="shared" ref="Z21:Z24" si="19">($Z$18/31.1035*IF(LEFT(F21,3)="10K",(0.417*1.07*K21),IF(LEFT(F21,3)="14K",(0.585*1.05*K21),IF(LEFT(F21,3)="18K",(0.75*1.05*K21),0))))*0.5</f>
        <v>345.73459667754435</v>
      </c>
      <c r="AA21" s="100">
        <f t="shared" si="11"/>
        <v>22.36</v>
      </c>
      <c r="AB21" s="100">
        <f t="shared" si="12"/>
        <v>119.97000000000001</v>
      </c>
      <c r="AC21" s="100">
        <f t="shared" si="13"/>
        <v>840.88442959710142</v>
      </c>
      <c r="AD21" s="100">
        <f t="shared" si="14"/>
        <v>960.85442959710144</v>
      </c>
      <c r="AE21" s="100">
        <f t="shared" si="15"/>
        <v>6.8673149999999996</v>
      </c>
      <c r="AG21" s="26">
        <f t="shared" si="16"/>
        <v>117.39</v>
      </c>
    </row>
    <row r="22" spans="1:33" s="26" customFormat="1" ht="27.6">
      <c r="A22" s="94">
        <v>3</v>
      </c>
      <c r="B22" s="96" t="s">
        <v>93</v>
      </c>
      <c r="C22" s="93" t="s">
        <v>94</v>
      </c>
      <c r="D22" s="93">
        <v>148442</v>
      </c>
      <c r="E22" s="93">
        <v>103</v>
      </c>
      <c r="F22" s="93" t="s">
        <v>74</v>
      </c>
      <c r="G22" s="95">
        <v>1</v>
      </c>
      <c r="H22" s="117">
        <v>11.06</v>
      </c>
      <c r="I22" s="117">
        <v>0.39</v>
      </c>
      <c r="J22" s="117">
        <v>0.38</v>
      </c>
      <c r="K22" s="118">
        <f t="shared" si="17"/>
        <v>10.29</v>
      </c>
      <c r="L22" s="97">
        <v>2.5499999999999998</v>
      </c>
      <c r="M22" s="97" t="s">
        <v>63</v>
      </c>
      <c r="N22" s="98">
        <v>33</v>
      </c>
      <c r="O22" s="137">
        <v>10.5</v>
      </c>
      <c r="P22" s="143">
        <v>1.96</v>
      </c>
      <c r="Q22" s="35"/>
      <c r="R22" s="35"/>
      <c r="S22" s="35">
        <f t="shared" ref="S22:S24" si="20">0.02*N22*G22</f>
        <v>0.66</v>
      </c>
      <c r="T22" s="35">
        <f t="shared" ref="T22:T24" si="21">2.3*G22</f>
        <v>2.2999999999999998</v>
      </c>
      <c r="U22" s="35">
        <f t="shared" si="9"/>
        <v>0</v>
      </c>
      <c r="V22" s="35"/>
      <c r="W22" s="35">
        <f>G22*N22*0.5</f>
        <v>16.5</v>
      </c>
      <c r="X22" s="35">
        <f t="shared" si="10"/>
        <v>108.04499999999999</v>
      </c>
      <c r="Y22" s="35">
        <f t="shared" si="18"/>
        <v>318.21189622646966</v>
      </c>
      <c r="Z22" s="83">
        <f t="shared" si="19"/>
        <v>318.21189622646966</v>
      </c>
      <c r="AA22" s="100">
        <f t="shared" si="11"/>
        <v>20.58</v>
      </c>
      <c r="AB22" s="100">
        <f t="shared" si="12"/>
        <v>106.925</v>
      </c>
      <c r="AC22" s="100">
        <f t="shared" si="13"/>
        <v>1140.9622967780997</v>
      </c>
      <c r="AD22" s="100">
        <f t="shared" si="14"/>
        <v>1247.8872967780997</v>
      </c>
      <c r="AE22" s="100">
        <f t="shared" si="15"/>
        <v>6.3206324999999994</v>
      </c>
      <c r="AG22" s="26">
        <f t="shared" si="16"/>
        <v>108.04499999999999</v>
      </c>
    </row>
    <row r="23" spans="1:33" s="26" customFormat="1" ht="27.6">
      <c r="A23" s="94">
        <v>4</v>
      </c>
      <c r="B23" s="96" t="s">
        <v>95</v>
      </c>
      <c r="C23" s="93" t="s">
        <v>96</v>
      </c>
      <c r="D23" s="93">
        <v>148442</v>
      </c>
      <c r="E23" s="93">
        <v>104</v>
      </c>
      <c r="F23" s="93" t="s">
        <v>74</v>
      </c>
      <c r="G23" s="95">
        <v>1</v>
      </c>
      <c r="H23" s="117">
        <v>4.74</v>
      </c>
      <c r="I23" s="117">
        <v>0</v>
      </c>
      <c r="J23" s="117">
        <v>0.33</v>
      </c>
      <c r="K23" s="118">
        <f t="shared" si="17"/>
        <v>4.41</v>
      </c>
      <c r="L23" s="97"/>
      <c r="M23" s="97" t="s">
        <v>63</v>
      </c>
      <c r="N23" s="98"/>
      <c r="O23" s="137">
        <v>11.5</v>
      </c>
      <c r="P23" s="143">
        <v>0</v>
      </c>
      <c r="Q23" s="35"/>
      <c r="R23" s="35"/>
      <c r="S23" s="35"/>
      <c r="T23" s="35">
        <f t="shared" si="21"/>
        <v>2.2999999999999998</v>
      </c>
      <c r="U23" s="35">
        <f t="shared" si="9"/>
        <v>0</v>
      </c>
      <c r="V23" s="35"/>
      <c r="W23" s="35"/>
      <c r="X23" s="35">
        <f t="shared" si="10"/>
        <v>50.715000000000003</v>
      </c>
      <c r="Y23" s="35">
        <f t="shared" si="18"/>
        <v>136.3765269542013</v>
      </c>
      <c r="Z23" s="83">
        <f t="shared" si="19"/>
        <v>136.3765269542013</v>
      </c>
      <c r="AA23" s="100">
        <f t="shared" si="11"/>
        <v>8.82</v>
      </c>
      <c r="AB23" s="100">
        <f t="shared" si="12"/>
        <v>44.195</v>
      </c>
      <c r="AC23" s="100">
        <f t="shared" si="13"/>
        <v>195.03665999999998</v>
      </c>
      <c r="AD23" s="100">
        <f t="shared" si="14"/>
        <v>239.23165999999998</v>
      </c>
      <c r="AE23" s="100">
        <f t="shared" si="15"/>
        <v>2.7088424999999998</v>
      </c>
      <c r="AG23" s="26">
        <f t="shared" si="16"/>
        <v>50.715000000000003</v>
      </c>
    </row>
    <row r="24" spans="1:33" s="26" customFormat="1" ht="28.2" thickBot="1">
      <c r="A24" s="94">
        <v>5</v>
      </c>
      <c r="B24" s="93" t="s">
        <v>97</v>
      </c>
      <c r="C24" s="93" t="s">
        <v>98</v>
      </c>
      <c r="D24" s="93">
        <v>148442</v>
      </c>
      <c r="E24" s="93">
        <v>105</v>
      </c>
      <c r="F24" s="93" t="s">
        <v>74</v>
      </c>
      <c r="G24" s="95">
        <v>1</v>
      </c>
      <c r="H24" s="117">
        <v>6.56</v>
      </c>
      <c r="I24" s="117">
        <v>0.03</v>
      </c>
      <c r="J24" s="117">
        <v>0.32</v>
      </c>
      <c r="K24" s="118">
        <f t="shared" si="17"/>
        <v>6.2099999999999991</v>
      </c>
      <c r="L24" s="97">
        <v>1.5</v>
      </c>
      <c r="M24" s="97" t="s">
        <v>63</v>
      </c>
      <c r="N24" s="98">
        <v>13</v>
      </c>
      <c r="O24" s="137">
        <v>11.5</v>
      </c>
      <c r="P24" s="143">
        <v>0.17</v>
      </c>
      <c r="Q24" s="35"/>
      <c r="R24" s="35"/>
      <c r="S24" s="35">
        <f t="shared" si="20"/>
        <v>0.26</v>
      </c>
      <c r="T24" s="35">
        <f t="shared" si="21"/>
        <v>2.2999999999999998</v>
      </c>
      <c r="U24" s="35">
        <f t="shared" si="9"/>
        <v>0</v>
      </c>
      <c r="V24" s="35"/>
      <c r="W24" s="35">
        <f t="shared" ref="W24" si="22">G24*N24*0.3</f>
        <v>3.9</v>
      </c>
      <c r="X24" s="35">
        <f t="shared" si="10"/>
        <v>71.414999999999992</v>
      </c>
      <c r="Y24" s="35">
        <f t="shared" si="18"/>
        <v>192.04041550693648</v>
      </c>
      <c r="Z24" s="83">
        <f t="shared" si="19"/>
        <v>192.04041550693648</v>
      </c>
      <c r="AA24" s="100">
        <f t="shared" si="11"/>
        <v>12.419999999999998</v>
      </c>
      <c r="AB24" s="100">
        <f t="shared" si="12"/>
        <v>65.454999999999984</v>
      </c>
      <c r="AC24" s="100">
        <f t="shared" si="13"/>
        <v>334.13277053687597</v>
      </c>
      <c r="AD24" s="100">
        <f t="shared" si="14"/>
        <v>399.58777053687595</v>
      </c>
      <c r="AE24" s="100">
        <f t="shared" si="15"/>
        <v>3.8144924999999992</v>
      </c>
      <c r="AG24" s="26">
        <f t="shared" si="16"/>
        <v>71.414999999999992</v>
      </c>
    </row>
    <row r="25" spans="1:33" s="27" customFormat="1" ht="15.9" customHeight="1">
      <c r="A25" s="86" t="s">
        <v>66</v>
      </c>
      <c r="B25" s="63"/>
      <c r="C25" s="63"/>
      <c r="D25" s="63"/>
      <c r="E25" s="63"/>
      <c r="F25" s="63"/>
      <c r="G25" s="64">
        <f>SUM(G20:G24)</f>
        <v>5</v>
      </c>
      <c r="H25" s="119"/>
      <c r="I25" s="119"/>
      <c r="J25" s="119"/>
      <c r="K25" s="119">
        <f>SUM(K20:K24)</f>
        <v>37.909999999999997</v>
      </c>
      <c r="L25" s="65"/>
      <c r="M25" s="65"/>
      <c r="N25" s="65"/>
      <c r="O25" s="138"/>
      <c r="P25" s="101">
        <f t="shared" ref="P25:Z25" si="23">SUM(P20:P24)</f>
        <v>3.77</v>
      </c>
      <c r="Q25" s="66">
        <f t="shared" si="23"/>
        <v>0</v>
      </c>
      <c r="R25" s="66">
        <f t="shared" si="23"/>
        <v>0</v>
      </c>
      <c r="S25" s="66">
        <f t="shared" si="23"/>
        <v>3.2</v>
      </c>
      <c r="T25" s="66">
        <f t="shared" si="23"/>
        <v>12.43</v>
      </c>
      <c r="U25" s="66">
        <f t="shared" si="23"/>
        <v>1.3968</v>
      </c>
      <c r="V25" s="66">
        <f t="shared" si="23"/>
        <v>0</v>
      </c>
      <c r="W25" s="66">
        <f t="shared" si="23"/>
        <v>66</v>
      </c>
      <c r="X25" s="66">
        <f t="shared" si="23"/>
        <v>417.40499999999997</v>
      </c>
      <c r="Y25" s="66">
        <f t="shared" si="23"/>
        <v>1172.3433416856624</v>
      </c>
      <c r="Z25" s="84">
        <f t="shared" si="23"/>
        <v>1172.3433416856624</v>
      </c>
      <c r="AA25" s="100"/>
      <c r="AB25" s="100"/>
      <c r="AC25" s="100"/>
      <c r="AD25" s="100"/>
      <c r="AE25" s="100"/>
      <c r="AF25" s="26"/>
      <c r="AG25" s="26"/>
    </row>
    <row r="26" spans="1:33" ht="15.9" customHeight="1">
      <c r="A26" s="52" t="s">
        <v>64</v>
      </c>
      <c r="K26" s="115"/>
      <c r="L26" s="48"/>
      <c r="M26" s="48"/>
      <c r="N26" s="48"/>
      <c r="W26" s="49"/>
      <c r="X26" s="80" t="s">
        <v>99</v>
      </c>
      <c r="Y26" s="92">
        <f>3131.5*1.02</f>
        <v>3194.13</v>
      </c>
      <c r="Z26" s="92">
        <f>3131.5*1.02</f>
        <v>3194.13</v>
      </c>
      <c r="AA26" s="100"/>
      <c r="AB26" s="100"/>
      <c r="AC26" s="100"/>
      <c r="AD26" s="100"/>
      <c r="AE26" s="100"/>
      <c r="AF26" s="26"/>
      <c r="AG26" s="26"/>
    </row>
    <row r="27" spans="1:33" s="91" customFormat="1" ht="27.6">
      <c r="A27" s="87" t="s">
        <v>4</v>
      </c>
      <c r="B27" s="88" t="s">
        <v>5</v>
      </c>
      <c r="C27" s="88" t="s">
        <v>24</v>
      </c>
      <c r="D27" s="88" t="s">
        <v>46</v>
      </c>
      <c r="E27" s="88" t="s">
        <v>67</v>
      </c>
      <c r="F27" s="88" t="s">
        <v>6</v>
      </c>
      <c r="G27" s="88" t="s">
        <v>7</v>
      </c>
      <c r="H27" s="116" t="s">
        <v>8</v>
      </c>
      <c r="I27" s="116" t="s">
        <v>47</v>
      </c>
      <c r="J27" s="116" t="s">
        <v>9</v>
      </c>
      <c r="K27" s="116" t="s">
        <v>14</v>
      </c>
      <c r="L27" s="89" t="s">
        <v>20</v>
      </c>
      <c r="M27" s="89" t="s">
        <v>23</v>
      </c>
      <c r="N27" s="89" t="s">
        <v>21</v>
      </c>
      <c r="O27" s="136" t="s">
        <v>10</v>
      </c>
      <c r="P27" s="90" t="s">
        <v>49</v>
      </c>
      <c r="Q27" s="45" t="s">
        <v>50</v>
      </c>
      <c r="R27" s="45" t="s">
        <v>55</v>
      </c>
      <c r="S27" s="45" t="s">
        <v>70</v>
      </c>
      <c r="T27" s="45" t="s">
        <v>13</v>
      </c>
      <c r="U27" s="45" t="s">
        <v>52</v>
      </c>
      <c r="V27" s="45" t="s">
        <v>48</v>
      </c>
      <c r="W27" s="45" t="s">
        <v>15</v>
      </c>
      <c r="X27" s="50" t="s">
        <v>12</v>
      </c>
      <c r="Y27" s="160" t="s">
        <v>22</v>
      </c>
      <c r="Z27" s="50" t="s">
        <v>68</v>
      </c>
      <c r="AA27" s="100"/>
      <c r="AB27" s="100"/>
      <c r="AC27" s="100"/>
      <c r="AD27" s="100"/>
      <c r="AE27" s="100"/>
      <c r="AF27" s="26"/>
      <c r="AG27" s="26"/>
    </row>
    <row r="28" spans="1:33" s="26" customFormat="1" ht="28.2" thickBot="1">
      <c r="A28" s="94" t="s">
        <v>100</v>
      </c>
      <c r="B28" s="96" t="s">
        <v>101</v>
      </c>
      <c r="C28" s="93" t="s">
        <v>102</v>
      </c>
      <c r="D28" s="93">
        <v>148500</v>
      </c>
      <c r="E28" s="93">
        <v>105</v>
      </c>
      <c r="F28" s="93" t="s">
        <v>73</v>
      </c>
      <c r="G28" s="95">
        <v>1</v>
      </c>
      <c r="H28" s="117">
        <v>12.44</v>
      </c>
      <c r="I28" s="117">
        <v>0</v>
      </c>
      <c r="J28" s="117">
        <v>0.44</v>
      </c>
      <c r="K28" s="118">
        <f t="shared" ref="K28" si="24">H28-I28-J28</f>
        <v>12</v>
      </c>
      <c r="L28" s="97">
        <v>3.75</v>
      </c>
      <c r="M28" s="97" t="s">
        <v>63</v>
      </c>
      <c r="N28" s="98">
        <v>39</v>
      </c>
      <c r="O28" s="137">
        <v>10.5</v>
      </c>
      <c r="P28" s="143"/>
      <c r="Q28" s="35">
        <v>200</v>
      </c>
      <c r="R28" s="35"/>
      <c r="S28" s="35">
        <f t="shared" ref="S28" si="25">0.02*N28*G28</f>
        <v>0.78</v>
      </c>
      <c r="T28" s="35">
        <f t="shared" ref="T28" si="26">2.3*G28</f>
        <v>2.2999999999999998</v>
      </c>
      <c r="U28" s="35">
        <f t="shared" ref="U28" si="27">IF(RIGHT(F28,2)="WG",K28*$AB$4,IF(RIGHT(F28,3)="WRG",K28*$AB$4+3*G28,IF(RIGHT(F28,3)="WYG",K28*$AB$4+3*G28,IF(RIGHT(F28,3)="WYR",K28*$AB$4+3*G28,0))))</f>
        <v>2.88</v>
      </c>
      <c r="V28" s="35"/>
      <c r="W28" s="35">
        <f>G28*N28*0.75</f>
        <v>29.25</v>
      </c>
      <c r="X28" s="35">
        <f t="shared" ref="X28" si="28">K28*O28</f>
        <v>126</v>
      </c>
      <c r="Y28" s="35">
        <f t="shared" ref="Y28" si="29">($Y$26/31.1035*IF(LEFT(F28,3)="10K",(0.417*1.07*K28),IF(LEFT(F28,3)="14K",(0.585*1.05*K28),IF(LEFT(F28,3)="18K",(0.75*1.05*K28),0))))*0.5</f>
        <v>378.47721687269922</v>
      </c>
      <c r="Z28" s="83">
        <f t="shared" ref="Z28" si="30">($Z$26/31.1035*IF(LEFT(F28,3)="10K",(0.417*1.07*K28),IF(LEFT(F28,3)="14K",(0.585*1.05*K28),IF(LEFT(F28,3)="18K",(0.75*1.05*K28),0))))*0.5</f>
        <v>378.47721687269922</v>
      </c>
      <c r="AA28" s="100">
        <f t="shared" si="11"/>
        <v>24</v>
      </c>
      <c r="AB28" s="100">
        <f t="shared" si="12"/>
        <v>337.21000000000004</v>
      </c>
      <c r="AC28" s="100">
        <f t="shared" si="13"/>
        <v>530.71199999999999</v>
      </c>
      <c r="AD28" s="100">
        <f t="shared" si="14"/>
        <v>867.92200000000003</v>
      </c>
      <c r="AE28" s="100">
        <f t="shared" si="15"/>
        <v>7.3709999999999996</v>
      </c>
      <c r="AG28" s="26">
        <f t="shared" si="16"/>
        <v>126</v>
      </c>
    </row>
    <row r="29" spans="1:33" s="27" customFormat="1" ht="15.9" customHeight="1">
      <c r="A29" s="86" t="s">
        <v>66</v>
      </c>
      <c r="B29" s="63"/>
      <c r="C29" s="63"/>
      <c r="D29" s="63"/>
      <c r="E29" s="63"/>
      <c r="F29" s="63"/>
      <c r="G29" s="64">
        <f>SUM(G28:G28)</f>
        <v>1</v>
      </c>
      <c r="H29" s="119"/>
      <c r="I29" s="119"/>
      <c r="J29" s="119"/>
      <c r="K29" s="119">
        <f>SUM(K28:K28)</f>
        <v>12</v>
      </c>
      <c r="L29" s="65"/>
      <c r="M29" s="65"/>
      <c r="N29" s="65"/>
      <c r="O29" s="138"/>
      <c r="P29" s="101">
        <f>SUM(P28:P28)</f>
        <v>0</v>
      </c>
      <c r="Q29" s="66">
        <f>SUM(Q28:Q28)</f>
        <v>200</v>
      </c>
      <c r="R29" s="66">
        <f>SUM(R28:R28)</f>
        <v>0</v>
      </c>
      <c r="S29" s="66">
        <f>SUM(S28:S28)</f>
        <v>0.78</v>
      </c>
      <c r="T29" s="66">
        <f>SUM(T28:T28)</f>
        <v>2.2999999999999998</v>
      </c>
      <c r="U29" s="66">
        <f>SUM(U28:U28)</f>
        <v>2.88</v>
      </c>
      <c r="V29" s="66">
        <f>SUM(V28:V28)</f>
        <v>0</v>
      </c>
      <c r="W29" s="66">
        <f>SUM(W28:W28)</f>
        <v>29.25</v>
      </c>
      <c r="X29" s="66">
        <f>SUM(X28:X28)</f>
        <v>126</v>
      </c>
      <c r="Y29" s="66">
        <f>SUM(Y28:Y28)</f>
        <v>378.47721687269922</v>
      </c>
      <c r="Z29" s="84">
        <f>SUM(Z28:Z28)</f>
        <v>378.47721687269922</v>
      </c>
      <c r="AA29" s="100"/>
      <c r="AB29" s="100"/>
      <c r="AC29" s="100"/>
      <c r="AD29" s="100"/>
      <c r="AE29" s="100"/>
      <c r="AF29" s="26"/>
      <c r="AG29" s="26"/>
    </row>
    <row r="30" spans="1:33" ht="15.9" customHeight="1">
      <c r="A30" s="52" t="s">
        <v>64</v>
      </c>
      <c r="K30" s="115"/>
      <c r="L30" s="48"/>
      <c r="M30" s="48"/>
      <c r="N30" s="48"/>
      <c r="W30" s="49"/>
      <c r="X30" s="80" t="s">
        <v>103</v>
      </c>
      <c r="Y30" s="92">
        <f>3120.2*1.02</f>
        <v>3182.6039999999998</v>
      </c>
      <c r="Z30" s="92">
        <f>3120.2*1.02</f>
        <v>3182.6039999999998</v>
      </c>
      <c r="AA30" s="100"/>
      <c r="AB30" s="100"/>
      <c r="AC30" s="100"/>
      <c r="AD30" s="100"/>
      <c r="AE30" s="100"/>
      <c r="AF30" s="26"/>
      <c r="AG30" s="26"/>
    </row>
    <row r="31" spans="1:33" s="91" customFormat="1" ht="27.6">
      <c r="A31" s="87" t="s">
        <v>4</v>
      </c>
      <c r="B31" s="88" t="s">
        <v>5</v>
      </c>
      <c r="C31" s="88" t="s">
        <v>24</v>
      </c>
      <c r="D31" s="88" t="s">
        <v>46</v>
      </c>
      <c r="E31" s="88" t="s">
        <v>67</v>
      </c>
      <c r="F31" s="88" t="s">
        <v>6</v>
      </c>
      <c r="G31" s="88" t="s">
        <v>7</v>
      </c>
      <c r="H31" s="116" t="s">
        <v>8</v>
      </c>
      <c r="I31" s="116" t="s">
        <v>47</v>
      </c>
      <c r="J31" s="116" t="s">
        <v>9</v>
      </c>
      <c r="K31" s="116" t="s">
        <v>14</v>
      </c>
      <c r="L31" s="89" t="s">
        <v>20</v>
      </c>
      <c r="M31" s="89" t="s">
        <v>23</v>
      </c>
      <c r="N31" s="89" t="s">
        <v>21</v>
      </c>
      <c r="O31" s="136" t="s">
        <v>10</v>
      </c>
      <c r="P31" s="90" t="s">
        <v>49</v>
      </c>
      <c r="Q31" s="45" t="s">
        <v>50</v>
      </c>
      <c r="R31" s="45" t="s">
        <v>55</v>
      </c>
      <c r="S31" s="45" t="s">
        <v>70</v>
      </c>
      <c r="T31" s="45" t="s">
        <v>13</v>
      </c>
      <c r="U31" s="45" t="s">
        <v>52</v>
      </c>
      <c r="V31" s="45" t="s">
        <v>48</v>
      </c>
      <c r="W31" s="45" t="s">
        <v>15</v>
      </c>
      <c r="X31" s="50" t="s">
        <v>12</v>
      </c>
      <c r="Y31" s="160" t="s">
        <v>22</v>
      </c>
      <c r="Z31" s="50" t="s">
        <v>68</v>
      </c>
      <c r="AA31" s="100"/>
      <c r="AB31" s="100"/>
      <c r="AC31" s="100"/>
      <c r="AD31" s="100"/>
      <c r="AE31" s="100"/>
      <c r="AF31" s="26"/>
      <c r="AG31" s="26"/>
    </row>
    <row r="32" spans="1:33" s="26" customFormat="1" ht="27.6">
      <c r="A32" s="94" t="s">
        <v>104</v>
      </c>
      <c r="B32" s="93" t="s">
        <v>95</v>
      </c>
      <c r="C32" s="93" t="s">
        <v>105</v>
      </c>
      <c r="D32" s="93">
        <v>148468</v>
      </c>
      <c r="E32" s="93">
        <v>101</v>
      </c>
      <c r="F32" s="93" t="s">
        <v>73</v>
      </c>
      <c r="G32" s="95">
        <v>2</v>
      </c>
      <c r="H32" s="117">
        <v>9.870000000000001</v>
      </c>
      <c r="I32" s="117">
        <v>0</v>
      </c>
      <c r="J32" s="117">
        <v>0.66</v>
      </c>
      <c r="K32" s="118">
        <f>H32-I32-J32</f>
        <v>9.2100000000000009</v>
      </c>
      <c r="L32" s="97"/>
      <c r="M32" s="97" t="s">
        <v>63</v>
      </c>
      <c r="N32" s="98"/>
      <c r="O32" s="137">
        <v>9.5</v>
      </c>
      <c r="P32" s="143">
        <v>0</v>
      </c>
      <c r="Q32" s="35"/>
      <c r="R32" s="35"/>
      <c r="S32" s="35"/>
      <c r="T32" s="35">
        <f t="shared" ref="T32:T34" si="31">2*G32</f>
        <v>4</v>
      </c>
      <c r="U32" s="35">
        <f t="shared" ref="U32:U35" si="32">IF(RIGHT(F32,2)="WG",K32*$AB$4,IF(RIGHT(F32,3)="WRG",K32*$AB$4+3*G32,IF(RIGHT(F32,3)="WYG",K32*$AB$4+3*G32,IF(RIGHT(F32,3)="WYR",K32*$AB$4+3*G32,0))))</f>
        <v>2.2103999999999999</v>
      </c>
      <c r="V32" s="35"/>
      <c r="W32" s="35"/>
      <c r="X32" s="35">
        <f t="shared" ref="X32:X35" si="33">K32*O32</f>
        <v>87.495000000000005</v>
      </c>
      <c r="Y32" s="35">
        <f>($Y$30/31.1035*IF(LEFT(F32,3)="10K",(0.417*1.07*K32),IF(LEFT(F32,3)="14K",(0.585*1.05*K32),IF(LEFT(F32,3)="18K",(0.75*1.05*K32),0))))*0.5</f>
        <v>289.43306395534267</v>
      </c>
      <c r="Z32" s="83">
        <f>($Z$30/31.1035*IF(LEFT(F32,3)="10K",(0.417*1.07*K32),IF(LEFT(F32,3)="14K",(0.585*1.05*K32),IF(LEFT(F32,3)="18K",(0.75*1.05*K32),0))))*0.5</f>
        <v>289.43306395534267</v>
      </c>
      <c r="AA32" s="100">
        <f t="shared" si="11"/>
        <v>18.420000000000002</v>
      </c>
      <c r="AB32" s="100">
        <f t="shared" si="12"/>
        <v>75.285399999999996</v>
      </c>
      <c r="AC32" s="100">
        <f t="shared" si="13"/>
        <v>407.32146000000006</v>
      </c>
      <c r="AD32" s="100">
        <f t="shared" si="14"/>
        <v>482.60686000000004</v>
      </c>
      <c r="AE32" s="100">
        <f t="shared" si="15"/>
        <v>5.6572425000000006</v>
      </c>
      <c r="AG32" s="26">
        <f t="shared" si="16"/>
        <v>87.495000000000005</v>
      </c>
    </row>
    <row r="33" spans="1:33" s="26" customFormat="1" ht="27.6">
      <c r="A33" s="94"/>
      <c r="B33" s="93" t="s">
        <v>95</v>
      </c>
      <c r="C33" s="93" t="s">
        <v>96</v>
      </c>
      <c r="D33" s="93">
        <v>148468</v>
      </c>
      <c r="E33" s="93">
        <v>102</v>
      </c>
      <c r="F33" s="93" t="s">
        <v>74</v>
      </c>
      <c r="G33" s="95">
        <v>2</v>
      </c>
      <c r="H33" s="117">
        <v>9.8000000000000007</v>
      </c>
      <c r="I33" s="117">
        <v>0</v>
      </c>
      <c r="J33" s="117">
        <v>0.66</v>
      </c>
      <c r="K33" s="118">
        <f>H33-I33-J33</f>
        <v>9.14</v>
      </c>
      <c r="L33" s="97"/>
      <c r="M33" s="97" t="s">
        <v>63</v>
      </c>
      <c r="N33" s="98"/>
      <c r="O33" s="137">
        <v>9.5</v>
      </c>
      <c r="P33" s="143">
        <v>0</v>
      </c>
      <c r="Q33" s="35"/>
      <c r="R33" s="35"/>
      <c r="S33" s="35"/>
      <c r="T33" s="35">
        <f t="shared" ref="T33" si="34">2*G33</f>
        <v>4</v>
      </c>
      <c r="U33" s="35">
        <f t="shared" ref="U33" si="35">IF(RIGHT(F33,2)="WG",K33*$AB$4,IF(RIGHT(F33,3)="WRG",K33*$AB$4+3*G33,IF(RIGHT(F33,3)="WYG",K33*$AB$4+3*G33,IF(RIGHT(F33,3)="WYR",K33*$AB$4+3*G33,0))))</f>
        <v>0</v>
      </c>
      <c r="V33" s="35"/>
      <c r="W33" s="35"/>
      <c r="X33" s="35">
        <f t="shared" ref="X33" si="36">K33*O33</f>
        <v>86.830000000000013</v>
      </c>
      <c r="Y33" s="35">
        <f>($Y$30/31.1035*IF(LEFT(F33,3)="10K",(0.417*1.07*K33),IF(LEFT(F33,3)="14K",(0.585*1.05*K33),IF(LEFT(F33,3)="18K",(0.75*1.05*K33),0))))*0.5</f>
        <v>287.23324696545404</v>
      </c>
      <c r="Z33" s="83">
        <f>($Z$30/31.1035*IF(LEFT(F33,3)="10K",(0.417*1.07*K33),IF(LEFT(F33,3)="14K",(0.585*1.05*K33),IF(LEFT(F33,3)="18K",(0.75*1.05*K33),0))))*0.5</f>
        <v>287.23324696545404</v>
      </c>
      <c r="AA33" s="100">
        <f t="shared" si="11"/>
        <v>18.28</v>
      </c>
      <c r="AB33" s="100">
        <f t="shared" si="12"/>
        <v>72.550000000000011</v>
      </c>
      <c r="AC33" s="100">
        <f t="shared" si="13"/>
        <v>404.22564</v>
      </c>
      <c r="AD33" s="100">
        <f t="shared" si="14"/>
        <v>476.77564000000001</v>
      </c>
      <c r="AE33" s="100">
        <f t="shared" si="15"/>
        <v>5.6142450000000004</v>
      </c>
      <c r="AG33" s="26">
        <f t="shared" si="16"/>
        <v>86.830000000000013</v>
      </c>
    </row>
    <row r="34" spans="1:33" s="26" customFormat="1" ht="69">
      <c r="A34" s="94">
        <v>3</v>
      </c>
      <c r="B34" s="96" t="s">
        <v>108</v>
      </c>
      <c r="C34" s="93" t="s">
        <v>109</v>
      </c>
      <c r="D34" s="93">
        <v>148468</v>
      </c>
      <c r="E34" s="93">
        <v>104</v>
      </c>
      <c r="F34" s="93" t="s">
        <v>110</v>
      </c>
      <c r="G34" s="95">
        <v>1</v>
      </c>
      <c r="H34" s="117">
        <v>6.85</v>
      </c>
      <c r="I34" s="117">
        <v>0.11</v>
      </c>
      <c r="J34" s="117">
        <v>0.36</v>
      </c>
      <c r="K34" s="118">
        <f t="shared" ref="K34:K35" si="37">H34-I34-J34</f>
        <v>6.379999999999999</v>
      </c>
      <c r="L34" s="97" t="s">
        <v>111</v>
      </c>
      <c r="M34" s="97" t="s">
        <v>112</v>
      </c>
      <c r="N34" s="98" t="s">
        <v>113</v>
      </c>
      <c r="O34" s="137">
        <v>11.5</v>
      </c>
      <c r="P34" s="143">
        <v>0.56999999999999995</v>
      </c>
      <c r="Q34" s="35"/>
      <c r="R34" s="35"/>
      <c r="S34" s="35">
        <f>0.02*(4+3+3+2+3)*G34</f>
        <v>0.3</v>
      </c>
      <c r="T34" s="35">
        <f t="shared" si="31"/>
        <v>2</v>
      </c>
      <c r="U34" s="35">
        <f t="shared" si="32"/>
        <v>4.5312000000000001</v>
      </c>
      <c r="V34" s="35"/>
      <c r="W34" s="35">
        <f>((3-1)+4)*0.3+((3-2)+3*0.5)+(2*1.5)+(3*3)</f>
        <v>16.3</v>
      </c>
      <c r="X34" s="35">
        <f t="shared" si="33"/>
        <v>73.36999999999999</v>
      </c>
      <c r="Y34" s="35">
        <f t="shared" ref="Y34:Y35" si="38">($Y$30/31.1035*IF(LEFT(F34,3)="10K",(0.417*1.07*K34),IF(LEFT(F34,3)="14K",(0.585*1.05*K34),IF(LEFT(F34,3)="18K",(0.75*1.05*K34),0))))*0.5</f>
        <v>200.49760564984643</v>
      </c>
      <c r="Z34" s="83">
        <f t="shared" ref="Z34:Z35" si="39">($Z$30/31.1035*IF(LEFT(F34,3)="10K",(0.417*1.07*K34),IF(LEFT(F34,3)="14K",(0.585*1.05*K34),IF(LEFT(F34,3)="18K",(0.75*1.05*K34),0))))*0.5</f>
        <v>200.49760564984643</v>
      </c>
      <c r="AA34" s="100">
        <f t="shared" si="11"/>
        <v>12.759999999999998</v>
      </c>
      <c r="AB34" s="100">
        <f t="shared" si="12"/>
        <v>83.741199999999992</v>
      </c>
      <c r="AC34" s="100">
        <f t="shared" si="13"/>
        <v>481.62603885893714</v>
      </c>
      <c r="AD34" s="100">
        <f t="shared" si="14"/>
        <v>565.36723885893707</v>
      </c>
      <c r="AE34" s="100">
        <f t="shared" si="15"/>
        <v>3.9189149999999993</v>
      </c>
      <c r="AG34" s="26">
        <f t="shared" si="16"/>
        <v>73.36999999999999</v>
      </c>
    </row>
    <row r="35" spans="1:33" s="26" customFormat="1" ht="28.2" thickBot="1">
      <c r="A35" s="94">
        <v>4</v>
      </c>
      <c r="B35" s="93" t="s">
        <v>114</v>
      </c>
      <c r="C35" s="93" t="s">
        <v>115</v>
      </c>
      <c r="D35" s="93">
        <v>148468</v>
      </c>
      <c r="E35" s="93">
        <v>105</v>
      </c>
      <c r="F35" s="93" t="s">
        <v>73</v>
      </c>
      <c r="G35" s="95">
        <v>1</v>
      </c>
      <c r="H35" s="117">
        <v>6.45</v>
      </c>
      <c r="I35" s="117">
        <v>0.04</v>
      </c>
      <c r="J35" s="117">
        <v>0.36</v>
      </c>
      <c r="K35" s="118">
        <f t="shared" si="37"/>
        <v>6.05</v>
      </c>
      <c r="L35" s="97">
        <v>1.5</v>
      </c>
      <c r="M35" s="97" t="s">
        <v>63</v>
      </c>
      <c r="N35" s="98">
        <v>13</v>
      </c>
      <c r="O35" s="137">
        <v>10.5</v>
      </c>
      <c r="P35" s="143">
        <v>0.22</v>
      </c>
      <c r="Q35" s="35"/>
      <c r="R35" s="35"/>
      <c r="S35" s="35">
        <f t="shared" ref="S35" si="40">0.02*N35*G35</f>
        <v>0.26</v>
      </c>
      <c r="T35" s="35">
        <f>2.3*G35</f>
        <v>2.2999999999999998</v>
      </c>
      <c r="U35" s="35">
        <f t="shared" si="32"/>
        <v>1.452</v>
      </c>
      <c r="V35" s="35"/>
      <c r="W35" s="35">
        <f t="shared" ref="W35" si="41">G35*N35*0.3</f>
        <v>3.9</v>
      </c>
      <c r="X35" s="35">
        <f t="shared" si="33"/>
        <v>63.524999999999999</v>
      </c>
      <c r="Y35" s="35">
        <f t="shared" si="38"/>
        <v>190.12703984037165</v>
      </c>
      <c r="Z35" s="83">
        <f t="shared" si="39"/>
        <v>190.12703984037165</v>
      </c>
      <c r="AA35" s="100">
        <f t="shared" si="11"/>
        <v>12.1</v>
      </c>
      <c r="AB35" s="100">
        <f t="shared" si="12"/>
        <v>59.336999999999996</v>
      </c>
      <c r="AC35" s="100">
        <f t="shared" si="13"/>
        <v>344.55346657713363</v>
      </c>
      <c r="AD35" s="100">
        <f t="shared" si="14"/>
        <v>403.89046657713362</v>
      </c>
      <c r="AE35" s="100">
        <f t="shared" si="15"/>
        <v>3.7162124999999997</v>
      </c>
      <c r="AG35" s="26">
        <f t="shared" si="16"/>
        <v>63.524999999999999</v>
      </c>
    </row>
    <row r="36" spans="1:33" s="27" customFormat="1" ht="15.9" customHeight="1">
      <c r="A36" s="86" t="s">
        <v>66</v>
      </c>
      <c r="B36" s="63"/>
      <c r="C36" s="63"/>
      <c r="D36" s="63"/>
      <c r="E36" s="63"/>
      <c r="F36" s="63"/>
      <c r="G36" s="64">
        <f>SUM(G32:G35)</f>
        <v>6</v>
      </c>
      <c r="H36" s="119"/>
      <c r="I36" s="119"/>
      <c r="J36" s="119"/>
      <c r="K36" s="119">
        <f>SUM(K32:K35)</f>
        <v>30.78</v>
      </c>
      <c r="L36" s="65"/>
      <c r="M36" s="65"/>
      <c r="N36" s="65"/>
      <c r="O36" s="138"/>
      <c r="P36" s="101">
        <f>SUM(P32:P35)</f>
        <v>0.78999999999999992</v>
      </c>
      <c r="Q36" s="66">
        <f>SUM(Q32:Q35)</f>
        <v>0</v>
      </c>
      <c r="R36" s="66">
        <f>SUM(R32:R35)</f>
        <v>0</v>
      </c>
      <c r="S36" s="66">
        <f>SUM(S32:S35)</f>
        <v>0.56000000000000005</v>
      </c>
      <c r="T36" s="66">
        <f>SUM(T32:T35)</f>
        <v>12.3</v>
      </c>
      <c r="U36" s="66">
        <f>SUM(U32:U35)</f>
        <v>8.1936</v>
      </c>
      <c r="V36" s="66">
        <f>SUM(V32:V35)</f>
        <v>0</v>
      </c>
      <c r="W36" s="66">
        <f>SUM(W32:W35)</f>
        <v>20.2</v>
      </c>
      <c r="X36" s="66">
        <f>SUM(X32:X35)</f>
        <v>311.21999999999997</v>
      </c>
      <c r="Y36" s="66">
        <f>SUM(Y32:Y35)</f>
        <v>967.2909564110148</v>
      </c>
      <c r="Z36" s="84">
        <f>SUM(Z32:Z35)</f>
        <v>967.2909564110148</v>
      </c>
      <c r="AA36" s="100"/>
      <c r="AB36" s="100"/>
      <c r="AC36" s="100"/>
      <c r="AD36" s="100"/>
      <c r="AE36" s="100"/>
      <c r="AF36" s="26"/>
      <c r="AG36" s="26"/>
    </row>
    <row r="37" spans="1:33" ht="15.9" customHeight="1">
      <c r="A37" s="52" t="s">
        <v>64</v>
      </c>
      <c r="K37" s="115"/>
      <c r="L37" s="48"/>
      <c r="M37" s="48"/>
      <c r="N37" s="48"/>
      <c r="W37" s="49"/>
      <c r="X37" s="80" t="s">
        <v>116</v>
      </c>
      <c r="Y37" s="92">
        <f>3213.75*1.02</f>
        <v>3278.0250000000001</v>
      </c>
      <c r="Z37" s="92">
        <f>3213.75*1.02</f>
        <v>3278.0250000000001</v>
      </c>
      <c r="AA37" s="100"/>
      <c r="AB37" s="100"/>
      <c r="AC37" s="100"/>
      <c r="AD37" s="100"/>
      <c r="AE37" s="100"/>
      <c r="AF37" s="26"/>
      <c r="AG37" s="26"/>
    </row>
    <row r="38" spans="1:33" s="91" customFormat="1" ht="27.6">
      <c r="A38" s="87" t="s">
        <v>4</v>
      </c>
      <c r="B38" s="88" t="s">
        <v>5</v>
      </c>
      <c r="C38" s="88" t="s">
        <v>24</v>
      </c>
      <c r="D38" s="88" t="s">
        <v>46</v>
      </c>
      <c r="E38" s="88" t="s">
        <v>67</v>
      </c>
      <c r="F38" s="88" t="s">
        <v>6</v>
      </c>
      <c r="G38" s="88" t="s">
        <v>7</v>
      </c>
      <c r="H38" s="116" t="s">
        <v>8</v>
      </c>
      <c r="I38" s="116" t="s">
        <v>47</v>
      </c>
      <c r="J38" s="116" t="s">
        <v>9</v>
      </c>
      <c r="K38" s="116" t="s">
        <v>14</v>
      </c>
      <c r="L38" s="89" t="s">
        <v>20</v>
      </c>
      <c r="M38" s="89" t="s">
        <v>23</v>
      </c>
      <c r="N38" s="89" t="s">
        <v>21</v>
      </c>
      <c r="O38" s="136" t="s">
        <v>10</v>
      </c>
      <c r="P38" s="90" t="s">
        <v>49</v>
      </c>
      <c r="Q38" s="45" t="s">
        <v>50</v>
      </c>
      <c r="R38" s="45" t="s">
        <v>55</v>
      </c>
      <c r="S38" s="45" t="s">
        <v>70</v>
      </c>
      <c r="T38" s="45" t="s">
        <v>13</v>
      </c>
      <c r="U38" s="45" t="s">
        <v>52</v>
      </c>
      <c r="V38" s="45" t="s">
        <v>48</v>
      </c>
      <c r="W38" s="45" t="s">
        <v>15</v>
      </c>
      <c r="X38" s="50" t="s">
        <v>12</v>
      </c>
      <c r="Y38" s="160" t="s">
        <v>22</v>
      </c>
      <c r="Z38" s="50" t="s">
        <v>68</v>
      </c>
      <c r="AA38" s="100"/>
      <c r="AB38" s="100"/>
      <c r="AC38" s="100"/>
      <c r="AD38" s="100"/>
      <c r="AE38" s="100"/>
      <c r="AF38" s="26"/>
      <c r="AG38" s="26"/>
    </row>
    <row r="39" spans="1:33" s="26" customFormat="1" ht="27.6">
      <c r="A39" s="94" t="s">
        <v>117</v>
      </c>
      <c r="B39" s="93" t="s">
        <v>118</v>
      </c>
      <c r="C39" s="93" t="s">
        <v>120</v>
      </c>
      <c r="D39" s="93">
        <v>148631</v>
      </c>
      <c r="E39" s="93">
        <v>102</v>
      </c>
      <c r="F39" s="93" t="s">
        <v>110</v>
      </c>
      <c r="G39" s="95">
        <v>1</v>
      </c>
      <c r="H39" s="117">
        <v>7.8</v>
      </c>
      <c r="I39" s="117">
        <v>0.11</v>
      </c>
      <c r="J39" s="117">
        <v>0.24</v>
      </c>
      <c r="K39" s="118">
        <f t="shared" ref="K39:K41" si="42">H39-I39-J39</f>
        <v>7.4499999999999993</v>
      </c>
      <c r="L39" s="97">
        <v>2.2999999999999998</v>
      </c>
      <c r="M39" s="97" t="s">
        <v>63</v>
      </c>
      <c r="N39" s="98">
        <v>11</v>
      </c>
      <c r="O39" s="137">
        <v>12</v>
      </c>
      <c r="P39" s="143">
        <v>0.56000000000000005</v>
      </c>
      <c r="Q39" s="35"/>
      <c r="R39" s="35"/>
      <c r="S39" s="35">
        <f t="shared" ref="S39:S41" si="43">0.02*N39*G39</f>
        <v>0.22</v>
      </c>
      <c r="T39" s="35">
        <f>4.45*G39</f>
        <v>4.45</v>
      </c>
      <c r="U39" s="35">
        <f t="shared" ref="U39:U41" si="44">IF(RIGHT(F39,2)="WG",K39*$AB$4,IF(RIGHT(F39,3)="WRG",K39*$AB$4+3*G39,IF(RIGHT(F39,3)="WYG",K39*$AB$4+3*G39,IF(RIGHT(F39,3)="WYR",K39*$AB$4+3*G39,0))))</f>
        <v>4.7880000000000003</v>
      </c>
      <c r="V39" s="35"/>
      <c r="W39" s="35">
        <f>G39*N39*0.3</f>
        <v>3.3</v>
      </c>
      <c r="X39" s="35">
        <f t="shared" ref="X39:X41" si="45">K39*O39</f>
        <v>89.399999999999991</v>
      </c>
      <c r="Y39" s="35">
        <f>($Y$37/31.1035*IF(LEFT(F39,3)="10K",(0.417*1.07*K39),IF(LEFT(F39,3)="14K",(0.585*1.05*K39),IF(LEFT(F39,3)="18K",(0.75*1.05*K39),0))))*0.5</f>
        <v>241.14287908213703</v>
      </c>
      <c r="Z39" s="83">
        <f>($Z$37/31.1035*IF(LEFT(F39,3)="10K",(0.417*1.07*K39),IF(LEFT(F39,3)="14K",(0.585*1.05*K39),IF(LEFT(F39,3)="18K",(0.75*1.05*K39),0))))*0.5</f>
        <v>241.14287908213703</v>
      </c>
      <c r="AA39" s="100">
        <f t="shared" si="11"/>
        <v>14.899999999999999</v>
      </c>
      <c r="AB39" s="100">
        <f t="shared" si="12"/>
        <v>87.257999999999981</v>
      </c>
      <c r="AC39" s="100">
        <f t="shared" si="13"/>
        <v>525.44848765088568</v>
      </c>
      <c r="AD39" s="100">
        <f t="shared" si="14"/>
        <v>612.70648765088572</v>
      </c>
      <c r="AE39" s="100">
        <f t="shared" si="15"/>
        <v>4.5761624999999997</v>
      </c>
      <c r="AG39" s="26">
        <f t="shared" si="16"/>
        <v>89.399999999999991</v>
      </c>
    </row>
    <row r="40" spans="1:33" s="26" customFormat="1" ht="27.6">
      <c r="A40" s="94">
        <v>2</v>
      </c>
      <c r="B40" s="96" t="s">
        <v>97</v>
      </c>
      <c r="C40" s="93" t="s">
        <v>98</v>
      </c>
      <c r="D40" s="93">
        <v>148631</v>
      </c>
      <c r="E40" s="93">
        <v>103</v>
      </c>
      <c r="F40" s="93" t="s">
        <v>74</v>
      </c>
      <c r="G40" s="95">
        <v>5</v>
      </c>
      <c r="H40" s="117">
        <v>33.49</v>
      </c>
      <c r="I40" s="117">
        <v>0.15</v>
      </c>
      <c r="J40" s="117">
        <v>1.6</v>
      </c>
      <c r="K40" s="118">
        <f t="shared" si="42"/>
        <v>31.740000000000002</v>
      </c>
      <c r="L40" s="97">
        <v>1.5</v>
      </c>
      <c r="M40" s="97" t="s">
        <v>63</v>
      </c>
      <c r="N40" s="98">
        <v>13</v>
      </c>
      <c r="O40" s="137">
        <v>9.5</v>
      </c>
      <c r="P40" s="143">
        <v>0.8</v>
      </c>
      <c r="Q40" s="35"/>
      <c r="R40" s="35"/>
      <c r="S40" s="35">
        <f t="shared" si="43"/>
        <v>1.3</v>
      </c>
      <c r="T40" s="35">
        <f>2.3*G40</f>
        <v>11.5</v>
      </c>
      <c r="U40" s="35">
        <f t="shared" si="44"/>
        <v>0</v>
      </c>
      <c r="V40" s="35"/>
      <c r="W40" s="35">
        <f t="shared" ref="W40:W41" si="46">G40*N40*0.3</f>
        <v>19.5</v>
      </c>
      <c r="X40" s="35">
        <f t="shared" si="45"/>
        <v>301.53000000000003</v>
      </c>
      <c r="Y40" s="35">
        <f t="shared" ref="Y40:Y41" si="47">($Y$37/31.1035*IF(LEFT(F40,3)="10K",(0.417*1.07*K40),IF(LEFT(F40,3)="14K",(0.585*1.05*K40),IF(LEFT(F40,3)="18K",(0.75*1.05*K40),0))))*0.5</f>
        <v>1027.3657694049705</v>
      </c>
      <c r="Z40" s="83">
        <f t="shared" ref="Z40:Z41" si="48">($Z$37/31.1035*IF(LEFT(F40,3)="10K",(0.417*1.07*K40),IF(LEFT(F40,3)="14K",(0.585*1.05*K40),IF(LEFT(F40,3)="18K",(0.75*1.05*K40),0))))*0.5</f>
        <v>1027.3657694049705</v>
      </c>
      <c r="AA40" s="100">
        <f t="shared" si="11"/>
        <v>63.480000000000004</v>
      </c>
      <c r="AB40" s="100">
        <f t="shared" si="12"/>
        <v>270.35000000000002</v>
      </c>
      <c r="AC40" s="100">
        <f t="shared" si="13"/>
        <v>1683.6829366441225</v>
      </c>
      <c r="AD40" s="100">
        <f t="shared" si="14"/>
        <v>1954.0329366441224</v>
      </c>
      <c r="AE40" s="100">
        <f t="shared" si="15"/>
        <v>19.496295</v>
      </c>
      <c r="AG40" s="26">
        <f t="shared" si="16"/>
        <v>301.53000000000003</v>
      </c>
    </row>
    <row r="41" spans="1:33" s="26" customFormat="1" ht="28.2" thickBot="1">
      <c r="A41" s="94">
        <v>3</v>
      </c>
      <c r="B41" s="93" t="s">
        <v>119</v>
      </c>
      <c r="C41" s="93" t="s">
        <v>121</v>
      </c>
      <c r="D41" s="93">
        <v>148631</v>
      </c>
      <c r="E41" s="93">
        <v>104</v>
      </c>
      <c r="F41" s="93" t="s">
        <v>73</v>
      </c>
      <c r="G41" s="95">
        <v>1</v>
      </c>
      <c r="H41" s="117">
        <v>6.51</v>
      </c>
      <c r="I41" s="117">
        <v>0.19</v>
      </c>
      <c r="J41" s="117">
        <v>0.32</v>
      </c>
      <c r="K41" s="118">
        <f t="shared" si="42"/>
        <v>5.9999999999999991</v>
      </c>
      <c r="L41" s="97">
        <v>1.8</v>
      </c>
      <c r="M41" s="97" t="s">
        <v>63</v>
      </c>
      <c r="N41" s="98">
        <v>39</v>
      </c>
      <c r="O41" s="137">
        <v>11</v>
      </c>
      <c r="P41" s="143">
        <v>0.94</v>
      </c>
      <c r="Q41" s="35"/>
      <c r="R41" s="35"/>
      <c r="S41" s="35">
        <f t="shared" si="43"/>
        <v>0.78</v>
      </c>
      <c r="T41" s="35">
        <f t="shared" ref="T41" si="49">2.3*G41</f>
        <v>2.2999999999999998</v>
      </c>
      <c r="U41" s="35">
        <f t="shared" si="44"/>
        <v>1.4399999999999997</v>
      </c>
      <c r="V41" s="35"/>
      <c r="W41" s="35">
        <f t="shared" si="46"/>
        <v>11.7</v>
      </c>
      <c r="X41" s="35">
        <f t="shared" si="45"/>
        <v>65.999999999999986</v>
      </c>
      <c r="Y41" s="35">
        <f t="shared" si="47"/>
        <v>194.20903013326469</v>
      </c>
      <c r="Z41" s="83">
        <f t="shared" si="48"/>
        <v>194.20903013326469</v>
      </c>
      <c r="AA41" s="100">
        <f t="shared" si="11"/>
        <v>11.999999999999998</v>
      </c>
      <c r="AB41" s="100">
        <f t="shared" si="12"/>
        <v>70.219999999999985</v>
      </c>
      <c r="AC41" s="100">
        <f t="shared" si="13"/>
        <v>594.29689355684377</v>
      </c>
      <c r="AD41" s="100">
        <f t="shared" si="14"/>
        <v>664.5168935568438</v>
      </c>
      <c r="AE41" s="100">
        <f t="shared" si="15"/>
        <v>3.6854999999999993</v>
      </c>
      <c r="AG41" s="26">
        <f t="shared" si="16"/>
        <v>65.999999999999986</v>
      </c>
    </row>
    <row r="42" spans="1:33" s="27" customFormat="1" ht="15.9" customHeight="1">
      <c r="A42" s="86" t="s">
        <v>66</v>
      </c>
      <c r="B42" s="63"/>
      <c r="C42" s="63"/>
      <c r="D42" s="63"/>
      <c r="E42" s="63"/>
      <c r="F42" s="63"/>
      <c r="G42" s="64">
        <f>SUM(G39:G41)</f>
        <v>7</v>
      </c>
      <c r="H42" s="119"/>
      <c r="I42" s="119"/>
      <c r="J42" s="119"/>
      <c r="K42" s="119">
        <f>SUM(K39:K41)</f>
        <v>45.19</v>
      </c>
      <c r="L42" s="65"/>
      <c r="M42" s="65"/>
      <c r="N42" s="65"/>
      <c r="O42" s="138"/>
      <c r="P42" s="101">
        <f>SUM(P39:P41)</f>
        <v>2.2999999999999998</v>
      </c>
      <c r="Q42" s="66">
        <f>SUM(Q39:Q41)</f>
        <v>0</v>
      </c>
      <c r="R42" s="66">
        <f>SUM(R39:R41)</f>
        <v>0</v>
      </c>
      <c r="S42" s="66">
        <f>SUM(S39:S41)</f>
        <v>2.2999999999999998</v>
      </c>
      <c r="T42" s="66">
        <f>SUM(T39:T41)</f>
        <v>18.25</v>
      </c>
      <c r="U42" s="66">
        <f>SUM(U39:U41)</f>
        <v>6.2279999999999998</v>
      </c>
      <c r="V42" s="66">
        <f>SUM(V39:V41)</f>
        <v>0</v>
      </c>
      <c r="W42" s="66">
        <f>SUM(W39:W41)</f>
        <v>34.5</v>
      </c>
      <c r="X42" s="66">
        <f>SUM(X39:X41)</f>
        <v>456.93</v>
      </c>
      <c r="Y42" s="66">
        <f>SUM(Y39:Y41)</f>
        <v>1462.7176786203722</v>
      </c>
      <c r="Z42" s="84">
        <f>SUM(Z39:Z41)</f>
        <v>1462.7176786203722</v>
      </c>
      <c r="AA42" s="100"/>
      <c r="AB42" s="100"/>
      <c r="AC42" s="100"/>
      <c r="AD42" s="100"/>
      <c r="AE42" s="100"/>
      <c r="AF42" s="26"/>
      <c r="AG42" s="26"/>
    </row>
    <row r="43" spans="1:33" ht="15.9" customHeight="1">
      <c r="A43" s="52" t="s">
        <v>64</v>
      </c>
      <c r="K43" s="115"/>
      <c r="L43" s="48"/>
      <c r="M43" s="48"/>
      <c r="N43" s="48"/>
      <c r="W43" s="49"/>
      <c r="X43" s="80" t="s">
        <v>116</v>
      </c>
      <c r="Y43" s="92">
        <f>3213.75*1.02</f>
        <v>3278.0250000000001</v>
      </c>
      <c r="Z43" s="92">
        <f>3213.75*1.02</f>
        <v>3278.0250000000001</v>
      </c>
      <c r="AA43" s="100"/>
      <c r="AB43" s="100"/>
      <c r="AC43" s="100"/>
      <c r="AD43" s="100"/>
      <c r="AE43" s="100"/>
      <c r="AF43" s="26"/>
      <c r="AG43" s="26"/>
    </row>
    <row r="44" spans="1:33" s="91" customFormat="1" ht="27.6">
      <c r="A44" s="87" t="s">
        <v>4</v>
      </c>
      <c r="B44" s="88" t="s">
        <v>5</v>
      </c>
      <c r="C44" s="88" t="s">
        <v>24</v>
      </c>
      <c r="D44" s="88" t="s">
        <v>46</v>
      </c>
      <c r="E44" s="88" t="s">
        <v>67</v>
      </c>
      <c r="F44" s="88" t="s">
        <v>6</v>
      </c>
      <c r="G44" s="88" t="s">
        <v>7</v>
      </c>
      <c r="H44" s="116" t="s">
        <v>8</v>
      </c>
      <c r="I44" s="116" t="s">
        <v>47</v>
      </c>
      <c r="J44" s="116" t="s">
        <v>9</v>
      </c>
      <c r="K44" s="116" t="s">
        <v>14</v>
      </c>
      <c r="L44" s="89" t="s">
        <v>20</v>
      </c>
      <c r="M44" s="89" t="s">
        <v>23</v>
      </c>
      <c r="N44" s="89" t="s">
        <v>21</v>
      </c>
      <c r="O44" s="136" t="s">
        <v>10</v>
      </c>
      <c r="P44" s="90" t="s">
        <v>49</v>
      </c>
      <c r="Q44" s="45" t="s">
        <v>50</v>
      </c>
      <c r="R44" s="45" t="s">
        <v>55</v>
      </c>
      <c r="S44" s="45" t="s">
        <v>70</v>
      </c>
      <c r="T44" s="45" t="s">
        <v>13</v>
      </c>
      <c r="U44" s="45" t="s">
        <v>52</v>
      </c>
      <c r="V44" s="45" t="s">
        <v>48</v>
      </c>
      <c r="W44" s="45" t="s">
        <v>15</v>
      </c>
      <c r="X44" s="50" t="s">
        <v>12</v>
      </c>
      <c r="Y44" s="160" t="s">
        <v>22</v>
      </c>
      <c r="Z44" s="50" t="s">
        <v>68</v>
      </c>
      <c r="AA44" s="100"/>
      <c r="AB44" s="100"/>
      <c r="AC44" s="100"/>
      <c r="AD44" s="100"/>
      <c r="AE44" s="100"/>
      <c r="AF44" s="26"/>
      <c r="AG44" s="26"/>
    </row>
    <row r="45" spans="1:33" s="26" customFormat="1" ht="129" customHeight="1" thickBot="1">
      <c r="A45" s="94" t="s">
        <v>122</v>
      </c>
      <c r="B45" s="93" t="s">
        <v>77</v>
      </c>
      <c r="C45" s="93" t="s">
        <v>78</v>
      </c>
      <c r="D45" s="93">
        <v>148631</v>
      </c>
      <c r="E45" s="93">
        <v>101</v>
      </c>
      <c r="F45" s="93" t="s">
        <v>74</v>
      </c>
      <c r="G45" s="95">
        <v>1</v>
      </c>
      <c r="H45" s="117">
        <v>4.67</v>
      </c>
      <c r="I45" s="117">
        <v>0.15</v>
      </c>
      <c r="J45" s="117">
        <v>0.26</v>
      </c>
      <c r="K45" s="118">
        <f>H45-I45-J45</f>
        <v>4.26</v>
      </c>
      <c r="L45" s="97" t="s">
        <v>123</v>
      </c>
      <c r="M45" s="97" t="s">
        <v>80</v>
      </c>
      <c r="N45" s="98" t="s">
        <v>81</v>
      </c>
      <c r="O45" s="137">
        <v>14</v>
      </c>
      <c r="P45" s="143">
        <v>0.19</v>
      </c>
      <c r="Q45" s="35"/>
      <c r="R45" s="35"/>
      <c r="S45" s="35">
        <f>0.02*(18+8+10)*G45</f>
        <v>0.72</v>
      </c>
      <c r="T45" s="35">
        <f>3*G45</f>
        <v>3</v>
      </c>
      <c r="U45" s="35">
        <f t="shared" ref="U45" si="50">IF(RIGHT(F45,2)="WG",K45*$AB$4,IF(RIGHT(F45,3)="WRG",K45*$AB$4+3*G45,IF(RIGHT(F45,3)="WYG",K45*$AB$4+3*G45,IF(RIGHT(F45,3)="WYR",K45*$AB$4+3*G45,0))))</f>
        <v>0</v>
      </c>
      <c r="V45" s="35">
        <f>(50*1+70*1)*G45</f>
        <v>120</v>
      </c>
      <c r="W45" s="35">
        <f>G45*(18+8+10)*0.3</f>
        <v>10.799999999999999</v>
      </c>
      <c r="X45" s="35">
        <f t="shared" ref="X45" si="51">K45*O45</f>
        <v>59.64</v>
      </c>
      <c r="Y45" s="35">
        <f>($Y$43/31.1035*IF(LEFT(F45,3)="10K",(0.417*1.07*K45),IF(LEFT(F45,3)="14K",(0.585*1.05*K45),IF(LEFT(F45,3)="18K",(0.75*1.05*K45),0))))*0.5</f>
        <v>137.88841139461795</v>
      </c>
      <c r="Z45" s="83">
        <f>($Z$43/31.1035*IF(LEFT(F45,3)="10K",(0.417*1.07*K45),IF(LEFT(F45,3)="14K",(0.585*1.05*K45),IF(LEFT(F45,3)="18K",(0.75*1.05*K45),0))))*0.5</f>
        <v>137.88841139461795</v>
      </c>
      <c r="AA45" s="100">
        <f t="shared" si="11"/>
        <v>8.52</v>
      </c>
      <c r="AB45" s="100">
        <f t="shared" si="12"/>
        <v>185.64000000000001</v>
      </c>
      <c r="AC45" s="100">
        <f t="shared" si="13"/>
        <v>254.89081295297905</v>
      </c>
      <c r="AD45" s="100">
        <f t="shared" si="14"/>
        <v>440.53081295297909</v>
      </c>
      <c r="AE45" s="100">
        <f t="shared" si="15"/>
        <v>2.6167049999999996</v>
      </c>
      <c r="AG45" s="26">
        <f t="shared" si="16"/>
        <v>59.64</v>
      </c>
    </row>
    <row r="46" spans="1:33" s="27" customFormat="1" ht="15.9" customHeight="1">
      <c r="A46" s="86" t="s">
        <v>66</v>
      </c>
      <c r="B46" s="63"/>
      <c r="C46" s="63"/>
      <c r="D46" s="63"/>
      <c r="E46" s="63"/>
      <c r="F46" s="63"/>
      <c r="G46" s="64">
        <f>SUM(G45:G45)</f>
        <v>1</v>
      </c>
      <c r="H46" s="119"/>
      <c r="I46" s="119"/>
      <c r="J46" s="119"/>
      <c r="K46" s="119">
        <f>SUM(K45:K45)</f>
        <v>4.26</v>
      </c>
      <c r="L46" s="65"/>
      <c r="M46" s="65"/>
      <c r="N46" s="65"/>
      <c r="O46" s="138"/>
      <c r="P46" s="101">
        <f t="shared" ref="P46:Z46" si="52">SUM(P45:P45)</f>
        <v>0.19</v>
      </c>
      <c r="Q46" s="66">
        <f t="shared" si="52"/>
        <v>0</v>
      </c>
      <c r="R46" s="66">
        <f t="shared" si="52"/>
        <v>0</v>
      </c>
      <c r="S46" s="66">
        <f t="shared" si="52"/>
        <v>0.72</v>
      </c>
      <c r="T46" s="66">
        <f t="shared" si="52"/>
        <v>3</v>
      </c>
      <c r="U46" s="66">
        <f t="shared" si="52"/>
        <v>0</v>
      </c>
      <c r="V46" s="66">
        <f t="shared" si="52"/>
        <v>120</v>
      </c>
      <c r="W46" s="66">
        <f t="shared" si="52"/>
        <v>10.799999999999999</v>
      </c>
      <c r="X46" s="66">
        <f t="shared" si="52"/>
        <v>59.64</v>
      </c>
      <c r="Y46" s="66">
        <f t="shared" si="52"/>
        <v>137.88841139461795</v>
      </c>
      <c r="Z46" s="84">
        <f t="shared" si="52"/>
        <v>137.88841139461795</v>
      </c>
      <c r="AA46" s="100"/>
      <c r="AB46" s="100"/>
      <c r="AC46" s="100"/>
      <c r="AD46" s="100"/>
      <c r="AE46" s="100"/>
      <c r="AF46" s="26"/>
      <c r="AG46" s="26"/>
    </row>
    <row r="47" spans="1:33" ht="15.9" customHeight="1">
      <c r="A47" s="52" t="s">
        <v>64</v>
      </c>
      <c r="K47" s="115"/>
      <c r="L47" s="48"/>
      <c r="M47" s="48"/>
      <c r="N47" s="48"/>
      <c r="W47" s="49"/>
      <c r="X47" s="80" t="s">
        <v>124</v>
      </c>
      <c r="Y47" s="92">
        <f>3332.85*1.02</f>
        <v>3399.5070000000001</v>
      </c>
      <c r="Z47" s="92">
        <f>3332.85*1.02</f>
        <v>3399.5070000000001</v>
      </c>
      <c r="AA47" s="100"/>
      <c r="AB47" s="100"/>
      <c r="AC47" s="100"/>
      <c r="AD47" s="100"/>
      <c r="AE47" s="100"/>
      <c r="AF47" s="26"/>
      <c r="AG47" s="26"/>
    </row>
    <row r="48" spans="1:33" s="91" customFormat="1" ht="27.6">
      <c r="A48" s="87" t="s">
        <v>4</v>
      </c>
      <c r="B48" s="88" t="s">
        <v>5</v>
      </c>
      <c r="C48" s="88" t="s">
        <v>24</v>
      </c>
      <c r="D48" s="88" t="s">
        <v>46</v>
      </c>
      <c r="E48" s="88" t="s">
        <v>67</v>
      </c>
      <c r="F48" s="88" t="s">
        <v>6</v>
      </c>
      <c r="G48" s="88" t="s">
        <v>7</v>
      </c>
      <c r="H48" s="116" t="s">
        <v>8</v>
      </c>
      <c r="I48" s="116" t="s">
        <v>47</v>
      </c>
      <c r="J48" s="116" t="s">
        <v>9</v>
      </c>
      <c r="K48" s="116" t="s">
        <v>14</v>
      </c>
      <c r="L48" s="89" t="s">
        <v>20</v>
      </c>
      <c r="M48" s="89" t="s">
        <v>23</v>
      </c>
      <c r="N48" s="89" t="s">
        <v>21</v>
      </c>
      <c r="O48" s="136" t="s">
        <v>10</v>
      </c>
      <c r="P48" s="90" t="s">
        <v>49</v>
      </c>
      <c r="Q48" s="45" t="s">
        <v>50</v>
      </c>
      <c r="R48" s="45" t="s">
        <v>55</v>
      </c>
      <c r="S48" s="45" t="s">
        <v>70</v>
      </c>
      <c r="T48" s="45" t="s">
        <v>13</v>
      </c>
      <c r="U48" s="45" t="s">
        <v>52</v>
      </c>
      <c r="V48" s="45" t="s">
        <v>48</v>
      </c>
      <c r="W48" s="45" t="s">
        <v>15</v>
      </c>
      <c r="X48" s="50" t="s">
        <v>12</v>
      </c>
      <c r="Y48" s="160" t="s">
        <v>22</v>
      </c>
      <c r="Z48" s="50" t="s">
        <v>68</v>
      </c>
      <c r="AA48" s="100"/>
      <c r="AB48" s="100"/>
      <c r="AC48" s="100"/>
      <c r="AD48" s="100"/>
      <c r="AE48" s="100"/>
      <c r="AF48" s="26"/>
      <c r="AG48" s="26"/>
    </row>
    <row r="49" spans="1:33" s="26" customFormat="1" ht="28.2" thickBot="1">
      <c r="A49" s="94" t="s">
        <v>125</v>
      </c>
      <c r="B49" s="93" t="s">
        <v>126</v>
      </c>
      <c r="C49" s="93" t="s">
        <v>127</v>
      </c>
      <c r="D49" s="93">
        <v>148734</v>
      </c>
      <c r="E49" s="93"/>
      <c r="F49" s="93" t="s">
        <v>74</v>
      </c>
      <c r="G49" s="95">
        <v>1</v>
      </c>
      <c r="H49" s="117">
        <v>5.27</v>
      </c>
      <c r="I49" s="117">
        <v>0.09</v>
      </c>
      <c r="J49" s="117">
        <v>0.38</v>
      </c>
      <c r="K49" s="118">
        <f t="shared" ref="K49" si="53">H49-I49-J49</f>
        <v>4.8</v>
      </c>
      <c r="L49" s="97" t="s">
        <v>128</v>
      </c>
      <c r="M49" s="97" t="s">
        <v>75</v>
      </c>
      <c r="N49" s="98" t="s">
        <v>129</v>
      </c>
      <c r="O49" s="137">
        <f>9+2</f>
        <v>11</v>
      </c>
      <c r="P49" s="143">
        <v>0.435</v>
      </c>
      <c r="Q49" s="35"/>
      <c r="R49" s="35"/>
      <c r="S49" s="35">
        <f>0.02*(16+12)*G49</f>
        <v>0.56000000000000005</v>
      </c>
      <c r="T49" s="35">
        <f>2.3*G49</f>
        <v>2.2999999999999998</v>
      </c>
      <c r="U49" s="35">
        <f t="shared" ref="U49" si="54">IF(RIGHT(F49,2)="WG",K49*$AB$4,IF(RIGHT(F49,3)="WRG",K49*$AB$4+3*G49,IF(RIGHT(F49,3)="WYG",K49*$AB$4+3*G49,IF(RIGHT(F49,3)="WYR",K49*$AB$4+3*G49,0))))</f>
        <v>0</v>
      </c>
      <c r="V49" s="35"/>
      <c r="W49" s="35">
        <f>G49*(16+12)*0.6</f>
        <v>16.8</v>
      </c>
      <c r="X49" s="35">
        <f t="shared" ref="X49" si="55">K49*O49</f>
        <v>52.8</v>
      </c>
      <c r="Y49" s="35">
        <f>($Y$47/31.1035*IF(LEFT(F49,3)="10K",(0.417*1.07*K49),IF(LEFT(F49,3)="14K",(0.585*1.05*K49),IF(LEFT(F49,3)="18K",(0.75*1.05*K49),0))))*0.5</f>
        <v>161.12505728937256</v>
      </c>
      <c r="Z49" s="83">
        <f>($Z$47/31.1035*IF(LEFT(F49,3)="10K",(0.417*1.07*K49),IF(LEFT(F49,3)="14K",(0.585*1.05*K49),IF(LEFT(F49,3)="18K",(0.75*1.05*K49),0))))*0.5</f>
        <v>161.12505728937256</v>
      </c>
      <c r="AA49" s="100">
        <f t="shared" si="11"/>
        <v>9.6</v>
      </c>
      <c r="AB49" s="100">
        <f t="shared" si="12"/>
        <v>62.859999999999992</v>
      </c>
      <c r="AC49" s="100">
        <f t="shared" si="13"/>
        <v>364.50744755024152</v>
      </c>
      <c r="AD49" s="100">
        <f t="shared" si="14"/>
        <v>427.36744755024154</v>
      </c>
      <c r="AE49" s="100">
        <f t="shared" si="15"/>
        <v>2.9483999999999999</v>
      </c>
      <c r="AG49" s="26">
        <f t="shared" si="16"/>
        <v>52.8</v>
      </c>
    </row>
    <row r="50" spans="1:33" s="27" customFormat="1" ht="15.9" customHeight="1">
      <c r="A50" s="86" t="s">
        <v>66</v>
      </c>
      <c r="B50" s="63"/>
      <c r="C50" s="63"/>
      <c r="D50" s="63"/>
      <c r="E50" s="63"/>
      <c r="F50" s="63"/>
      <c r="G50" s="64">
        <f>SUM(G49:G49)</f>
        <v>1</v>
      </c>
      <c r="H50" s="119"/>
      <c r="I50" s="119"/>
      <c r="J50" s="119"/>
      <c r="K50" s="119">
        <f>SUM(K49:K49)</f>
        <v>4.8</v>
      </c>
      <c r="L50" s="65"/>
      <c r="M50" s="65"/>
      <c r="N50" s="65"/>
      <c r="O50" s="138"/>
      <c r="P50" s="101">
        <f t="shared" ref="P50:Z50" si="56">SUM(P49:P49)</f>
        <v>0.435</v>
      </c>
      <c r="Q50" s="66">
        <f t="shared" si="56"/>
        <v>0</v>
      </c>
      <c r="R50" s="66">
        <f t="shared" si="56"/>
        <v>0</v>
      </c>
      <c r="S50" s="66">
        <f t="shared" si="56"/>
        <v>0.56000000000000005</v>
      </c>
      <c r="T50" s="66">
        <f t="shared" si="56"/>
        <v>2.2999999999999998</v>
      </c>
      <c r="U50" s="66">
        <f t="shared" si="56"/>
        <v>0</v>
      </c>
      <c r="V50" s="66">
        <f t="shared" si="56"/>
        <v>0</v>
      </c>
      <c r="W50" s="66">
        <f t="shared" si="56"/>
        <v>16.8</v>
      </c>
      <c r="X50" s="66">
        <f t="shared" si="56"/>
        <v>52.8</v>
      </c>
      <c r="Y50" s="66">
        <f t="shared" si="56"/>
        <v>161.12505728937256</v>
      </c>
      <c r="Z50" s="84">
        <f t="shared" si="56"/>
        <v>161.12505728937256</v>
      </c>
      <c r="AA50" s="100"/>
      <c r="AB50" s="100"/>
      <c r="AC50" s="100"/>
      <c r="AD50" s="100"/>
      <c r="AE50" s="100"/>
      <c r="AF50" s="26"/>
      <c r="AG50" s="26"/>
    </row>
    <row r="51" spans="1:33" ht="15.9" customHeight="1">
      <c r="A51" s="52" t="s">
        <v>132</v>
      </c>
      <c r="K51" s="115"/>
      <c r="L51" s="48"/>
      <c r="M51" s="48"/>
      <c r="N51" s="48"/>
      <c r="W51" s="49"/>
      <c r="X51" s="80" t="s">
        <v>130</v>
      </c>
      <c r="Y51" s="92">
        <f>3331.05*1.02</f>
        <v>3397.6710000000003</v>
      </c>
      <c r="Z51" s="92">
        <f>3331.05*1.02</f>
        <v>3397.6710000000003</v>
      </c>
      <c r="AA51" s="100"/>
      <c r="AB51" s="100"/>
      <c r="AC51" s="100"/>
      <c r="AD51" s="100"/>
      <c r="AE51" s="100"/>
      <c r="AF51" s="26"/>
      <c r="AG51" s="26"/>
    </row>
    <row r="52" spans="1:33" s="91" customFormat="1" ht="27.6">
      <c r="A52" s="87" t="s">
        <v>4</v>
      </c>
      <c r="B52" s="88" t="s">
        <v>5</v>
      </c>
      <c r="C52" s="88" t="s">
        <v>24</v>
      </c>
      <c r="D52" s="88" t="s">
        <v>46</v>
      </c>
      <c r="E52" s="88" t="s">
        <v>67</v>
      </c>
      <c r="F52" s="88" t="s">
        <v>6</v>
      </c>
      <c r="G52" s="88" t="s">
        <v>7</v>
      </c>
      <c r="H52" s="116" t="s">
        <v>8</v>
      </c>
      <c r="I52" s="116" t="s">
        <v>47</v>
      </c>
      <c r="J52" s="116" t="s">
        <v>9</v>
      </c>
      <c r="K52" s="116" t="s">
        <v>14</v>
      </c>
      <c r="L52" s="89" t="s">
        <v>20</v>
      </c>
      <c r="M52" s="89" t="s">
        <v>23</v>
      </c>
      <c r="N52" s="89" t="s">
        <v>21</v>
      </c>
      <c r="O52" s="136" t="s">
        <v>10</v>
      </c>
      <c r="P52" s="90" t="s">
        <v>49</v>
      </c>
      <c r="Q52" s="45" t="s">
        <v>50</v>
      </c>
      <c r="R52" s="45" t="s">
        <v>55</v>
      </c>
      <c r="S52" s="45" t="s">
        <v>70</v>
      </c>
      <c r="T52" s="45" t="s">
        <v>13</v>
      </c>
      <c r="U52" s="45" t="s">
        <v>52</v>
      </c>
      <c r="V52" s="45" t="s">
        <v>48</v>
      </c>
      <c r="W52" s="45" t="s">
        <v>15</v>
      </c>
      <c r="X52" s="50" t="s">
        <v>12</v>
      </c>
      <c r="Y52" s="160" t="s">
        <v>22</v>
      </c>
      <c r="Z52" s="50" t="s">
        <v>68</v>
      </c>
      <c r="AA52" s="100"/>
      <c r="AB52" s="100"/>
      <c r="AC52" s="100"/>
      <c r="AD52" s="100"/>
      <c r="AE52" s="100"/>
      <c r="AF52" s="26"/>
      <c r="AG52" s="26"/>
    </row>
    <row r="53" spans="1:33" s="26" customFormat="1" ht="28.2" thickBot="1">
      <c r="A53" s="94" t="s">
        <v>131</v>
      </c>
      <c r="B53" s="93" t="s">
        <v>133</v>
      </c>
      <c r="C53" s="93"/>
      <c r="D53" s="93">
        <v>104369</v>
      </c>
      <c r="E53" s="93"/>
      <c r="F53" s="93" t="s">
        <v>74</v>
      </c>
      <c r="G53" s="95">
        <v>1</v>
      </c>
      <c r="H53" s="117">
        <v>5.44</v>
      </c>
      <c r="I53" s="117">
        <v>0</v>
      </c>
      <c r="J53" s="117">
        <v>0</v>
      </c>
      <c r="K53" s="118">
        <f>H53-I53-J53</f>
        <v>5.44</v>
      </c>
      <c r="L53" s="97">
        <v>2.1</v>
      </c>
      <c r="M53" s="97"/>
      <c r="N53" s="98">
        <v>50</v>
      </c>
      <c r="O53" s="137">
        <v>8.5</v>
      </c>
      <c r="P53" s="143"/>
      <c r="Q53" s="35"/>
      <c r="R53" s="35"/>
      <c r="S53" s="35"/>
      <c r="T53" s="35"/>
      <c r="U53" s="35"/>
      <c r="V53" s="35"/>
      <c r="W53" s="35"/>
      <c r="X53" s="35">
        <f t="shared" ref="X53" si="57">K53*O53</f>
        <v>46.24</v>
      </c>
      <c r="Y53" s="35">
        <f>($Y$51/31.1035*IF(LEFT(F53,3)="10K",(0.417*1.07*K53),IF(LEFT(F53,3)="14K",(0.585*1.05*K53),IF(LEFT(F53,3)="18K",(0.75*1.05*K53),0))))*0.5</f>
        <v>182.50977542591673</v>
      </c>
      <c r="Z53" s="83">
        <f>($Z$51/31.1035*IF(LEFT(F53,3)="10K",(0.417*1.07*K53),IF(LEFT(F53,3)="14K",(0.585*1.05*K53),IF(LEFT(F53,3)="18K",(0.75*1.05*K53),0))))*0.5</f>
        <v>182.50977542591673</v>
      </c>
      <c r="AA53" s="100">
        <f t="shared" si="11"/>
        <v>10.88</v>
      </c>
      <c r="AB53" s="100">
        <f t="shared" si="12"/>
        <v>35.36</v>
      </c>
      <c r="AC53" s="100">
        <f t="shared" si="13"/>
        <v>240.58944</v>
      </c>
      <c r="AD53" s="100">
        <f t="shared" si="14"/>
        <v>275.94943999999998</v>
      </c>
      <c r="AE53" s="100">
        <f t="shared" si="15"/>
        <v>3.34152</v>
      </c>
      <c r="AG53" s="26">
        <f t="shared" si="16"/>
        <v>46.24</v>
      </c>
    </row>
    <row r="54" spans="1:33" s="27" customFormat="1" ht="15.9" customHeight="1">
      <c r="A54" s="86" t="s">
        <v>66</v>
      </c>
      <c r="B54" s="63"/>
      <c r="C54" s="63"/>
      <c r="D54" s="63"/>
      <c r="E54" s="63"/>
      <c r="F54" s="63"/>
      <c r="G54" s="64">
        <f>SUM(G53:G53)</f>
        <v>1</v>
      </c>
      <c r="H54" s="119"/>
      <c r="I54" s="119"/>
      <c r="J54" s="119"/>
      <c r="K54" s="119">
        <f>SUM(K53:K53)</f>
        <v>5.44</v>
      </c>
      <c r="L54" s="65"/>
      <c r="M54" s="65"/>
      <c r="N54" s="65"/>
      <c r="O54" s="138"/>
      <c r="P54" s="101">
        <f t="shared" ref="P54:Z54" si="58">SUM(P53:P53)</f>
        <v>0</v>
      </c>
      <c r="Q54" s="66">
        <f t="shared" si="58"/>
        <v>0</v>
      </c>
      <c r="R54" s="66">
        <f t="shared" si="58"/>
        <v>0</v>
      </c>
      <c r="S54" s="66">
        <f t="shared" si="58"/>
        <v>0</v>
      </c>
      <c r="T54" s="66">
        <f t="shared" si="58"/>
        <v>0</v>
      </c>
      <c r="U54" s="66">
        <f t="shared" si="58"/>
        <v>0</v>
      </c>
      <c r="V54" s="66">
        <f t="shared" si="58"/>
        <v>0</v>
      </c>
      <c r="W54" s="66">
        <f t="shared" si="58"/>
        <v>0</v>
      </c>
      <c r="X54" s="66">
        <f t="shared" si="58"/>
        <v>46.24</v>
      </c>
      <c r="Y54" s="66">
        <f t="shared" si="58"/>
        <v>182.50977542591673</v>
      </c>
      <c r="Z54" s="84">
        <f t="shared" si="58"/>
        <v>182.50977542591673</v>
      </c>
      <c r="AA54" s="100"/>
      <c r="AB54" s="100"/>
      <c r="AC54" s="100"/>
      <c r="AD54" s="100"/>
      <c r="AE54" s="100"/>
      <c r="AF54" s="26"/>
      <c r="AG54" s="26"/>
    </row>
    <row r="55" spans="1:33" ht="15.9" customHeight="1">
      <c r="A55" s="52" t="s">
        <v>132</v>
      </c>
      <c r="K55" s="115"/>
      <c r="L55" s="48"/>
      <c r="M55" s="48"/>
      <c r="N55" s="48"/>
      <c r="W55" s="49"/>
      <c r="X55" s="80" t="s">
        <v>134</v>
      </c>
      <c r="Y55" s="92">
        <f>3278.65*1.02</f>
        <v>3344.223</v>
      </c>
      <c r="Z55" s="92">
        <f>3278.65*1.02</f>
        <v>3344.223</v>
      </c>
      <c r="AA55" s="100"/>
      <c r="AB55" s="100"/>
      <c r="AC55" s="100"/>
      <c r="AD55" s="100"/>
      <c r="AE55" s="100"/>
      <c r="AF55" s="26"/>
      <c r="AG55" s="26"/>
    </row>
    <row r="56" spans="1:33" s="91" customFormat="1" ht="27.6">
      <c r="A56" s="87" t="s">
        <v>4</v>
      </c>
      <c r="B56" s="88" t="s">
        <v>5</v>
      </c>
      <c r="C56" s="88" t="s">
        <v>24</v>
      </c>
      <c r="D56" s="88" t="s">
        <v>46</v>
      </c>
      <c r="E56" s="88" t="s">
        <v>67</v>
      </c>
      <c r="F56" s="88" t="s">
        <v>6</v>
      </c>
      <c r="G56" s="88" t="s">
        <v>7</v>
      </c>
      <c r="H56" s="116" t="s">
        <v>8</v>
      </c>
      <c r="I56" s="116" t="s">
        <v>47</v>
      </c>
      <c r="J56" s="116" t="s">
        <v>9</v>
      </c>
      <c r="K56" s="116" t="s">
        <v>14</v>
      </c>
      <c r="L56" s="89" t="s">
        <v>20</v>
      </c>
      <c r="M56" s="89" t="s">
        <v>23</v>
      </c>
      <c r="N56" s="89" t="s">
        <v>21</v>
      </c>
      <c r="O56" s="136" t="s">
        <v>10</v>
      </c>
      <c r="P56" s="90" t="s">
        <v>49</v>
      </c>
      <c r="Q56" s="45" t="s">
        <v>50</v>
      </c>
      <c r="R56" s="45" t="s">
        <v>55</v>
      </c>
      <c r="S56" s="45" t="s">
        <v>70</v>
      </c>
      <c r="T56" s="45" t="s">
        <v>13</v>
      </c>
      <c r="U56" s="45" t="s">
        <v>52</v>
      </c>
      <c r="V56" s="45" t="s">
        <v>48</v>
      </c>
      <c r="W56" s="45" t="s">
        <v>15</v>
      </c>
      <c r="X56" s="50" t="s">
        <v>12</v>
      </c>
      <c r="Y56" s="160" t="s">
        <v>22</v>
      </c>
      <c r="Z56" s="50" t="s">
        <v>68</v>
      </c>
      <c r="AA56" s="100"/>
      <c r="AB56" s="100"/>
      <c r="AC56" s="100"/>
      <c r="AD56" s="100"/>
      <c r="AE56" s="100"/>
      <c r="AF56" s="26"/>
      <c r="AG56" s="26"/>
    </row>
    <row r="57" spans="1:33" s="26" customFormat="1" ht="28.2" thickBot="1">
      <c r="A57" s="94" t="s">
        <v>135</v>
      </c>
      <c r="B57" s="93" t="s">
        <v>136</v>
      </c>
      <c r="C57" s="93"/>
      <c r="D57" s="93">
        <v>104364</v>
      </c>
      <c r="E57" s="93"/>
      <c r="F57" s="93" t="s">
        <v>74</v>
      </c>
      <c r="G57" s="95">
        <v>1</v>
      </c>
      <c r="H57" s="117">
        <v>4.3099999999999996</v>
      </c>
      <c r="I57" s="117">
        <v>0</v>
      </c>
      <c r="J57" s="117">
        <v>0</v>
      </c>
      <c r="K57" s="118">
        <f t="shared" ref="K57" si="59">H57-I57-J57</f>
        <v>4.3099999999999996</v>
      </c>
      <c r="L57" s="97">
        <v>1.75</v>
      </c>
      <c r="M57" s="97"/>
      <c r="N57" s="98">
        <v>48</v>
      </c>
      <c r="O57" s="137">
        <v>8.5</v>
      </c>
      <c r="P57" s="143"/>
      <c r="Q57" s="35"/>
      <c r="R57" s="35"/>
      <c r="S57" s="35"/>
      <c r="T57" s="35"/>
      <c r="U57" s="35"/>
      <c r="V57" s="35"/>
      <c r="W57" s="35"/>
      <c r="X57" s="35">
        <f t="shared" ref="X57" si="60">K57*O57</f>
        <v>36.634999999999998</v>
      </c>
      <c r="Y57" s="35">
        <f>($Y$55/31.1035*IF(LEFT(F57,3)="10K",(0.417*1.07*K57),IF(LEFT(F57,3)="14K",(0.585*1.05*K57),IF(LEFT(F57,3)="18K",(0.75*1.05*K57),0))))*0.5</f>
        <v>142.32408722655808</v>
      </c>
      <c r="Z57" s="83">
        <f>($Z$55/31.1035*IF(LEFT(F57,3)="10K",(0.417*1.07*K57),IF(LEFT(F57,3)="14K",(0.585*1.05*K57),IF(LEFT(F57,3)="18K",(0.75*1.05*K57),0))))*0.5</f>
        <v>142.32408722655808</v>
      </c>
      <c r="AA57" s="100">
        <f t="shared" si="11"/>
        <v>8.6199999999999992</v>
      </c>
      <c r="AB57" s="100">
        <f t="shared" si="12"/>
        <v>28.015000000000001</v>
      </c>
      <c r="AC57" s="100">
        <f t="shared" si="13"/>
        <v>190.61405999999997</v>
      </c>
      <c r="AD57" s="100">
        <f t="shared" si="14"/>
        <v>218.62905999999998</v>
      </c>
      <c r="AE57" s="100">
        <f t="shared" si="15"/>
        <v>2.6474174999999995</v>
      </c>
      <c r="AG57" s="26">
        <f t="shared" si="16"/>
        <v>36.634999999999998</v>
      </c>
    </row>
    <row r="58" spans="1:33" s="27" customFormat="1" ht="15.9" customHeight="1">
      <c r="A58" s="86" t="s">
        <v>66</v>
      </c>
      <c r="B58" s="63"/>
      <c r="C58" s="63"/>
      <c r="D58" s="63"/>
      <c r="E58" s="63"/>
      <c r="F58" s="63"/>
      <c r="G58" s="64">
        <f>SUM(G57:G57)</f>
        <v>1</v>
      </c>
      <c r="H58" s="119"/>
      <c r="I58" s="119"/>
      <c r="J58" s="119"/>
      <c r="K58" s="119">
        <f>SUM(K57:K57)</f>
        <v>4.3099999999999996</v>
      </c>
      <c r="L58" s="65"/>
      <c r="M58" s="65"/>
      <c r="N58" s="65"/>
      <c r="O58" s="138"/>
      <c r="P58" s="101">
        <f t="shared" ref="P58:Z58" si="61">SUM(P57:P57)</f>
        <v>0</v>
      </c>
      <c r="Q58" s="66">
        <f t="shared" si="61"/>
        <v>0</v>
      </c>
      <c r="R58" s="66">
        <f t="shared" si="61"/>
        <v>0</v>
      </c>
      <c r="S58" s="66">
        <f t="shared" si="61"/>
        <v>0</v>
      </c>
      <c r="T58" s="66">
        <f t="shared" si="61"/>
        <v>0</v>
      </c>
      <c r="U58" s="66">
        <f t="shared" si="61"/>
        <v>0</v>
      </c>
      <c r="V58" s="66">
        <f t="shared" si="61"/>
        <v>0</v>
      </c>
      <c r="W58" s="66">
        <f t="shared" si="61"/>
        <v>0</v>
      </c>
      <c r="X58" s="66">
        <f t="shared" si="61"/>
        <v>36.634999999999998</v>
      </c>
      <c r="Y58" s="66">
        <f t="shared" si="61"/>
        <v>142.32408722655808</v>
      </c>
      <c r="Z58" s="84">
        <f t="shared" si="61"/>
        <v>142.32408722655808</v>
      </c>
      <c r="AA58" s="100"/>
      <c r="AB58" s="100"/>
      <c r="AC58" s="100"/>
      <c r="AD58" s="100"/>
      <c r="AE58" s="100"/>
      <c r="AF58" s="26"/>
      <c r="AG58" s="26"/>
    </row>
    <row r="59" spans="1:33" ht="15.9" customHeight="1">
      <c r="A59" s="52" t="s">
        <v>64</v>
      </c>
      <c r="K59" s="115"/>
      <c r="L59" s="48"/>
      <c r="M59" s="48"/>
      <c r="N59" s="48"/>
      <c r="W59" s="49"/>
      <c r="X59" s="80" t="s">
        <v>137</v>
      </c>
      <c r="Y59" s="92">
        <f>2891.65*1.02</f>
        <v>2949.4830000000002</v>
      </c>
      <c r="Z59" s="92">
        <f>2891.65*1.02</f>
        <v>2949.4830000000002</v>
      </c>
      <c r="AA59" s="100"/>
      <c r="AB59" s="100"/>
      <c r="AC59" s="100"/>
      <c r="AD59" s="100"/>
      <c r="AE59" s="100"/>
      <c r="AF59" s="26"/>
      <c r="AG59" s="26"/>
    </row>
    <row r="60" spans="1:33" s="91" customFormat="1" ht="27.6">
      <c r="A60" s="87" t="s">
        <v>4</v>
      </c>
      <c r="B60" s="88" t="s">
        <v>5</v>
      </c>
      <c r="C60" s="88" t="s">
        <v>24</v>
      </c>
      <c r="D60" s="88" t="s">
        <v>46</v>
      </c>
      <c r="E60" s="88" t="s">
        <v>67</v>
      </c>
      <c r="F60" s="88" t="s">
        <v>6</v>
      </c>
      <c r="G60" s="88" t="s">
        <v>7</v>
      </c>
      <c r="H60" s="116" t="s">
        <v>8</v>
      </c>
      <c r="I60" s="116" t="s">
        <v>47</v>
      </c>
      <c r="J60" s="116" t="s">
        <v>9</v>
      </c>
      <c r="K60" s="116" t="s">
        <v>14</v>
      </c>
      <c r="L60" s="89" t="s">
        <v>20</v>
      </c>
      <c r="M60" s="89" t="s">
        <v>23</v>
      </c>
      <c r="N60" s="89" t="s">
        <v>21</v>
      </c>
      <c r="O60" s="136" t="s">
        <v>10</v>
      </c>
      <c r="P60" s="90" t="s">
        <v>49</v>
      </c>
      <c r="Q60" s="45" t="s">
        <v>50</v>
      </c>
      <c r="R60" s="45" t="s">
        <v>55</v>
      </c>
      <c r="S60" s="45" t="s">
        <v>70</v>
      </c>
      <c r="T60" s="45" t="s">
        <v>13</v>
      </c>
      <c r="U60" s="45" t="s">
        <v>52</v>
      </c>
      <c r="V60" s="45" t="s">
        <v>48</v>
      </c>
      <c r="W60" s="45" t="s">
        <v>15</v>
      </c>
      <c r="X60" s="50" t="s">
        <v>12</v>
      </c>
      <c r="Y60" s="160" t="s">
        <v>22</v>
      </c>
      <c r="Z60" s="50" t="s">
        <v>68</v>
      </c>
      <c r="AA60" s="100"/>
      <c r="AB60" s="100"/>
      <c r="AC60" s="100"/>
      <c r="AD60" s="100"/>
      <c r="AE60" s="100"/>
      <c r="AF60" s="26"/>
      <c r="AG60" s="26"/>
    </row>
    <row r="61" spans="1:33" s="26" customFormat="1" ht="55.8" thickBot="1">
      <c r="A61" s="165" t="s">
        <v>138</v>
      </c>
      <c r="B61" s="93" t="s">
        <v>139</v>
      </c>
      <c r="C61" s="93" t="s">
        <v>140</v>
      </c>
      <c r="D61" s="93">
        <v>148103</v>
      </c>
      <c r="E61" s="93">
        <v>101</v>
      </c>
      <c r="F61" s="93" t="s">
        <v>74</v>
      </c>
      <c r="G61" s="167">
        <v>1</v>
      </c>
      <c r="H61" s="168">
        <v>32.17</v>
      </c>
      <c r="I61" s="168">
        <v>1.88</v>
      </c>
      <c r="J61" s="168">
        <v>0.34</v>
      </c>
      <c r="K61" s="169">
        <f>H61-I61-J61</f>
        <v>29.950000000000003</v>
      </c>
      <c r="L61" s="97" t="s">
        <v>141</v>
      </c>
      <c r="M61" s="97" t="s">
        <v>142</v>
      </c>
      <c r="N61" s="98" t="s">
        <v>143</v>
      </c>
      <c r="O61" s="137">
        <v>15</v>
      </c>
      <c r="P61" s="143">
        <v>4.5999999999999996</v>
      </c>
      <c r="Q61" s="35">
        <f>400</f>
        <v>400</v>
      </c>
      <c r="R61" s="35"/>
      <c r="S61" s="35">
        <f>0.02*(50+260)*G61</f>
        <v>6.2</v>
      </c>
      <c r="T61" s="35">
        <f>8*G61</f>
        <v>8</v>
      </c>
      <c r="U61" s="35">
        <f t="shared" ref="U61" si="62">IF(RIGHT(F61,2)="WG",K61*$AB$4,IF(RIGHT(F61,3)="WRG",K61*$AB$4+3*G61,IF(RIGHT(F61,3)="WYG",K61*$AB$4+3*G61,IF(RIGHT(F61,3)="WYR",K61*$AB$4+3*G61,0))))</f>
        <v>0</v>
      </c>
      <c r="V61" s="35"/>
      <c r="W61" s="35">
        <f>G61*(50+260)*0.3</f>
        <v>93</v>
      </c>
      <c r="X61" s="35">
        <f t="shared" ref="X61" si="63">K61*O61</f>
        <v>449.25000000000006</v>
      </c>
      <c r="Y61" s="35">
        <f>($Y$14/31.1035*IF(LEFT(F61,3)="10K",(0.417*1.07*K61),IF(LEFT(F61,3)="14K",(0.585*1.05*K61),IF(LEFT(F61,3)="18K",(0.75*1.05*K61),0))))*0.5</f>
        <v>905.76357166838147</v>
      </c>
      <c r="Z61" s="83">
        <f>($Z$14/31.1035*IF(LEFT(F61,3)="10K",(0.417*1.07*K61),IF(LEFT(F61,3)="14K",(0.585*1.05*K61),IF(LEFT(F61,3)="18K",(0.75*1.05*K61),0))))*0.5</f>
        <v>905.76357166838147</v>
      </c>
      <c r="AA61" s="100">
        <f t="shared" si="11"/>
        <v>59.900000000000006</v>
      </c>
      <c r="AB61" s="100">
        <f t="shared" si="12"/>
        <v>896.55000000000007</v>
      </c>
      <c r="AC61" s="100">
        <f t="shared" si="13"/>
        <v>2934.2794557037041</v>
      </c>
      <c r="AD61" s="100">
        <f t="shared" si="14"/>
        <v>3830.8294557037043</v>
      </c>
      <c r="AE61" s="100">
        <f t="shared" si="15"/>
        <v>18.396787500000002</v>
      </c>
      <c r="AG61" s="26">
        <f t="shared" si="16"/>
        <v>449.25000000000006</v>
      </c>
    </row>
    <row r="62" spans="1:33" s="27" customFormat="1" ht="15.9" customHeight="1">
      <c r="A62" s="86" t="s">
        <v>66</v>
      </c>
      <c r="B62" s="63"/>
      <c r="C62" s="63"/>
      <c r="D62" s="63"/>
      <c r="E62" s="63"/>
      <c r="F62" s="63"/>
      <c r="G62" s="170">
        <f>SUM(G61:G61)</f>
        <v>1</v>
      </c>
      <c r="H62" s="171"/>
      <c r="I62" s="171"/>
      <c r="J62" s="171"/>
      <c r="K62" s="171">
        <f>SUM(K61:K61)</f>
        <v>29.950000000000003</v>
      </c>
      <c r="L62" s="65"/>
      <c r="M62" s="65"/>
      <c r="N62" s="65"/>
      <c r="O62" s="138"/>
      <c r="P62" s="101">
        <f t="shared" ref="P62:Z62" si="64">SUM(P61:P61)</f>
        <v>4.5999999999999996</v>
      </c>
      <c r="Q62" s="66">
        <f t="shared" si="64"/>
        <v>400</v>
      </c>
      <c r="R62" s="66">
        <f t="shared" si="64"/>
        <v>0</v>
      </c>
      <c r="S62" s="66">
        <f t="shared" si="64"/>
        <v>6.2</v>
      </c>
      <c r="T62" s="66">
        <f t="shared" si="64"/>
        <v>8</v>
      </c>
      <c r="U62" s="66">
        <f t="shared" si="64"/>
        <v>0</v>
      </c>
      <c r="V62" s="66">
        <f t="shared" si="64"/>
        <v>0</v>
      </c>
      <c r="W62" s="66">
        <f t="shared" si="64"/>
        <v>93</v>
      </c>
      <c r="X62" s="66">
        <f t="shared" si="64"/>
        <v>449.25000000000006</v>
      </c>
      <c r="Y62" s="66">
        <f t="shared" si="64"/>
        <v>905.76357166838147</v>
      </c>
      <c r="Z62" s="84">
        <f t="shared" si="64"/>
        <v>905.76357166838147</v>
      </c>
      <c r="AA62" s="100"/>
      <c r="AB62" s="100"/>
      <c r="AC62" s="100"/>
      <c r="AD62" s="100"/>
      <c r="AE62" s="100"/>
      <c r="AF62" s="26"/>
      <c r="AG62" s="26"/>
    </row>
    <row r="63" spans="1:33" ht="15.9" customHeight="1">
      <c r="A63" s="52" t="s">
        <v>64</v>
      </c>
      <c r="K63" s="115"/>
      <c r="L63" s="48"/>
      <c r="M63" s="48"/>
      <c r="N63" s="48"/>
      <c r="W63" s="49"/>
      <c r="X63" s="80" t="s">
        <v>144</v>
      </c>
      <c r="Y63" s="92">
        <f>3030.25*1.02</f>
        <v>3090.855</v>
      </c>
      <c r="Z63" s="92">
        <f>3030.25*1.02</f>
        <v>3090.855</v>
      </c>
      <c r="AA63" s="100"/>
      <c r="AB63" s="100"/>
      <c r="AC63" s="100"/>
      <c r="AD63" s="100"/>
      <c r="AE63" s="100"/>
      <c r="AF63" s="26"/>
      <c r="AG63" s="26"/>
    </row>
    <row r="64" spans="1:33" s="91" customFormat="1" ht="27.6">
      <c r="A64" s="87" t="s">
        <v>4</v>
      </c>
      <c r="B64" s="88" t="s">
        <v>5</v>
      </c>
      <c r="C64" s="88" t="s">
        <v>24</v>
      </c>
      <c r="D64" s="88" t="s">
        <v>46</v>
      </c>
      <c r="E64" s="88" t="s">
        <v>67</v>
      </c>
      <c r="F64" s="88" t="s">
        <v>6</v>
      </c>
      <c r="G64" s="88" t="s">
        <v>7</v>
      </c>
      <c r="H64" s="116" t="s">
        <v>8</v>
      </c>
      <c r="I64" s="116" t="s">
        <v>47</v>
      </c>
      <c r="J64" s="116" t="s">
        <v>9</v>
      </c>
      <c r="K64" s="116" t="s">
        <v>14</v>
      </c>
      <c r="L64" s="89" t="s">
        <v>20</v>
      </c>
      <c r="M64" s="89" t="s">
        <v>23</v>
      </c>
      <c r="N64" s="89" t="s">
        <v>21</v>
      </c>
      <c r="O64" s="136" t="s">
        <v>10</v>
      </c>
      <c r="P64" s="90" t="s">
        <v>49</v>
      </c>
      <c r="Q64" s="45" t="s">
        <v>50</v>
      </c>
      <c r="R64" s="45" t="s">
        <v>55</v>
      </c>
      <c r="S64" s="45" t="s">
        <v>70</v>
      </c>
      <c r="T64" s="45" t="s">
        <v>13</v>
      </c>
      <c r="U64" s="45" t="s">
        <v>52</v>
      </c>
      <c r="V64" s="45" t="s">
        <v>48</v>
      </c>
      <c r="W64" s="45" t="s">
        <v>15</v>
      </c>
      <c r="X64" s="50" t="s">
        <v>12</v>
      </c>
      <c r="Y64" s="160" t="s">
        <v>22</v>
      </c>
      <c r="Z64" s="50" t="s">
        <v>68</v>
      </c>
      <c r="AA64" s="100"/>
      <c r="AB64" s="100"/>
      <c r="AC64" s="100"/>
      <c r="AD64" s="100"/>
      <c r="AE64" s="100"/>
      <c r="AF64" s="26"/>
      <c r="AG64" s="26"/>
    </row>
    <row r="65" spans="1:33" s="26" customFormat="1" ht="27.6">
      <c r="A65" s="165" t="s">
        <v>145</v>
      </c>
      <c r="B65" s="96" t="s">
        <v>146</v>
      </c>
      <c r="C65" s="93" t="s">
        <v>147</v>
      </c>
      <c r="D65" s="93">
        <v>148258</v>
      </c>
      <c r="E65" s="93">
        <v>102</v>
      </c>
      <c r="F65" s="93" t="s">
        <v>73</v>
      </c>
      <c r="G65" s="167">
        <v>3</v>
      </c>
      <c r="H65" s="168">
        <v>27.93</v>
      </c>
      <c r="I65" s="168">
        <v>0.83000000000000007</v>
      </c>
      <c r="J65" s="168">
        <v>0.96</v>
      </c>
      <c r="K65" s="169">
        <f t="shared" ref="K65:K77" si="65">H65-I65-J65</f>
        <v>26.14</v>
      </c>
      <c r="L65" s="97">
        <v>2.25</v>
      </c>
      <c r="M65" s="97" t="s">
        <v>63</v>
      </c>
      <c r="N65" s="98">
        <v>32</v>
      </c>
      <c r="O65" s="137">
        <v>8.5</v>
      </c>
      <c r="P65" s="143">
        <v>4.16</v>
      </c>
      <c r="Q65" s="35"/>
      <c r="R65" s="35"/>
      <c r="S65" s="35">
        <f t="shared" ref="S65:S77" si="66">0.02*N65*G65</f>
        <v>1.92</v>
      </c>
      <c r="T65" s="35">
        <f t="shared" ref="T65:T77" si="67">2*G65</f>
        <v>6</v>
      </c>
      <c r="U65" s="35">
        <f t="shared" ref="U65:U77" si="68">IF(RIGHT(F65,2)="WG",K65*$AB$4,IF(RIGHT(F65,3)="WRG",K65*$AB$4+3*G65,IF(RIGHT(F65,3)="WYG",K65*$AB$4+3*G65,IF(RIGHT(F65,3)="WYR",K65*$AB$4+3*G65,0))))</f>
        <v>6.2736000000000001</v>
      </c>
      <c r="V65" s="35"/>
      <c r="W65" s="35">
        <f t="shared" ref="W65" si="69">G65*N65*0.3</f>
        <v>28.799999999999997</v>
      </c>
      <c r="X65" s="35">
        <f t="shared" ref="X65:X77" si="70">K65*O65</f>
        <v>222.19</v>
      </c>
      <c r="Y65" s="35">
        <f t="shared" ref="Y65:Y77" si="71">($Y$18/31.1035*IF(LEFT(F65,3)="10K",(0.417*1.07*K65),IF(LEFT(F65,3)="14K",(0.585*1.05*K65),IF(LEFT(F65,3)="18K",(0.75*1.05*K65),0))))*0.5</f>
        <v>808.36335931583255</v>
      </c>
      <c r="Z65" s="83">
        <f t="shared" ref="Z65:Z77" si="72">($Z$18/31.1035*IF(LEFT(F65,3)="10K",(0.417*1.07*K65),IF(LEFT(F65,3)="14K",(0.585*1.05*K65),IF(LEFT(F65,3)="18K",(0.75*1.05*K65),0))))*0.5</f>
        <v>808.36335931583255</v>
      </c>
      <c r="AA65" s="100">
        <f t="shared" si="11"/>
        <v>52.28</v>
      </c>
      <c r="AB65" s="100">
        <f t="shared" si="12"/>
        <v>212.90360000000001</v>
      </c>
      <c r="AC65" s="100">
        <f t="shared" si="13"/>
        <v>2611.8060625494363</v>
      </c>
      <c r="AD65" s="100">
        <f t="shared" si="14"/>
        <v>2824.7096625494364</v>
      </c>
      <c r="AE65" s="100">
        <f t="shared" si="15"/>
        <v>16.056494999999998</v>
      </c>
      <c r="AG65" s="26">
        <f t="shared" si="16"/>
        <v>222.19</v>
      </c>
    </row>
    <row r="66" spans="1:33" s="26" customFormat="1" ht="27.6">
      <c r="A66" s="94">
        <v>3</v>
      </c>
      <c r="B66" s="93" t="s">
        <v>148</v>
      </c>
      <c r="C66" s="93" t="s">
        <v>149</v>
      </c>
      <c r="D66" s="93">
        <v>148258</v>
      </c>
      <c r="E66" s="93">
        <v>105</v>
      </c>
      <c r="F66" s="93" t="s">
        <v>73</v>
      </c>
      <c r="G66" s="167">
        <v>1</v>
      </c>
      <c r="H66" s="168">
        <v>19.39</v>
      </c>
      <c r="I66" s="168">
        <v>1.86</v>
      </c>
      <c r="J66" s="168">
        <v>0.54</v>
      </c>
      <c r="K66" s="169">
        <f t="shared" si="65"/>
        <v>16.990000000000002</v>
      </c>
      <c r="L66" s="97">
        <v>3.75</v>
      </c>
      <c r="M66" s="97" t="s">
        <v>63</v>
      </c>
      <c r="N66" s="98">
        <v>48</v>
      </c>
      <c r="O66" s="137">
        <v>8.5</v>
      </c>
      <c r="P66" s="143">
        <v>9.32</v>
      </c>
      <c r="Q66" s="35"/>
      <c r="R66" s="35"/>
      <c r="S66" s="35">
        <f t="shared" si="66"/>
        <v>0.96</v>
      </c>
      <c r="T66" s="35">
        <f t="shared" si="67"/>
        <v>2</v>
      </c>
      <c r="U66" s="35">
        <f t="shared" si="68"/>
        <v>4.0776000000000003</v>
      </c>
      <c r="V66" s="35"/>
      <c r="W66" s="35">
        <f>G66*N66*0.75</f>
        <v>36</v>
      </c>
      <c r="X66" s="35">
        <f t="shared" si="70"/>
        <v>144.41500000000002</v>
      </c>
      <c r="Y66" s="35">
        <f t="shared" si="71"/>
        <v>525.40525917276193</v>
      </c>
      <c r="Z66" s="83">
        <f t="shared" si="72"/>
        <v>525.40525917276193</v>
      </c>
      <c r="AA66" s="100">
        <f t="shared" si="11"/>
        <v>33.980000000000004</v>
      </c>
      <c r="AB66" s="100">
        <f t="shared" si="12"/>
        <v>153.4726</v>
      </c>
      <c r="AC66" s="100">
        <f t="shared" si="13"/>
        <v>4012.8137059040255</v>
      </c>
      <c r="AD66" s="100">
        <f t="shared" si="14"/>
        <v>4166.2863059040255</v>
      </c>
      <c r="AE66" s="100">
        <f t="shared" si="15"/>
        <v>10.4361075</v>
      </c>
      <c r="AG66" s="26">
        <f t="shared" si="16"/>
        <v>144.41500000000002</v>
      </c>
    </row>
    <row r="67" spans="1:33" s="26" customFormat="1" ht="27.6">
      <c r="A67" s="94"/>
      <c r="B67" s="93" t="s">
        <v>148</v>
      </c>
      <c r="C67" s="93" t="s">
        <v>150</v>
      </c>
      <c r="D67" s="93">
        <v>148258</v>
      </c>
      <c r="E67" s="93">
        <v>103</v>
      </c>
      <c r="F67" s="93" t="s">
        <v>74</v>
      </c>
      <c r="G67" s="167">
        <v>1</v>
      </c>
      <c r="H67" s="168">
        <v>18.93</v>
      </c>
      <c r="I67" s="168">
        <v>1.86</v>
      </c>
      <c r="J67" s="168">
        <v>0.54</v>
      </c>
      <c r="K67" s="169">
        <f t="shared" si="65"/>
        <v>16.53</v>
      </c>
      <c r="L67" s="97">
        <v>3.75</v>
      </c>
      <c r="M67" s="97" t="s">
        <v>63</v>
      </c>
      <c r="N67" s="98">
        <v>48</v>
      </c>
      <c r="O67" s="137">
        <v>8.5</v>
      </c>
      <c r="P67" s="143">
        <v>9.31</v>
      </c>
      <c r="Q67" s="35"/>
      <c r="R67" s="35"/>
      <c r="S67" s="35">
        <f t="shared" si="66"/>
        <v>0.96</v>
      </c>
      <c r="T67" s="35">
        <f t="shared" si="67"/>
        <v>2</v>
      </c>
      <c r="U67" s="35">
        <f t="shared" si="68"/>
        <v>0</v>
      </c>
      <c r="V67" s="35"/>
      <c r="W67" s="35">
        <f>G67*N67*0.75</f>
        <v>36</v>
      </c>
      <c r="X67" s="35">
        <f t="shared" si="70"/>
        <v>140.505</v>
      </c>
      <c r="Y67" s="35">
        <f t="shared" si="71"/>
        <v>511.18004320928515</v>
      </c>
      <c r="Z67" s="83">
        <f t="shared" si="72"/>
        <v>511.18004320928515</v>
      </c>
      <c r="AA67" s="100">
        <f t="shared" si="11"/>
        <v>33.06</v>
      </c>
      <c r="AB67" s="100">
        <f t="shared" si="12"/>
        <v>146.405</v>
      </c>
      <c r="AC67" s="100">
        <f t="shared" si="13"/>
        <v>3988.9703746959744</v>
      </c>
      <c r="AD67" s="100">
        <f t="shared" si="14"/>
        <v>4135.3753746959746</v>
      </c>
      <c r="AE67" s="100">
        <f t="shared" si="15"/>
        <v>10.1535525</v>
      </c>
      <c r="AG67" s="26">
        <f t="shared" si="16"/>
        <v>140.505</v>
      </c>
    </row>
    <row r="68" spans="1:33" s="26" customFormat="1" ht="27.6">
      <c r="A68" s="94">
        <v>4</v>
      </c>
      <c r="B68" s="93" t="s">
        <v>151</v>
      </c>
      <c r="C68" s="93" t="s">
        <v>152</v>
      </c>
      <c r="D68" s="93">
        <v>148258</v>
      </c>
      <c r="E68" s="93">
        <v>104</v>
      </c>
      <c r="F68" s="93" t="s">
        <v>73</v>
      </c>
      <c r="G68" s="167">
        <v>2</v>
      </c>
      <c r="H68" s="168">
        <v>33.519999999999996</v>
      </c>
      <c r="I68" s="168">
        <v>3.18</v>
      </c>
      <c r="J68" s="168">
        <v>0.92</v>
      </c>
      <c r="K68" s="169">
        <f t="shared" si="65"/>
        <v>29.419999999999995</v>
      </c>
      <c r="L68" s="97">
        <v>3.75</v>
      </c>
      <c r="M68" s="97" t="s">
        <v>63</v>
      </c>
      <c r="N68" s="98">
        <v>40</v>
      </c>
      <c r="O68" s="137">
        <v>8.5</v>
      </c>
      <c r="P68" s="143">
        <v>15.91</v>
      </c>
      <c r="Q68" s="35"/>
      <c r="R68" s="35"/>
      <c r="S68" s="35">
        <f t="shared" si="66"/>
        <v>1.6</v>
      </c>
      <c r="T68" s="35">
        <f t="shared" si="67"/>
        <v>4</v>
      </c>
      <c r="U68" s="35">
        <f t="shared" si="68"/>
        <v>7.0607999999999986</v>
      </c>
      <c r="V68" s="35"/>
      <c r="W68" s="35">
        <f>G68*N68*0.75</f>
        <v>60</v>
      </c>
      <c r="X68" s="35">
        <f t="shared" si="70"/>
        <v>250.06999999999996</v>
      </c>
      <c r="Y68" s="35">
        <f t="shared" si="71"/>
        <v>909.79533401192771</v>
      </c>
      <c r="Z68" s="83">
        <f t="shared" si="72"/>
        <v>909.79533401192771</v>
      </c>
      <c r="AA68" s="100">
        <f t="shared" si="11"/>
        <v>58.839999999999989</v>
      </c>
      <c r="AB68" s="100">
        <f t="shared" si="12"/>
        <v>263.89079999999996</v>
      </c>
      <c r="AC68" s="100">
        <f t="shared" si="13"/>
        <v>6868.6285120099838</v>
      </c>
      <c r="AD68" s="100">
        <f t="shared" si="14"/>
        <v>7132.5193120099839</v>
      </c>
      <c r="AE68" s="100">
        <f t="shared" si="15"/>
        <v>18.071234999999994</v>
      </c>
      <c r="AG68" s="26">
        <f t="shared" si="16"/>
        <v>250.06999999999996</v>
      </c>
    </row>
    <row r="69" spans="1:33" s="26" customFormat="1" ht="27.6">
      <c r="A69" s="94">
        <v>5</v>
      </c>
      <c r="B69" s="93" t="s">
        <v>153</v>
      </c>
      <c r="C69" s="93" t="s">
        <v>154</v>
      </c>
      <c r="D69" s="93">
        <v>148258</v>
      </c>
      <c r="E69" s="93">
        <v>118</v>
      </c>
      <c r="F69" s="93" t="s">
        <v>73</v>
      </c>
      <c r="G69" s="167">
        <v>4</v>
      </c>
      <c r="H69" s="168">
        <v>64.239999999999995</v>
      </c>
      <c r="I69" s="168">
        <v>5.84</v>
      </c>
      <c r="J69" s="168">
        <v>1.72</v>
      </c>
      <c r="K69" s="169">
        <f t="shared" si="65"/>
        <v>56.679999999999993</v>
      </c>
      <c r="L69" s="97">
        <v>3.75</v>
      </c>
      <c r="M69" s="97" t="s">
        <v>63</v>
      </c>
      <c r="N69" s="98">
        <v>38</v>
      </c>
      <c r="O69" s="137">
        <v>8.5</v>
      </c>
      <c r="P69" s="143">
        <v>29.16</v>
      </c>
      <c r="Q69" s="35"/>
      <c r="R69" s="35"/>
      <c r="S69" s="35">
        <f t="shared" si="66"/>
        <v>3.04</v>
      </c>
      <c r="T69" s="35">
        <f t="shared" si="67"/>
        <v>8</v>
      </c>
      <c r="U69" s="35">
        <f t="shared" si="68"/>
        <v>13.603199999999998</v>
      </c>
      <c r="V69" s="35"/>
      <c r="W69" s="35">
        <f>G69*N69*0.75</f>
        <v>114</v>
      </c>
      <c r="X69" s="35">
        <f t="shared" si="70"/>
        <v>481.77999999999992</v>
      </c>
      <c r="Y69" s="35">
        <f t="shared" si="71"/>
        <v>1752.7940017605736</v>
      </c>
      <c r="Z69" s="83">
        <f t="shared" si="72"/>
        <v>1752.7940017605736</v>
      </c>
      <c r="AA69" s="100">
        <f t="shared" si="11"/>
        <v>113.35999999999999</v>
      </c>
      <c r="AB69" s="100">
        <f t="shared" si="12"/>
        <v>507.06319999999994</v>
      </c>
      <c r="AC69" s="100">
        <f t="shared" si="13"/>
        <v>12710.896122678261</v>
      </c>
      <c r="AD69" s="100">
        <f t="shared" si="14"/>
        <v>13217.959322678262</v>
      </c>
      <c r="AE69" s="100">
        <f t="shared" si="15"/>
        <v>34.815689999999996</v>
      </c>
      <c r="AG69" s="26">
        <f t="shared" si="16"/>
        <v>481.77999999999992</v>
      </c>
    </row>
    <row r="70" spans="1:33" s="26" customFormat="1" ht="27.6">
      <c r="A70" s="94"/>
      <c r="B70" s="93" t="s">
        <v>153</v>
      </c>
      <c r="C70" s="93" t="s">
        <v>155</v>
      </c>
      <c r="D70" s="93">
        <v>148258</v>
      </c>
      <c r="E70" s="93">
        <v>106</v>
      </c>
      <c r="F70" s="93" t="s">
        <v>74</v>
      </c>
      <c r="G70" s="167">
        <v>3</v>
      </c>
      <c r="H70" s="168">
        <v>46.910000000000004</v>
      </c>
      <c r="I70" s="168">
        <v>4.3899999999999997</v>
      </c>
      <c r="J70" s="168">
        <v>1.29</v>
      </c>
      <c r="K70" s="169">
        <f t="shared" si="65"/>
        <v>41.230000000000004</v>
      </c>
      <c r="L70" s="97">
        <v>3.75</v>
      </c>
      <c r="M70" s="97" t="s">
        <v>63</v>
      </c>
      <c r="N70" s="98">
        <v>38</v>
      </c>
      <c r="O70" s="137">
        <v>8.5</v>
      </c>
      <c r="P70" s="143">
        <v>21.98</v>
      </c>
      <c r="Q70" s="35"/>
      <c r="R70" s="35"/>
      <c r="S70" s="35">
        <f t="shared" si="66"/>
        <v>2.2800000000000002</v>
      </c>
      <c r="T70" s="35">
        <f t="shared" si="67"/>
        <v>6</v>
      </c>
      <c r="U70" s="35">
        <f t="shared" si="68"/>
        <v>0</v>
      </c>
      <c r="V70" s="35"/>
      <c r="W70" s="35">
        <f>G70*N70*0.75</f>
        <v>85.5</v>
      </c>
      <c r="X70" s="35">
        <f t="shared" si="70"/>
        <v>350.45500000000004</v>
      </c>
      <c r="Y70" s="35">
        <f t="shared" si="71"/>
        <v>1275.0122916829296</v>
      </c>
      <c r="Z70" s="83">
        <f t="shared" si="72"/>
        <v>1275.0122916829296</v>
      </c>
      <c r="AA70" s="100">
        <f t="shared" si="11"/>
        <v>82.460000000000008</v>
      </c>
      <c r="AB70" s="100">
        <f t="shared" si="12"/>
        <v>361.77499999999998</v>
      </c>
      <c r="AC70" s="100">
        <f t="shared" si="13"/>
        <v>9515.0558952972624</v>
      </c>
      <c r="AD70" s="100">
        <f t="shared" si="14"/>
        <v>9876.830895297262</v>
      </c>
      <c r="AE70" s="100">
        <f t="shared" si="15"/>
        <v>25.3255275</v>
      </c>
      <c r="AG70" s="26">
        <f t="shared" si="16"/>
        <v>350.45500000000004</v>
      </c>
    </row>
    <row r="71" spans="1:33" s="26" customFormat="1" ht="27.6">
      <c r="A71" s="94">
        <v>7</v>
      </c>
      <c r="B71" s="93" t="s">
        <v>160</v>
      </c>
      <c r="C71" s="93" t="s">
        <v>161</v>
      </c>
      <c r="D71" s="93">
        <v>148258</v>
      </c>
      <c r="E71" s="93">
        <v>108</v>
      </c>
      <c r="F71" s="93" t="s">
        <v>73</v>
      </c>
      <c r="G71" s="167">
        <v>4</v>
      </c>
      <c r="H71" s="168">
        <v>46.710000000000008</v>
      </c>
      <c r="I71" s="168">
        <v>4</v>
      </c>
      <c r="J71" s="168">
        <v>1.72</v>
      </c>
      <c r="K71" s="169">
        <f t="shared" si="65"/>
        <v>40.990000000000009</v>
      </c>
      <c r="L71" s="97">
        <v>3</v>
      </c>
      <c r="M71" s="97" t="s">
        <v>63</v>
      </c>
      <c r="N71" s="98">
        <v>48</v>
      </c>
      <c r="O71" s="137">
        <v>8.5</v>
      </c>
      <c r="P71" s="143">
        <v>20.010000000000002</v>
      </c>
      <c r="Q71" s="35"/>
      <c r="R71" s="35"/>
      <c r="S71" s="35">
        <f t="shared" si="66"/>
        <v>3.84</v>
      </c>
      <c r="T71" s="35">
        <f t="shared" si="67"/>
        <v>8</v>
      </c>
      <c r="U71" s="35">
        <f t="shared" si="68"/>
        <v>9.8376000000000019</v>
      </c>
      <c r="V71" s="35"/>
      <c r="W71" s="35">
        <f>G71*N71*0.5</f>
        <v>96</v>
      </c>
      <c r="X71" s="35">
        <f t="shared" si="70"/>
        <v>348.41500000000008</v>
      </c>
      <c r="Y71" s="35">
        <f t="shared" si="71"/>
        <v>1267.5904398758985</v>
      </c>
      <c r="Z71" s="83">
        <f t="shared" si="72"/>
        <v>1267.5904398758985</v>
      </c>
      <c r="AA71" s="100">
        <f t="shared" si="11"/>
        <v>81.980000000000018</v>
      </c>
      <c r="AB71" s="100">
        <f t="shared" si="12"/>
        <v>384.11260000000004</v>
      </c>
      <c r="AC71" s="100">
        <f t="shared" si="13"/>
        <v>8815.0655273111115</v>
      </c>
      <c r="AD71" s="100">
        <f t="shared" si="14"/>
        <v>9199.1781273111119</v>
      </c>
      <c r="AE71" s="100">
        <f t="shared" si="15"/>
        <v>25.178107500000003</v>
      </c>
      <c r="AG71" s="26">
        <f t="shared" si="16"/>
        <v>348.41500000000008</v>
      </c>
    </row>
    <row r="72" spans="1:33" s="26" customFormat="1" ht="27.6">
      <c r="A72" s="94"/>
      <c r="B72" s="93" t="s">
        <v>160</v>
      </c>
      <c r="C72" s="93" t="s">
        <v>162</v>
      </c>
      <c r="D72" s="93">
        <v>148258</v>
      </c>
      <c r="E72" s="93">
        <v>117</v>
      </c>
      <c r="F72" s="93" t="s">
        <v>74</v>
      </c>
      <c r="G72" s="167">
        <v>4</v>
      </c>
      <c r="H72" s="168">
        <v>45.96</v>
      </c>
      <c r="I72" s="168">
        <v>4.0600000000000005</v>
      </c>
      <c r="J72" s="168">
        <v>1.72</v>
      </c>
      <c r="K72" s="169">
        <f t="shared" si="65"/>
        <v>40.18</v>
      </c>
      <c r="L72" s="97">
        <v>3</v>
      </c>
      <c r="M72" s="97" t="s">
        <v>63</v>
      </c>
      <c r="N72" s="98">
        <v>48</v>
      </c>
      <c r="O72" s="137">
        <v>8.5</v>
      </c>
      <c r="P72" s="143">
        <v>20.32</v>
      </c>
      <c r="Q72" s="35"/>
      <c r="R72" s="35"/>
      <c r="S72" s="35">
        <f t="shared" si="66"/>
        <v>3.84</v>
      </c>
      <c r="T72" s="35">
        <f t="shared" si="67"/>
        <v>8</v>
      </c>
      <c r="U72" s="35">
        <f t="shared" si="68"/>
        <v>0</v>
      </c>
      <c r="V72" s="35"/>
      <c r="W72" s="35">
        <f>G72*N72*0.5</f>
        <v>96</v>
      </c>
      <c r="X72" s="35">
        <f t="shared" si="70"/>
        <v>341.53</v>
      </c>
      <c r="Y72" s="35">
        <f t="shared" si="71"/>
        <v>1242.5416900271673</v>
      </c>
      <c r="Z72" s="83">
        <f t="shared" si="72"/>
        <v>1242.5416900271673</v>
      </c>
      <c r="AA72" s="100">
        <f t="shared" si="11"/>
        <v>80.36</v>
      </c>
      <c r="AB72" s="100">
        <f t="shared" si="12"/>
        <v>369.01</v>
      </c>
      <c r="AC72" s="100">
        <f t="shared" si="13"/>
        <v>8887.7229747607089</v>
      </c>
      <c r="AD72" s="100">
        <f t="shared" si="14"/>
        <v>9256.7329747607091</v>
      </c>
      <c r="AE72" s="100">
        <f t="shared" si="15"/>
        <v>24.680564999999998</v>
      </c>
      <c r="AG72" s="26">
        <f t="shared" si="16"/>
        <v>341.53</v>
      </c>
    </row>
    <row r="73" spans="1:33" s="26" customFormat="1" ht="27.6">
      <c r="A73" s="94">
        <v>8</v>
      </c>
      <c r="B73" s="93" t="s">
        <v>163</v>
      </c>
      <c r="C73" s="93" t="s">
        <v>164</v>
      </c>
      <c r="D73" s="93">
        <v>148258</v>
      </c>
      <c r="E73" s="93">
        <v>109</v>
      </c>
      <c r="F73" s="93" t="s">
        <v>74</v>
      </c>
      <c r="G73" s="167">
        <v>3</v>
      </c>
      <c r="H73" s="168">
        <v>57.980000000000004</v>
      </c>
      <c r="I73" s="168">
        <v>6.09</v>
      </c>
      <c r="J73" s="168">
        <v>1.29</v>
      </c>
      <c r="K73" s="169">
        <f t="shared" si="65"/>
        <v>50.6</v>
      </c>
      <c r="L73" s="97">
        <v>4</v>
      </c>
      <c r="M73" s="97" t="s">
        <v>63</v>
      </c>
      <c r="N73" s="98">
        <v>39</v>
      </c>
      <c r="O73" s="137">
        <v>8.5</v>
      </c>
      <c r="P73" s="143">
        <v>30.46</v>
      </c>
      <c r="Q73" s="35"/>
      <c r="R73" s="35"/>
      <c r="S73" s="35">
        <f t="shared" si="66"/>
        <v>2.34</v>
      </c>
      <c r="T73" s="35">
        <f>4*G73</f>
        <v>12</v>
      </c>
      <c r="U73" s="35">
        <f t="shared" si="68"/>
        <v>0</v>
      </c>
      <c r="V73" s="35"/>
      <c r="W73" s="35">
        <f>G73*N73*0.75</f>
        <v>87.75</v>
      </c>
      <c r="X73" s="35">
        <f t="shared" si="70"/>
        <v>430.1</v>
      </c>
      <c r="Y73" s="35">
        <f t="shared" si="71"/>
        <v>1564.7737559824457</v>
      </c>
      <c r="Z73" s="83">
        <f t="shared" si="72"/>
        <v>1564.7737559824457</v>
      </c>
      <c r="AA73" s="100">
        <f t="shared" si="11"/>
        <v>101.2</v>
      </c>
      <c r="AB73" s="100">
        <f t="shared" si="12"/>
        <v>430.99000000000007</v>
      </c>
      <c r="AC73" s="100">
        <f t="shared" si="13"/>
        <v>12896.920299724959</v>
      </c>
      <c r="AD73" s="100">
        <f t="shared" si="14"/>
        <v>13327.910299724959</v>
      </c>
      <c r="AE73" s="100">
        <f t="shared" si="15"/>
        <v>31.081049999999998</v>
      </c>
      <c r="AG73" s="26">
        <f t="shared" si="16"/>
        <v>430.1</v>
      </c>
    </row>
    <row r="74" spans="1:33" s="26" customFormat="1" ht="27.6">
      <c r="A74" s="94">
        <v>9</v>
      </c>
      <c r="B74" s="93" t="s">
        <v>165</v>
      </c>
      <c r="C74" s="93" t="s">
        <v>166</v>
      </c>
      <c r="D74" s="93">
        <v>148258</v>
      </c>
      <c r="E74" s="93">
        <v>110</v>
      </c>
      <c r="F74" s="93" t="s">
        <v>73</v>
      </c>
      <c r="G74" s="167">
        <v>2</v>
      </c>
      <c r="H74" s="168">
        <v>22.2</v>
      </c>
      <c r="I74" s="168">
        <v>1.78</v>
      </c>
      <c r="J74" s="168">
        <v>0.8</v>
      </c>
      <c r="K74" s="169">
        <f t="shared" si="65"/>
        <v>19.619999999999997</v>
      </c>
      <c r="L74" s="97">
        <v>3</v>
      </c>
      <c r="M74" s="97" t="s">
        <v>63</v>
      </c>
      <c r="N74" s="98">
        <v>44</v>
      </c>
      <c r="O74" s="137">
        <v>8.5</v>
      </c>
      <c r="P74" s="143">
        <v>8.91</v>
      </c>
      <c r="Q74" s="35"/>
      <c r="R74" s="35"/>
      <c r="S74" s="35">
        <f t="shared" si="66"/>
        <v>1.76</v>
      </c>
      <c r="T74" s="35">
        <f t="shared" ref="T74:T75" si="73">2*G74</f>
        <v>4</v>
      </c>
      <c r="U74" s="35">
        <f t="shared" si="68"/>
        <v>4.7087999999999992</v>
      </c>
      <c r="V74" s="35"/>
      <c r="W74" s="35">
        <f>G74*N74*0.5</f>
        <v>44</v>
      </c>
      <c r="X74" s="35">
        <f t="shared" si="70"/>
        <v>166.76999999999998</v>
      </c>
      <c r="Y74" s="35">
        <f t="shared" si="71"/>
        <v>606.73638522481383</v>
      </c>
      <c r="Z74" s="83">
        <f t="shared" si="72"/>
        <v>606.73638522481383</v>
      </c>
      <c r="AA74" s="100">
        <f t="shared" si="11"/>
        <v>39.239999999999995</v>
      </c>
      <c r="AB74" s="100">
        <f t="shared" si="12"/>
        <v>181.99879999999996</v>
      </c>
      <c r="AC74" s="100">
        <f t="shared" si="13"/>
        <v>3985.6538663739129</v>
      </c>
      <c r="AD74" s="100">
        <f t="shared" si="14"/>
        <v>4167.6526663739132</v>
      </c>
      <c r="AE74" s="100">
        <f t="shared" si="15"/>
        <v>12.051584999999998</v>
      </c>
      <c r="AG74" s="26">
        <f t="shared" si="16"/>
        <v>166.76999999999998</v>
      </c>
    </row>
    <row r="75" spans="1:33" s="26" customFormat="1" ht="27.6">
      <c r="A75" s="94"/>
      <c r="B75" s="93" t="s">
        <v>165</v>
      </c>
      <c r="C75" s="93" t="s">
        <v>167</v>
      </c>
      <c r="D75" s="93">
        <v>148258</v>
      </c>
      <c r="E75" s="93">
        <v>116</v>
      </c>
      <c r="F75" s="93" t="s">
        <v>74</v>
      </c>
      <c r="G75" s="167">
        <v>3</v>
      </c>
      <c r="H75" s="168">
        <v>32.909999999999997</v>
      </c>
      <c r="I75" s="168">
        <v>2.67</v>
      </c>
      <c r="J75" s="168">
        <v>1.2000000000000002</v>
      </c>
      <c r="K75" s="169">
        <f t="shared" si="65"/>
        <v>29.039999999999996</v>
      </c>
      <c r="L75" s="97">
        <v>3</v>
      </c>
      <c r="M75" s="97" t="s">
        <v>63</v>
      </c>
      <c r="N75" s="98">
        <v>44</v>
      </c>
      <c r="O75" s="137">
        <v>8.5</v>
      </c>
      <c r="P75" s="143">
        <v>13.370000000000001</v>
      </c>
      <c r="Q75" s="35"/>
      <c r="R75" s="35"/>
      <c r="S75" s="35">
        <f t="shared" si="66"/>
        <v>2.64</v>
      </c>
      <c r="T75" s="35">
        <f t="shared" si="73"/>
        <v>6</v>
      </c>
      <c r="U75" s="35">
        <f t="shared" si="68"/>
        <v>0</v>
      </c>
      <c r="V75" s="35"/>
      <c r="W75" s="35">
        <f>G75*N75*0.5</f>
        <v>66</v>
      </c>
      <c r="X75" s="35">
        <f t="shared" si="70"/>
        <v>246.83999999999997</v>
      </c>
      <c r="Y75" s="35">
        <f t="shared" si="71"/>
        <v>898.04406865079477</v>
      </c>
      <c r="Z75" s="83">
        <f t="shared" si="72"/>
        <v>898.04406865079477</v>
      </c>
      <c r="AA75" s="100">
        <f t="shared" ref="AA75:AA106" si="74">2*K75</f>
        <v>58.079999999999991</v>
      </c>
      <c r="AB75" s="100">
        <f t="shared" ref="AB75:AB106" si="75">(SUM(Q75:W75)+AG75)-AA75</f>
        <v>263.39999999999998</v>
      </c>
      <c r="AC75" s="100">
        <f t="shared" ref="AC75:AC106" si="76">AE75*$AC$13+P75*$AC$14</f>
        <v>5962.9823451648954</v>
      </c>
      <c r="AD75" s="100">
        <f t="shared" ref="AD75:AD106" si="77">SUM(AB75:AC75)</f>
        <v>6226.382345164895</v>
      </c>
      <c r="AE75" s="100">
        <f t="shared" ref="AE75:AE106" si="78">IF(LEFT(F75,3)="10K",(0.417*1.07*K75),IF(LEFT(F75,3)="14K",(0.585*1.05*K75),IF(LEFT(F75,3)="18K",(0.75*1.05*K75),0)))</f>
        <v>17.837819999999997</v>
      </c>
      <c r="AG75" s="26">
        <f t="shared" ref="AG75:AG106" si="79">IF(AF75&gt;0,AF75*K75,X75)</f>
        <v>246.83999999999997</v>
      </c>
    </row>
    <row r="76" spans="1:33" s="26" customFormat="1" ht="27.6">
      <c r="A76" s="94">
        <v>13</v>
      </c>
      <c r="B76" s="93" t="s">
        <v>170</v>
      </c>
      <c r="C76" s="93" t="s">
        <v>171</v>
      </c>
      <c r="D76" s="93">
        <v>148258</v>
      </c>
      <c r="E76" s="93">
        <v>114</v>
      </c>
      <c r="F76" s="93" t="s">
        <v>73</v>
      </c>
      <c r="G76" s="167">
        <v>1</v>
      </c>
      <c r="H76" s="168">
        <v>5.3</v>
      </c>
      <c r="I76" s="168">
        <v>0.09</v>
      </c>
      <c r="J76" s="168">
        <v>0.4</v>
      </c>
      <c r="K76" s="169">
        <f t="shared" si="65"/>
        <v>4.8099999999999996</v>
      </c>
      <c r="L76" s="97" t="s">
        <v>128</v>
      </c>
      <c r="M76" s="97" t="s">
        <v>75</v>
      </c>
      <c r="N76" s="98" t="s">
        <v>129</v>
      </c>
      <c r="O76" s="137">
        <v>9</v>
      </c>
      <c r="P76" s="143">
        <v>0.43</v>
      </c>
      <c r="Q76" s="35"/>
      <c r="R76" s="35"/>
      <c r="S76" s="35">
        <f>0.02*(16+12)*G76</f>
        <v>0.56000000000000005</v>
      </c>
      <c r="T76" s="35">
        <f t="shared" si="67"/>
        <v>2</v>
      </c>
      <c r="U76" s="35">
        <f t="shared" si="68"/>
        <v>1.1543999999999999</v>
      </c>
      <c r="V76" s="35"/>
      <c r="W76" s="35">
        <f>G76*(16+12)*0.6</f>
        <v>16.8</v>
      </c>
      <c r="X76" s="35">
        <f t="shared" si="70"/>
        <v>43.29</v>
      </c>
      <c r="Y76" s="35">
        <f t="shared" si="71"/>
        <v>148.74627996592022</v>
      </c>
      <c r="Z76" s="83">
        <f t="shared" si="72"/>
        <v>148.74627996592022</v>
      </c>
      <c r="AA76" s="100">
        <f t="shared" si="74"/>
        <v>9.6199999999999992</v>
      </c>
      <c r="AB76" s="100">
        <f t="shared" si="75"/>
        <v>54.184400000000004</v>
      </c>
      <c r="AC76" s="100">
        <f t="shared" si="76"/>
        <v>363.20002194621577</v>
      </c>
      <c r="AD76" s="100">
        <f t="shared" si="77"/>
        <v>417.38442194621575</v>
      </c>
      <c r="AE76" s="100">
        <f t="shared" si="78"/>
        <v>2.9545424999999996</v>
      </c>
      <c r="AG76" s="26">
        <f t="shared" si="79"/>
        <v>43.29</v>
      </c>
    </row>
    <row r="77" spans="1:33" s="26" customFormat="1" ht="28.2" thickBot="1">
      <c r="A77" s="94">
        <v>16</v>
      </c>
      <c r="B77" s="96" t="s">
        <v>177</v>
      </c>
      <c r="C77" s="93" t="s">
        <v>178</v>
      </c>
      <c r="D77" s="93">
        <v>148258</v>
      </c>
      <c r="E77" s="93">
        <v>122</v>
      </c>
      <c r="F77" s="93" t="s">
        <v>73</v>
      </c>
      <c r="G77" s="167">
        <v>2</v>
      </c>
      <c r="H77" s="168">
        <v>17.309999999999999</v>
      </c>
      <c r="I77" s="168">
        <v>0.99</v>
      </c>
      <c r="J77" s="168">
        <v>0.64</v>
      </c>
      <c r="K77" s="169">
        <f t="shared" si="65"/>
        <v>15.68</v>
      </c>
      <c r="L77" s="97" t="s">
        <v>179</v>
      </c>
      <c r="M77" s="97" t="s">
        <v>63</v>
      </c>
      <c r="N77" s="98">
        <v>17</v>
      </c>
      <c r="O77" s="137">
        <v>8.5</v>
      </c>
      <c r="P77" s="143">
        <v>4.95</v>
      </c>
      <c r="Q77" s="35"/>
      <c r="R77" s="35"/>
      <c r="S77" s="35">
        <f t="shared" si="66"/>
        <v>0.68</v>
      </c>
      <c r="T77" s="35">
        <f t="shared" si="67"/>
        <v>4</v>
      </c>
      <c r="U77" s="35">
        <f t="shared" si="68"/>
        <v>3.7631999999999999</v>
      </c>
      <c r="V77" s="35"/>
      <c r="W77" s="35">
        <f>G77*N77*2.5</f>
        <v>85</v>
      </c>
      <c r="X77" s="35">
        <f t="shared" si="70"/>
        <v>133.28</v>
      </c>
      <c r="Y77" s="35">
        <f t="shared" si="71"/>
        <v>484.89431805938239</v>
      </c>
      <c r="Z77" s="83">
        <f t="shared" si="72"/>
        <v>484.89431805938239</v>
      </c>
      <c r="AA77" s="100">
        <f t="shared" si="74"/>
        <v>31.36</v>
      </c>
      <c r="AB77" s="100">
        <f t="shared" si="75"/>
        <v>195.36320000000001</v>
      </c>
      <c r="AC77" s="100">
        <f t="shared" si="76"/>
        <v>2425.6524279855071</v>
      </c>
      <c r="AD77" s="100">
        <f t="shared" si="77"/>
        <v>2621.0156279855073</v>
      </c>
      <c r="AE77" s="100">
        <f t="shared" si="78"/>
        <v>9.6314399999999996</v>
      </c>
      <c r="AG77" s="26">
        <f t="shared" si="79"/>
        <v>133.28</v>
      </c>
    </row>
    <row r="78" spans="1:33" s="27" customFormat="1" ht="15.9" customHeight="1">
      <c r="A78" s="86" t="s">
        <v>66</v>
      </c>
      <c r="B78" s="63"/>
      <c r="C78" s="63"/>
      <c r="D78" s="63"/>
      <c r="E78" s="63"/>
      <c r="F78" s="63"/>
      <c r="G78" s="170">
        <f>SUM(G65:G77)</f>
        <v>33</v>
      </c>
      <c r="H78" s="171"/>
      <c r="I78" s="171"/>
      <c r="J78" s="171"/>
      <c r="K78" s="171">
        <f>SUM(K65:K77)</f>
        <v>387.91000000000008</v>
      </c>
      <c r="L78" s="65"/>
      <c r="M78" s="65"/>
      <c r="N78" s="65"/>
      <c r="O78" s="138"/>
      <c r="P78" s="101">
        <f t="shared" ref="P78:Z78" si="80">SUM(P65:P77)</f>
        <v>188.29000000000002</v>
      </c>
      <c r="Q78" s="66">
        <f t="shared" si="80"/>
        <v>0</v>
      </c>
      <c r="R78" s="66">
        <f t="shared" si="80"/>
        <v>0</v>
      </c>
      <c r="S78" s="66">
        <f t="shared" si="80"/>
        <v>26.42</v>
      </c>
      <c r="T78" s="66">
        <f t="shared" si="80"/>
        <v>72</v>
      </c>
      <c r="U78" s="66">
        <f t="shared" si="80"/>
        <v>50.479199999999999</v>
      </c>
      <c r="V78" s="66">
        <f t="shared" si="80"/>
        <v>0</v>
      </c>
      <c r="W78" s="66">
        <f t="shared" si="80"/>
        <v>851.84999999999991</v>
      </c>
      <c r="X78" s="66">
        <f t="shared" si="80"/>
        <v>3299.64</v>
      </c>
      <c r="Y78" s="66">
        <f t="shared" si="80"/>
        <v>11995.877226939734</v>
      </c>
      <c r="Z78" s="84">
        <f t="shared" si="80"/>
        <v>11995.877226939734</v>
      </c>
      <c r="AA78" s="100"/>
      <c r="AB78" s="100"/>
      <c r="AC78" s="100"/>
      <c r="AD78" s="100"/>
      <c r="AE78" s="100"/>
      <c r="AF78" s="26"/>
      <c r="AG78" s="26"/>
    </row>
    <row r="79" spans="1:33" ht="15.9" customHeight="1">
      <c r="A79" s="52" t="s">
        <v>64</v>
      </c>
      <c r="K79" s="115"/>
      <c r="L79" s="48"/>
      <c r="M79" s="48"/>
      <c r="N79" s="48"/>
      <c r="W79" s="49"/>
      <c r="X79" s="80" t="s">
        <v>180</v>
      </c>
      <c r="Y79" s="92">
        <f>3021.7*1.02</f>
        <v>3082.134</v>
      </c>
      <c r="Z79" s="92">
        <f>3021.7*1.02</f>
        <v>3082.134</v>
      </c>
      <c r="AA79" s="100"/>
      <c r="AB79" s="100"/>
      <c r="AC79" s="100"/>
      <c r="AD79" s="100"/>
      <c r="AE79" s="100"/>
      <c r="AF79" s="26"/>
      <c r="AG79" s="26"/>
    </row>
    <row r="80" spans="1:33" s="91" customFormat="1" ht="27.6">
      <c r="A80" s="87" t="s">
        <v>4</v>
      </c>
      <c r="B80" s="88" t="s">
        <v>5</v>
      </c>
      <c r="C80" s="88" t="s">
        <v>24</v>
      </c>
      <c r="D80" s="88" t="s">
        <v>46</v>
      </c>
      <c r="E80" s="88" t="s">
        <v>67</v>
      </c>
      <c r="F80" s="88" t="s">
        <v>6</v>
      </c>
      <c r="G80" s="88" t="s">
        <v>7</v>
      </c>
      <c r="H80" s="116" t="s">
        <v>8</v>
      </c>
      <c r="I80" s="116" t="s">
        <v>47</v>
      </c>
      <c r="J80" s="116" t="s">
        <v>9</v>
      </c>
      <c r="K80" s="116" t="s">
        <v>14</v>
      </c>
      <c r="L80" s="89" t="s">
        <v>20</v>
      </c>
      <c r="M80" s="89" t="s">
        <v>23</v>
      </c>
      <c r="N80" s="89" t="s">
        <v>21</v>
      </c>
      <c r="O80" s="136" t="s">
        <v>10</v>
      </c>
      <c r="P80" s="90" t="s">
        <v>49</v>
      </c>
      <c r="Q80" s="45" t="s">
        <v>50</v>
      </c>
      <c r="R80" s="45" t="s">
        <v>55</v>
      </c>
      <c r="S80" s="45" t="s">
        <v>70</v>
      </c>
      <c r="T80" s="45" t="s">
        <v>13</v>
      </c>
      <c r="U80" s="45" t="s">
        <v>52</v>
      </c>
      <c r="V80" s="45" t="s">
        <v>48</v>
      </c>
      <c r="W80" s="45" t="s">
        <v>15</v>
      </c>
      <c r="X80" s="50" t="s">
        <v>12</v>
      </c>
      <c r="Y80" s="160" t="s">
        <v>22</v>
      </c>
      <c r="Z80" s="50" t="s">
        <v>68</v>
      </c>
      <c r="AA80" s="100"/>
      <c r="AB80" s="100"/>
      <c r="AC80" s="100"/>
      <c r="AD80" s="100"/>
      <c r="AE80" s="100"/>
      <c r="AF80" s="26"/>
      <c r="AG80" s="26"/>
    </row>
    <row r="81" spans="1:33" s="26" customFormat="1" ht="27.6">
      <c r="A81" s="165" t="s">
        <v>181</v>
      </c>
      <c r="B81" s="96" t="s">
        <v>186</v>
      </c>
      <c r="C81" s="93" t="s">
        <v>187</v>
      </c>
      <c r="D81" s="93">
        <v>148268</v>
      </c>
      <c r="E81" s="93">
        <v>108</v>
      </c>
      <c r="F81" s="93" t="s">
        <v>73</v>
      </c>
      <c r="G81" s="95">
        <v>1</v>
      </c>
      <c r="H81" s="117">
        <v>7.57</v>
      </c>
      <c r="I81" s="117">
        <v>0.2</v>
      </c>
      <c r="J81" s="117">
        <v>0.34</v>
      </c>
      <c r="K81" s="118">
        <f t="shared" ref="K81:K86" si="81">H81-I81-J81</f>
        <v>7.03</v>
      </c>
      <c r="L81" s="97">
        <v>2.7</v>
      </c>
      <c r="M81" s="97" t="s">
        <v>63</v>
      </c>
      <c r="N81" s="98">
        <v>12</v>
      </c>
      <c r="O81" s="137">
        <v>11.5</v>
      </c>
      <c r="P81" s="143">
        <v>0.99</v>
      </c>
      <c r="Q81" s="35"/>
      <c r="R81" s="35"/>
      <c r="S81" s="35">
        <f t="shared" ref="S81:S86" si="82">0.02*N81*G81</f>
        <v>0.24</v>
      </c>
      <c r="T81" s="35">
        <f t="shared" ref="T81:T84" si="83">2*G81</f>
        <v>2</v>
      </c>
      <c r="U81" s="35">
        <f t="shared" ref="U81:U86" si="84">IF(RIGHT(F81,2)="WG",K81*$AB$4,IF(RIGHT(F81,3)="WRG",K81*$AB$4+3*G81,IF(RIGHT(F81,3)="WYG",K81*$AB$4+3*G81,IF(RIGHT(F81,3)="WYR",K81*$AB$4+3*G81,0))))</f>
        <v>1.6872</v>
      </c>
      <c r="V81" s="35"/>
      <c r="W81" s="35">
        <f>G81*N81*1</f>
        <v>12</v>
      </c>
      <c r="X81" s="35">
        <f t="shared" ref="X81:X86" si="85">K81*O81</f>
        <v>80.844999999999999</v>
      </c>
      <c r="Y81" s="35">
        <f>($Y$79/31.1035*IF(LEFT(F81,3)="10K",(0.417*1.07*K81),IF(LEFT(F81,3)="14K",(0.585*1.05*K81),IF(LEFT(F81,3)="18K",(0.75*1.05*K81),0))))*0.5</f>
        <v>213.95022571069174</v>
      </c>
      <c r="Z81" s="83">
        <f>($Z$79/31.1035*IF(LEFT(F81,3)="10K",(0.417*1.07*K81),IF(LEFT(F81,3)="14K",(0.585*1.05*K81),IF(LEFT(F81,3)="18K",(0.75*1.05*K81),0))))*0.5</f>
        <v>213.95022571069174</v>
      </c>
      <c r="AA81" s="100">
        <f t="shared" si="74"/>
        <v>14.06</v>
      </c>
      <c r="AB81" s="100">
        <f t="shared" si="75"/>
        <v>82.712199999999996</v>
      </c>
      <c r="AC81" s="100">
        <f t="shared" si="76"/>
        <v>657.34652959710138</v>
      </c>
      <c r="AD81" s="100">
        <f t="shared" si="77"/>
        <v>740.05872959710132</v>
      </c>
      <c r="AE81" s="100">
        <f t="shared" si="78"/>
        <v>4.3181775</v>
      </c>
      <c r="AG81" s="26">
        <f t="shared" si="79"/>
        <v>80.844999999999999</v>
      </c>
    </row>
    <row r="82" spans="1:33" s="26" customFormat="1" ht="55.2">
      <c r="A82" s="94">
        <v>9</v>
      </c>
      <c r="B82" s="93" t="s">
        <v>188</v>
      </c>
      <c r="C82" s="93" t="s">
        <v>189</v>
      </c>
      <c r="D82" s="93">
        <v>148268</v>
      </c>
      <c r="E82" s="93">
        <v>109</v>
      </c>
      <c r="F82" s="93" t="s">
        <v>74</v>
      </c>
      <c r="G82" s="95">
        <v>1</v>
      </c>
      <c r="H82" s="117">
        <v>3.72</v>
      </c>
      <c r="I82" s="117">
        <v>0.39</v>
      </c>
      <c r="J82" s="117">
        <v>0.15</v>
      </c>
      <c r="K82" s="118">
        <f t="shared" si="81"/>
        <v>3.18</v>
      </c>
      <c r="L82" s="97" t="s">
        <v>190</v>
      </c>
      <c r="M82" s="97" t="s">
        <v>174</v>
      </c>
      <c r="N82" s="98" t="s">
        <v>191</v>
      </c>
      <c r="O82" s="137">
        <v>12</v>
      </c>
      <c r="P82" s="143">
        <v>1.95</v>
      </c>
      <c r="Q82" s="35"/>
      <c r="R82" s="35"/>
      <c r="S82" s="35">
        <f>0.02*(36+2+2+8)*G82</f>
        <v>0.96</v>
      </c>
      <c r="T82" s="35">
        <f t="shared" si="83"/>
        <v>2</v>
      </c>
      <c r="U82" s="35">
        <f t="shared" si="84"/>
        <v>0</v>
      </c>
      <c r="V82" s="35"/>
      <c r="W82" s="35">
        <f>((36+2)*0.3+(0.5*2)+(0.75*8))*G82</f>
        <v>18.399999999999999</v>
      </c>
      <c r="X82" s="35">
        <f t="shared" si="85"/>
        <v>38.160000000000004</v>
      </c>
      <c r="Y82" s="35">
        <f t="shared" ref="Y82:Y86" si="86">($Y$79/31.1035*IF(LEFT(F82,3)="10K",(0.417*1.07*K82),IF(LEFT(F82,3)="14K",(0.585*1.05*K82),IF(LEFT(F82,3)="18K",(0.75*1.05*K82),0))))*0.5</f>
        <v>96.779760705547602</v>
      </c>
      <c r="Z82" s="83">
        <f t="shared" ref="Z82:Z86" si="87">($Z$79/31.1035*IF(LEFT(F82,3)="10K",(0.417*1.07*K82),IF(LEFT(F82,3)="14K",(0.585*1.05*K82),IF(LEFT(F82,3)="18K",(0.75*1.05*K82),0))))*0.5</f>
        <v>96.779760705547602</v>
      </c>
      <c r="AA82" s="100">
        <f t="shared" si="74"/>
        <v>6.36</v>
      </c>
      <c r="AB82" s="100">
        <f t="shared" si="75"/>
        <v>53.160000000000004</v>
      </c>
      <c r="AC82" s="100">
        <f t="shared" si="76"/>
        <v>823.01606557004834</v>
      </c>
      <c r="AD82" s="100">
        <f t="shared" si="77"/>
        <v>876.17606557004831</v>
      </c>
      <c r="AE82" s="100">
        <f t="shared" si="78"/>
        <v>1.9533149999999999</v>
      </c>
      <c r="AG82" s="26">
        <f t="shared" si="79"/>
        <v>38.160000000000004</v>
      </c>
    </row>
    <row r="83" spans="1:33" s="26" customFormat="1" ht="27.6">
      <c r="A83" s="94">
        <v>10</v>
      </c>
      <c r="B83" s="93" t="s">
        <v>192</v>
      </c>
      <c r="C83" s="93" t="s">
        <v>193</v>
      </c>
      <c r="D83" s="93">
        <v>148268</v>
      </c>
      <c r="E83" s="93">
        <v>110</v>
      </c>
      <c r="F83" s="93" t="s">
        <v>73</v>
      </c>
      <c r="G83" s="95">
        <v>1</v>
      </c>
      <c r="H83" s="117">
        <v>5.89</v>
      </c>
      <c r="I83" s="117">
        <v>0.11</v>
      </c>
      <c r="J83" s="117">
        <v>0.28000000000000003</v>
      </c>
      <c r="K83" s="118">
        <f t="shared" si="81"/>
        <v>5.4999999999999991</v>
      </c>
      <c r="L83" s="97">
        <v>0.8</v>
      </c>
      <c r="M83" s="97" t="s">
        <v>63</v>
      </c>
      <c r="N83" s="98">
        <v>212</v>
      </c>
      <c r="O83" s="137">
        <v>11.5</v>
      </c>
      <c r="P83" s="143">
        <v>0.56999999999999995</v>
      </c>
      <c r="Q83" s="35"/>
      <c r="R83" s="35"/>
      <c r="S83" s="35">
        <f t="shared" si="82"/>
        <v>4.24</v>
      </c>
      <c r="T83" s="35">
        <f t="shared" si="83"/>
        <v>2</v>
      </c>
      <c r="U83" s="35">
        <f t="shared" si="84"/>
        <v>1.3199999999999998</v>
      </c>
      <c r="V83" s="35"/>
      <c r="W83" s="35">
        <f t="shared" ref="W83" si="88">G83*N83*0.3</f>
        <v>63.599999999999994</v>
      </c>
      <c r="X83" s="35">
        <f t="shared" si="85"/>
        <v>63.249999999999993</v>
      </c>
      <c r="Y83" s="35">
        <f t="shared" si="86"/>
        <v>167.38637857877728</v>
      </c>
      <c r="Z83" s="83">
        <f t="shared" si="87"/>
        <v>167.38637857877728</v>
      </c>
      <c r="AA83" s="100">
        <f t="shared" si="74"/>
        <v>10.999999999999998</v>
      </c>
      <c r="AB83" s="100">
        <f t="shared" si="75"/>
        <v>123.41</v>
      </c>
      <c r="AC83" s="100">
        <f t="shared" si="76"/>
        <v>442.70715885893708</v>
      </c>
      <c r="AD83" s="100">
        <f t="shared" si="77"/>
        <v>566.11715885893705</v>
      </c>
      <c r="AE83" s="100">
        <f t="shared" si="78"/>
        <v>3.3783749999999992</v>
      </c>
      <c r="AG83" s="26">
        <f t="shared" si="79"/>
        <v>63.249999999999993</v>
      </c>
    </row>
    <row r="84" spans="1:33" s="26" customFormat="1" ht="124.2">
      <c r="A84" s="94">
        <v>11</v>
      </c>
      <c r="B84" s="96" t="s">
        <v>194</v>
      </c>
      <c r="C84" s="93" t="s">
        <v>195</v>
      </c>
      <c r="D84" s="93">
        <v>148268</v>
      </c>
      <c r="E84" s="93">
        <v>111</v>
      </c>
      <c r="F84" s="93" t="s">
        <v>74</v>
      </c>
      <c r="G84" s="95">
        <v>1</v>
      </c>
      <c r="H84" s="117">
        <v>7.32</v>
      </c>
      <c r="I84" s="117">
        <v>0.17</v>
      </c>
      <c r="J84" s="117">
        <v>0.3</v>
      </c>
      <c r="K84" s="118">
        <f t="shared" si="81"/>
        <v>6.8500000000000005</v>
      </c>
      <c r="L84" s="97" t="s">
        <v>183</v>
      </c>
      <c r="M84" s="97" t="s">
        <v>184</v>
      </c>
      <c r="N84" s="98" t="s">
        <v>185</v>
      </c>
      <c r="O84" s="137">
        <v>10.5</v>
      </c>
      <c r="P84" s="143">
        <v>0.87</v>
      </c>
      <c r="Q84" s="35"/>
      <c r="R84" s="35"/>
      <c r="S84" s="35">
        <f>0.02*(4+2+2+2+2+2+2+2+1)*G84</f>
        <v>0.38</v>
      </c>
      <c r="T84" s="35">
        <f t="shared" si="83"/>
        <v>2</v>
      </c>
      <c r="U84" s="35">
        <f t="shared" si="84"/>
        <v>0</v>
      </c>
      <c r="V84" s="35"/>
      <c r="W84" s="35">
        <f>9.6*G84</f>
        <v>9.6</v>
      </c>
      <c r="X84" s="35">
        <f t="shared" si="85"/>
        <v>71.925000000000011</v>
      </c>
      <c r="Y84" s="35">
        <f t="shared" si="86"/>
        <v>208.47212604811355</v>
      </c>
      <c r="Z84" s="83">
        <f t="shared" si="87"/>
        <v>208.47212604811355</v>
      </c>
      <c r="AA84" s="100">
        <f t="shared" si="74"/>
        <v>13.700000000000001</v>
      </c>
      <c r="AB84" s="100">
        <f t="shared" si="75"/>
        <v>70.205000000000013</v>
      </c>
      <c r="AC84" s="100">
        <f t="shared" si="76"/>
        <v>607.39339510048308</v>
      </c>
      <c r="AD84" s="100">
        <f t="shared" si="77"/>
        <v>677.59839510048312</v>
      </c>
      <c r="AE84" s="100">
        <f t="shared" si="78"/>
        <v>4.2076124999999998</v>
      </c>
      <c r="AG84" s="26">
        <f t="shared" si="79"/>
        <v>71.925000000000011</v>
      </c>
    </row>
    <row r="85" spans="1:33" s="26" customFormat="1" ht="27.6">
      <c r="A85" s="94">
        <v>12</v>
      </c>
      <c r="B85" s="96" t="s">
        <v>196</v>
      </c>
      <c r="C85" s="93" t="s">
        <v>197</v>
      </c>
      <c r="D85" s="93">
        <v>148268</v>
      </c>
      <c r="E85" s="93">
        <v>112</v>
      </c>
      <c r="F85" s="93" t="s">
        <v>73</v>
      </c>
      <c r="G85" s="95">
        <v>1</v>
      </c>
      <c r="H85" s="117">
        <v>13.85</v>
      </c>
      <c r="I85" s="117">
        <v>0.23</v>
      </c>
      <c r="J85" s="117">
        <v>0.66</v>
      </c>
      <c r="K85" s="118">
        <f t="shared" si="81"/>
        <v>12.959999999999999</v>
      </c>
      <c r="L85" s="97" t="s">
        <v>198</v>
      </c>
      <c r="M85" s="97" t="s">
        <v>75</v>
      </c>
      <c r="N85" s="98" t="s">
        <v>199</v>
      </c>
      <c r="O85" s="137">
        <f>8.5+2</f>
        <v>10.5</v>
      </c>
      <c r="P85" s="143">
        <v>1.17</v>
      </c>
      <c r="Q85" s="35"/>
      <c r="R85" s="35"/>
      <c r="S85" s="35">
        <f>0.02*(53+23)*G85</f>
        <v>1.52</v>
      </c>
      <c r="T85" s="35">
        <f>4*G85</f>
        <v>4</v>
      </c>
      <c r="U85" s="35">
        <f t="shared" si="84"/>
        <v>3.1103999999999998</v>
      </c>
      <c r="V85" s="35"/>
      <c r="W85" s="35">
        <f>G85*(53+23)*0.3</f>
        <v>22.8</v>
      </c>
      <c r="X85" s="35">
        <f t="shared" si="85"/>
        <v>136.07999999999998</v>
      </c>
      <c r="Y85" s="35">
        <f t="shared" si="86"/>
        <v>394.42317570562795</v>
      </c>
      <c r="Z85" s="83">
        <f t="shared" si="87"/>
        <v>394.42317570562795</v>
      </c>
      <c r="AA85" s="100">
        <f t="shared" si="74"/>
        <v>25.919999999999998</v>
      </c>
      <c r="AB85" s="100">
        <f t="shared" si="75"/>
        <v>141.59039999999999</v>
      </c>
      <c r="AC85" s="100">
        <f t="shared" si="76"/>
        <v>982.59539134202896</v>
      </c>
      <c r="AD85" s="100">
        <f t="shared" si="77"/>
        <v>1124.185791342029</v>
      </c>
      <c r="AE85" s="100">
        <f t="shared" si="78"/>
        <v>7.9606799999999991</v>
      </c>
      <c r="AG85" s="26">
        <f t="shared" si="79"/>
        <v>136.07999999999998</v>
      </c>
    </row>
    <row r="86" spans="1:33" s="26" customFormat="1" ht="28.2" thickBot="1">
      <c r="A86" s="94">
        <v>13</v>
      </c>
      <c r="B86" s="96" t="s">
        <v>200</v>
      </c>
      <c r="C86" s="93" t="s">
        <v>201</v>
      </c>
      <c r="D86" s="93">
        <v>148268</v>
      </c>
      <c r="E86" s="93">
        <v>113</v>
      </c>
      <c r="F86" s="93" t="s">
        <v>110</v>
      </c>
      <c r="G86" s="95">
        <v>1</v>
      </c>
      <c r="H86" s="117">
        <v>23.12</v>
      </c>
      <c r="I86" s="117">
        <v>0.39</v>
      </c>
      <c r="J86" s="117">
        <v>0.75</v>
      </c>
      <c r="K86" s="118">
        <f t="shared" si="81"/>
        <v>21.98</v>
      </c>
      <c r="L86" s="97">
        <v>2.5499999999999998</v>
      </c>
      <c r="M86" s="97" t="s">
        <v>63</v>
      </c>
      <c r="N86" s="98">
        <v>33</v>
      </c>
      <c r="O86" s="137">
        <v>11.5</v>
      </c>
      <c r="P86" s="143">
        <v>1.95</v>
      </c>
      <c r="Q86" s="35"/>
      <c r="R86" s="35"/>
      <c r="S86" s="35">
        <f t="shared" si="82"/>
        <v>0.66</v>
      </c>
      <c r="T86" s="35">
        <f>4*G86</f>
        <v>4</v>
      </c>
      <c r="U86" s="35">
        <f t="shared" si="84"/>
        <v>8.2751999999999999</v>
      </c>
      <c r="V86" s="35"/>
      <c r="W86" s="35">
        <f>G86*N86*0.5</f>
        <v>16.5</v>
      </c>
      <c r="X86" s="35">
        <f t="shared" si="85"/>
        <v>252.77</v>
      </c>
      <c r="Y86" s="35">
        <f t="shared" si="86"/>
        <v>668.93683657482279</v>
      </c>
      <c r="Z86" s="83">
        <f t="shared" si="87"/>
        <v>668.93683657482279</v>
      </c>
      <c r="AA86" s="100">
        <f t="shared" si="74"/>
        <v>43.96</v>
      </c>
      <c r="AB86" s="100">
        <f t="shared" si="75"/>
        <v>238.24519999999998</v>
      </c>
      <c r="AC86" s="100">
        <f t="shared" si="76"/>
        <v>1654.4648655700485</v>
      </c>
      <c r="AD86" s="100">
        <f t="shared" si="77"/>
        <v>1892.7100655700485</v>
      </c>
      <c r="AE86" s="100">
        <f t="shared" si="78"/>
        <v>13.501215</v>
      </c>
      <c r="AG86" s="26">
        <f t="shared" si="79"/>
        <v>252.77</v>
      </c>
    </row>
    <row r="87" spans="1:33" s="27" customFormat="1" ht="15.9" customHeight="1">
      <c r="A87" s="86" t="s">
        <v>66</v>
      </c>
      <c r="B87" s="63"/>
      <c r="C87" s="63"/>
      <c r="D87" s="63"/>
      <c r="E87" s="63"/>
      <c r="F87" s="63"/>
      <c r="G87" s="64">
        <f>SUM(G81:G86)</f>
        <v>6</v>
      </c>
      <c r="H87" s="119"/>
      <c r="I87" s="119"/>
      <c r="J87" s="119"/>
      <c r="K87" s="119">
        <f>SUM(K81:K86)</f>
        <v>57.5</v>
      </c>
      <c r="L87" s="65"/>
      <c r="M87" s="65"/>
      <c r="N87" s="65"/>
      <c r="O87" s="138"/>
      <c r="P87" s="101">
        <f>SUM(P81:P86)</f>
        <v>7.5</v>
      </c>
      <c r="Q87" s="66">
        <f>SUM(Q81:Q86)</f>
        <v>0</v>
      </c>
      <c r="R87" s="66">
        <f>SUM(R81:R86)</f>
        <v>0</v>
      </c>
      <c r="S87" s="66">
        <f>SUM(S81:S86)</f>
        <v>8</v>
      </c>
      <c r="T87" s="66">
        <f>SUM(T81:T86)</f>
        <v>16</v>
      </c>
      <c r="U87" s="66">
        <f>SUM(U81:U86)</f>
        <v>14.392799999999999</v>
      </c>
      <c r="V87" s="66">
        <f>SUM(V81:V86)</f>
        <v>0</v>
      </c>
      <c r="W87" s="66">
        <f>SUM(W81:W86)</f>
        <v>142.89999999999998</v>
      </c>
      <c r="X87" s="66">
        <f>SUM(X81:X86)</f>
        <v>643.03</v>
      </c>
      <c r="Y87" s="66">
        <f>SUM(Y81:Y86)</f>
        <v>1749.948503323581</v>
      </c>
      <c r="Z87" s="84">
        <f>SUM(Z81:Z86)</f>
        <v>1749.948503323581</v>
      </c>
      <c r="AA87" s="100"/>
      <c r="AB87" s="100"/>
      <c r="AC87" s="100"/>
      <c r="AD87" s="100"/>
      <c r="AE87" s="100"/>
      <c r="AF87" s="26"/>
      <c r="AG87" s="26"/>
    </row>
    <row r="88" spans="1:33" ht="15.9" customHeight="1">
      <c r="A88" s="52" t="s">
        <v>64</v>
      </c>
      <c r="K88" s="115"/>
      <c r="L88" s="48"/>
      <c r="M88" s="48"/>
      <c r="N88" s="48"/>
      <c r="W88" s="49"/>
      <c r="X88" s="80" t="s">
        <v>144</v>
      </c>
      <c r="Y88" s="92">
        <f>3030.25*1.02</f>
        <v>3090.855</v>
      </c>
      <c r="Z88" s="92">
        <f>3030.25*1.02</f>
        <v>3090.855</v>
      </c>
      <c r="AA88" s="100"/>
      <c r="AB88" s="100"/>
      <c r="AC88" s="100"/>
      <c r="AD88" s="100"/>
      <c r="AE88" s="100"/>
      <c r="AF88" s="26"/>
      <c r="AG88" s="26"/>
    </row>
    <row r="89" spans="1:33" s="91" customFormat="1" ht="27.6">
      <c r="A89" s="87" t="s">
        <v>4</v>
      </c>
      <c r="B89" s="88" t="s">
        <v>5</v>
      </c>
      <c r="C89" s="88" t="s">
        <v>24</v>
      </c>
      <c r="D89" s="88" t="s">
        <v>46</v>
      </c>
      <c r="E89" s="88" t="s">
        <v>67</v>
      </c>
      <c r="F89" s="88" t="s">
        <v>6</v>
      </c>
      <c r="G89" s="88" t="s">
        <v>7</v>
      </c>
      <c r="H89" s="116" t="s">
        <v>8</v>
      </c>
      <c r="I89" s="116" t="s">
        <v>47</v>
      </c>
      <c r="J89" s="116" t="s">
        <v>9</v>
      </c>
      <c r="K89" s="116" t="s">
        <v>14</v>
      </c>
      <c r="L89" s="89" t="s">
        <v>20</v>
      </c>
      <c r="M89" s="89" t="s">
        <v>23</v>
      </c>
      <c r="N89" s="89" t="s">
        <v>21</v>
      </c>
      <c r="O89" s="136" t="s">
        <v>10</v>
      </c>
      <c r="P89" s="90" t="s">
        <v>49</v>
      </c>
      <c r="Q89" s="45" t="s">
        <v>50</v>
      </c>
      <c r="R89" s="45" t="s">
        <v>55</v>
      </c>
      <c r="S89" s="45" t="s">
        <v>70</v>
      </c>
      <c r="T89" s="45" t="s">
        <v>13</v>
      </c>
      <c r="U89" s="45" t="s">
        <v>52</v>
      </c>
      <c r="V89" s="45" t="s">
        <v>48</v>
      </c>
      <c r="W89" s="45" t="s">
        <v>15</v>
      </c>
      <c r="X89" s="50" t="s">
        <v>12</v>
      </c>
      <c r="Y89" s="160" t="s">
        <v>22</v>
      </c>
      <c r="Z89" s="50" t="s">
        <v>68</v>
      </c>
      <c r="AA89" s="100"/>
      <c r="AB89" s="100"/>
      <c r="AC89" s="100"/>
      <c r="AD89" s="100"/>
      <c r="AE89" s="100"/>
      <c r="AF89" s="26"/>
      <c r="AG89" s="26"/>
    </row>
    <row r="90" spans="1:33" s="26" customFormat="1" ht="25.8" customHeight="1">
      <c r="A90" s="165" t="s">
        <v>202</v>
      </c>
      <c r="B90" s="93" t="s">
        <v>203</v>
      </c>
      <c r="C90" s="93" t="s">
        <v>204</v>
      </c>
      <c r="D90" s="93">
        <v>148340</v>
      </c>
      <c r="E90" s="93">
        <v>119</v>
      </c>
      <c r="F90" s="93" t="s">
        <v>74</v>
      </c>
      <c r="G90" s="167">
        <v>1</v>
      </c>
      <c r="H90" s="168">
        <v>10.49</v>
      </c>
      <c r="I90" s="168">
        <v>0.56000000000000005</v>
      </c>
      <c r="J90" s="168">
        <v>0.65</v>
      </c>
      <c r="K90" s="169">
        <f t="shared" ref="K90:K99" si="89">H90-I90-J90</f>
        <v>9.2799999999999994</v>
      </c>
      <c r="L90" s="97">
        <v>1.6</v>
      </c>
      <c r="M90" s="97" t="s">
        <v>63</v>
      </c>
      <c r="N90" s="98">
        <v>184</v>
      </c>
      <c r="O90" s="137">
        <v>8.5</v>
      </c>
      <c r="P90" s="143">
        <v>2.8</v>
      </c>
      <c r="Q90" s="35"/>
      <c r="R90" s="35"/>
      <c r="S90" s="35">
        <f t="shared" ref="S90:S96" si="90">0.02*N90*G90</f>
        <v>3.68</v>
      </c>
      <c r="T90" s="35">
        <f>4*G90</f>
        <v>4</v>
      </c>
      <c r="U90" s="35">
        <f t="shared" ref="U90:U99" si="91">IF(RIGHT(F90,2)="WG",K90*$AB$4,IF(RIGHT(F90,3)="WRG",K90*$AB$4+3*G90,IF(RIGHT(F90,3)="WYG",K90*$AB$4+3*G90,IF(RIGHT(F90,3)="WYR",K90*$AB$4+3*G90,0))))</f>
        <v>0</v>
      </c>
      <c r="V90" s="35"/>
      <c r="W90" s="35">
        <f t="shared" ref="W90:W96" si="92">G90*N90*0.3</f>
        <v>55.199999999999996</v>
      </c>
      <c r="X90" s="35">
        <f t="shared" ref="X90:X99" si="93">K90*O90</f>
        <v>78.88</v>
      </c>
      <c r="Y90" s="35">
        <f t="shared" ref="Y90:Y99" si="94">($Y$57/31.1035*IF(LEFT(F90,3)="10K",(0.417*1.07*K90),IF(LEFT(F90,3)="14K",(0.585*1.05*K90),IF(LEFT(F90,3)="18K",(0.75*1.05*K90),0))))*0.5</f>
        <v>13.041642499595147</v>
      </c>
      <c r="Z90" s="83">
        <f t="shared" ref="Z90:Z99" si="95">($Z$57/31.1035*IF(LEFT(F90,3)="10K",(0.417*1.07*K90),IF(LEFT(F90,3)="14K",(0.585*1.05*K90),IF(LEFT(F90,3)="18K",(0.75*1.05*K90),0))))*0.5</f>
        <v>13.041642499595147</v>
      </c>
      <c r="AA90" s="100">
        <f t="shared" si="74"/>
        <v>18.559999999999999</v>
      </c>
      <c r="AB90" s="100">
        <f t="shared" si="75"/>
        <v>123.19999999999999</v>
      </c>
      <c r="AC90" s="100">
        <f t="shared" si="76"/>
        <v>1390.2412182544283</v>
      </c>
      <c r="AD90" s="100">
        <f t="shared" si="77"/>
        <v>1513.4412182544283</v>
      </c>
      <c r="AE90" s="100">
        <f t="shared" si="78"/>
        <v>5.7002399999999991</v>
      </c>
      <c r="AG90" s="26">
        <f t="shared" si="79"/>
        <v>78.88</v>
      </c>
    </row>
    <row r="91" spans="1:33" s="26" customFormat="1" ht="27.6">
      <c r="A91" s="94">
        <v>3</v>
      </c>
      <c r="B91" s="96" t="s">
        <v>205</v>
      </c>
      <c r="C91" s="93" t="s">
        <v>206</v>
      </c>
      <c r="D91" s="93">
        <v>148340</v>
      </c>
      <c r="E91" s="93">
        <v>104</v>
      </c>
      <c r="F91" s="93" t="s">
        <v>73</v>
      </c>
      <c r="G91" s="167">
        <v>1</v>
      </c>
      <c r="H91" s="168">
        <v>5.94</v>
      </c>
      <c r="I91" s="168">
        <v>0.3</v>
      </c>
      <c r="J91" s="168">
        <v>0.32</v>
      </c>
      <c r="K91" s="169">
        <f t="shared" si="89"/>
        <v>5.32</v>
      </c>
      <c r="L91" s="97">
        <v>1.65</v>
      </c>
      <c r="M91" s="97" t="s">
        <v>63</v>
      </c>
      <c r="N91" s="98">
        <v>85</v>
      </c>
      <c r="O91" s="137">
        <v>8.5</v>
      </c>
      <c r="P91" s="143">
        <v>1.5</v>
      </c>
      <c r="Q91" s="35"/>
      <c r="R91" s="35"/>
      <c r="S91" s="35">
        <f t="shared" si="90"/>
        <v>1.7</v>
      </c>
      <c r="T91" s="35">
        <f t="shared" ref="T91:T99" si="96">2*G91</f>
        <v>2</v>
      </c>
      <c r="U91" s="35">
        <f t="shared" si="91"/>
        <v>1.2767999999999999</v>
      </c>
      <c r="V91" s="35"/>
      <c r="W91" s="35">
        <f t="shared" si="92"/>
        <v>25.5</v>
      </c>
      <c r="X91" s="35">
        <f t="shared" si="93"/>
        <v>45.22</v>
      </c>
      <c r="Y91" s="35">
        <f t="shared" si="94"/>
        <v>7.4764588467506679</v>
      </c>
      <c r="Z91" s="83">
        <f t="shared" si="95"/>
        <v>7.4764588467506679</v>
      </c>
      <c r="AA91" s="100">
        <f t="shared" si="74"/>
        <v>10.64</v>
      </c>
      <c r="AB91" s="100">
        <f t="shared" si="75"/>
        <v>65.056799999999996</v>
      </c>
      <c r="AC91" s="100">
        <f t="shared" si="76"/>
        <v>760.18800120772949</v>
      </c>
      <c r="AD91" s="100">
        <f t="shared" si="77"/>
        <v>825.24480120772944</v>
      </c>
      <c r="AE91" s="100">
        <f t="shared" si="78"/>
        <v>3.2678099999999999</v>
      </c>
      <c r="AG91" s="26">
        <f t="shared" si="79"/>
        <v>45.22</v>
      </c>
    </row>
    <row r="92" spans="1:33" s="26" customFormat="1" ht="27.6">
      <c r="A92" s="94"/>
      <c r="B92" s="96" t="s">
        <v>205</v>
      </c>
      <c r="C92" s="93" t="s">
        <v>207</v>
      </c>
      <c r="D92" s="93">
        <v>148340</v>
      </c>
      <c r="E92" s="93">
        <v>120</v>
      </c>
      <c r="F92" s="93" t="s">
        <v>74</v>
      </c>
      <c r="G92" s="167">
        <v>2</v>
      </c>
      <c r="H92" s="168">
        <v>11.96</v>
      </c>
      <c r="I92" s="168">
        <v>0.6</v>
      </c>
      <c r="J92" s="168">
        <v>0.64</v>
      </c>
      <c r="K92" s="169">
        <f t="shared" si="89"/>
        <v>10.72</v>
      </c>
      <c r="L92" s="97">
        <v>1.65</v>
      </c>
      <c r="M92" s="97" t="s">
        <v>63</v>
      </c>
      <c r="N92" s="98">
        <v>85</v>
      </c>
      <c r="O92" s="137">
        <v>8.5</v>
      </c>
      <c r="P92" s="143">
        <v>2.96</v>
      </c>
      <c r="Q92" s="35"/>
      <c r="R92" s="35"/>
      <c r="S92" s="35">
        <f t="shared" si="90"/>
        <v>3.4</v>
      </c>
      <c r="T92" s="35">
        <f t="shared" si="96"/>
        <v>4</v>
      </c>
      <c r="U92" s="35">
        <f t="shared" si="91"/>
        <v>0</v>
      </c>
      <c r="V92" s="35"/>
      <c r="W92" s="35">
        <f t="shared" si="92"/>
        <v>51</v>
      </c>
      <c r="X92" s="35">
        <f t="shared" si="93"/>
        <v>91.12</v>
      </c>
      <c r="Y92" s="35">
        <f t="shared" si="94"/>
        <v>15.065345646084053</v>
      </c>
      <c r="Z92" s="83">
        <f t="shared" si="95"/>
        <v>15.065345646084053</v>
      </c>
      <c r="AA92" s="100">
        <f t="shared" si="74"/>
        <v>21.44</v>
      </c>
      <c r="AB92" s="100">
        <f t="shared" si="75"/>
        <v>128.08000000000001</v>
      </c>
      <c r="AC92" s="100">
        <f t="shared" si="76"/>
        <v>1509.916597583253</v>
      </c>
      <c r="AD92" s="100">
        <f t="shared" si="77"/>
        <v>1637.9965975832529</v>
      </c>
      <c r="AE92" s="100">
        <f t="shared" si="78"/>
        <v>6.5847600000000002</v>
      </c>
      <c r="AG92" s="26">
        <f t="shared" si="79"/>
        <v>91.12</v>
      </c>
    </row>
    <row r="93" spans="1:33" s="26" customFormat="1" ht="27.6">
      <c r="A93" s="94">
        <v>4</v>
      </c>
      <c r="B93" s="93" t="s">
        <v>169</v>
      </c>
      <c r="C93" s="93" t="s">
        <v>208</v>
      </c>
      <c r="D93" s="93">
        <v>148340</v>
      </c>
      <c r="E93" s="93">
        <v>105</v>
      </c>
      <c r="F93" s="93" t="s">
        <v>73</v>
      </c>
      <c r="G93" s="167">
        <v>1</v>
      </c>
      <c r="H93" s="168">
        <v>5.46</v>
      </c>
      <c r="I93" s="168">
        <v>0.08</v>
      </c>
      <c r="J93" s="168">
        <v>0.44</v>
      </c>
      <c r="K93" s="169">
        <f t="shared" si="89"/>
        <v>4.9399999999999995</v>
      </c>
      <c r="L93" s="97" t="s">
        <v>128</v>
      </c>
      <c r="M93" s="97" t="s">
        <v>75</v>
      </c>
      <c r="N93" s="98" t="s">
        <v>129</v>
      </c>
      <c r="O93" s="137">
        <v>9</v>
      </c>
      <c r="P93" s="143">
        <v>0.42</v>
      </c>
      <c r="Q93" s="35"/>
      <c r="R93" s="35"/>
      <c r="S93" s="35">
        <f>0.02*(16+12)*G93</f>
        <v>0.56000000000000005</v>
      </c>
      <c r="T93" s="35">
        <f t="shared" si="96"/>
        <v>2</v>
      </c>
      <c r="U93" s="35">
        <f t="shared" si="91"/>
        <v>1.1855999999999998</v>
      </c>
      <c r="V93" s="35"/>
      <c r="W93" s="35">
        <f>G93*(16+12)*0.6</f>
        <v>16.8</v>
      </c>
      <c r="X93" s="35">
        <f t="shared" si="93"/>
        <v>44.459999999999994</v>
      </c>
      <c r="Y93" s="35">
        <f t="shared" si="94"/>
        <v>6.9424260719827622</v>
      </c>
      <c r="Z93" s="83">
        <f t="shared" si="95"/>
        <v>6.9424260719827622</v>
      </c>
      <c r="AA93" s="100">
        <f t="shared" si="74"/>
        <v>9.879999999999999</v>
      </c>
      <c r="AB93" s="100">
        <f t="shared" si="75"/>
        <v>55.125599999999991</v>
      </c>
      <c r="AC93" s="100">
        <f t="shared" si="76"/>
        <v>365.45003073816417</v>
      </c>
      <c r="AD93" s="100">
        <f t="shared" si="77"/>
        <v>420.57563073816414</v>
      </c>
      <c r="AE93" s="100">
        <f t="shared" si="78"/>
        <v>3.0343949999999995</v>
      </c>
      <c r="AG93" s="26">
        <f t="shared" si="79"/>
        <v>44.459999999999994</v>
      </c>
    </row>
    <row r="94" spans="1:33" s="26" customFormat="1" ht="27.6">
      <c r="A94" s="94">
        <v>6</v>
      </c>
      <c r="B94" s="96" t="s">
        <v>209</v>
      </c>
      <c r="C94" s="93" t="s">
        <v>210</v>
      </c>
      <c r="D94" s="93">
        <v>148340</v>
      </c>
      <c r="E94" s="93">
        <v>125</v>
      </c>
      <c r="F94" s="93" t="s">
        <v>159</v>
      </c>
      <c r="G94" s="167">
        <v>1</v>
      </c>
      <c r="H94" s="168">
        <v>6.49</v>
      </c>
      <c r="I94" s="168">
        <v>0.03</v>
      </c>
      <c r="J94" s="168">
        <v>0.32</v>
      </c>
      <c r="K94" s="169">
        <f t="shared" si="89"/>
        <v>6.14</v>
      </c>
      <c r="L94" s="97">
        <v>1.5</v>
      </c>
      <c r="M94" s="97" t="s">
        <v>63</v>
      </c>
      <c r="N94" s="98">
        <v>13</v>
      </c>
      <c r="O94" s="137">
        <v>9.5</v>
      </c>
      <c r="P94" s="143">
        <v>0.17</v>
      </c>
      <c r="Q94" s="35"/>
      <c r="R94" s="35"/>
      <c r="S94" s="35">
        <f t="shared" si="90"/>
        <v>0.26</v>
      </c>
      <c r="T94" s="35">
        <f t="shared" si="96"/>
        <v>2</v>
      </c>
      <c r="U94" s="35">
        <f t="shared" si="91"/>
        <v>0</v>
      </c>
      <c r="V94" s="35"/>
      <c r="W94" s="35">
        <f t="shared" si="92"/>
        <v>3.9</v>
      </c>
      <c r="X94" s="35">
        <f t="shared" si="93"/>
        <v>58.33</v>
      </c>
      <c r="Y94" s="35">
        <f t="shared" si="94"/>
        <v>8.6288453607235134</v>
      </c>
      <c r="Z94" s="83">
        <f t="shared" si="95"/>
        <v>8.6288453607235134</v>
      </c>
      <c r="AA94" s="100">
        <f t="shared" si="74"/>
        <v>12.28</v>
      </c>
      <c r="AB94" s="100">
        <f t="shared" si="75"/>
        <v>52.209999999999994</v>
      </c>
      <c r="AC94" s="100">
        <f t="shared" si="76"/>
        <v>331.03695053687596</v>
      </c>
      <c r="AD94" s="100">
        <f t="shared" si="77"/>
        <v>383.24695053687594</v>
      </c>
      <c r="AE94" s="100">
        <f t="shared" si="78"/>
        <v>3.7714949999999994</v>
      </c>
      <c r="AG94" s="26">
        <f t="shared" si="79"/>
        <v>58.33</v>
      </c>
    </row>
    <row r="95" spans="1:33" s="26" customFormat="1" ht="27.6">
      <c r="A95" s="94">
        <v>9</v>
      </c>
      <c r="B95" s="93" t="s">
        <v>211</v>
      </c>
      <c r="C95" s="93" t="s">
        <v>212</v>
      </c>
      <c r="D95" s="93">
        <v>148340</v>
      </c>
      <c r="E95" s="93">
        <v>114</v>
      </c>
      <c r="F95" s="93" t="s">
        <v>73</v>
      </c>
      <c r="G95" s="167">
        <v>2</v>
      </c>
      <c r="H95" s="168">
        <v>26.22</v>
      </c>
      <c r="I95" s="168">
        <v>1.61</v>
      </c>
      <c r="J95" s="168">
        <v>1.3</v>
      </c>
      <c r="K95" s="169">
        <f t="shared" si="89"/>
        <v>23.31</v>
      </c>
      <c r="L95" s="97">
        <v>1.95</v>
      </c>
      <c r="M95" s="97" t="s">
        <v>63</v>
      </c>
      <c r="N95" s="98">
        <v>145</v>
      </c>
      <c r="O95" s="137">
        <v>8.5</v>
      </c>
      <c r="P95" s="143">
        <v>8.0500000000000007</v>
      </c>
      <c r="Q95" s="35"/>
      <c r="R95" s="35"/>
      <c r="S95" s="35">
        <f t="shared" si="90"/>
        <v>5.8</v>
      </c>
      <c r="T95" s="35">
        <f>4*G95</f>
        <v>8</v>
      </c>
      <c r="U95" s="35">
        <f t="shared" si="91"/>
        <v>5.5943999999999994</v>
      </c>
      <c r="V95" s="35"/>
      <c r="W95" s="35">
        <f t="shared" si="92"/>
        <v>87</v>
      </c>
      <c r="X95" s="35">
        <f t="shared" si="93"/>
        <v>198.13499999999999</v>
      </c>
      <c r="Y95" s="35">
        <f t="shared" si="94"/>
        <v>32.758694683789102</v>
      </c>
      <c r="Z95" s="83">
        <f t="shared" si="95"/>
        <v>32.758694683789102</v>
      </c>
      <c r="AA95" s="100">
        <f t="shared" si="74"/>
        <v>46.62</v>
      </c>
      <c r="AB95" s="100">
        <f t="shared" si="75"/>
        <v>257.90940000000001</v>
      </c>
      <c r="AC95" s="100">
        <f t="shared" si="76"/>
        <v>3847.9018824814816</v>
      </c>
      <c r="AD95" s="100">
        <f t="shared" si="77"/>
        <v>4105.8112824814816</v>
      </c>
      <c r="AE95" s="100">
        <f t="shared" si="78"/>
        <v>14.318167499999998</v>
      </c>
      <c r="AG95" s="26">
        <f t="shared" si="79"/>
        <v>198.13499999999999</v>
      </c>
    </row>
    <row r="96" spans="1:33" s="26" customFormat="1" ht="27.6">
      <c r="A96" s="94"/>
      <c r="B96" s="93" t="s">
        <v>211</v>
      </c>
      <c r="C96" s="93" t="s">
        <v>213</v>
      </c>
      <c r="D96" s="93">
        <v>148340</v>
      </c>
      <c r="E96" s="93">
        <v>115</v>
      </c>
      <c r="F96" s="93" t="s">
        <v>74</v>
      </c>
      <c r="G96" s="167">
        <v>1</v>
      </c>
      <c r="H96" s="168">
        <v>13.38</v>
      </c>
      <c r="I96" s="168">
        <v>0.81</v>
      </c>
      <c r="J96" s="168">
        <v>0.65</v>
      </c>
      <c r="K96" s="169">
        <f t="shared" si="89"/>
        <v>11.92</v>
      </c>
      <c r="L96" s="97">
        <v>1.95</v>
      </c>
      <c r="M96" s="97" t="s">
        <v>63</v>
      </c>
      <c r="N96" s="98">
        <v>145</v>
      </c>
      <c r="O96" s="137">
        <v>8.5</v>
      </c>
      <c r="P96" s="143">
        <v>4.04</v>
      </c>
      <c r="Q96" s="35"/>
      <c r="R96" s="35"/>
      <c r="S96" s="35">
        <f t="shared" si="90"/>
        <v>2.9</v>
      </c>
      <c r="T96" s="35">
        <f>4*G96</f>
        <v>4</v>
      </c>
      <c r="U96" s="35">
        <f t="shared" si="91"/>
        <v>0</v>
      </c>
      <c r="V96" s="35"/>
      <c r="W96" s="35">
        <f t="shared" si="92"/>
        <v>43.5</v>
      </c>
      <c r="X96" s="35">
        <f t="shared" si="93"/>
        <v>101.32</v>
      </c>
      <c r="Y96" s="35">
        <f t="shared" si="94"/>
        <v>16.751764934824802</v>
      </c>
      <c r="Z96" s="83">
        <f t="shared" si="95"/>
        <v>16.751764934824802</v>
      </c>
      <c r="AA96" s="100">
        <f t="shared" si="74"/>
        <v>23.84</v>
      </c>
      <c r="AB96" s="100">
        <f t="shared" si="75"/>
        <v>127.88</v>
      </c>
      <c r="AC96" s="100">
        <f t="shared" si="76"/>
        <v>1940.9198880528179</v>
      </c>
      <c r="AD96" s="100">
        <f t="shared" si="77"/>
        <v>2068.799888052818</v>
      </c>
      <c r="AE96" s="100">
        <f t="shared" si="78"/>
        <v>7.3218599999999991</v>
      </c>
      <c r="AG96" s="26">
        <f t="shared" si="79"/>
        <v>101.32</v>
      </c>
    </row>
    <row r="97" spans="1:33" s="26" customFormat="1" ht="124.2">
      <c r="A97" s="94">
        <v>10</v>
      </c>
      <c r="B97" s="96" t="s">
        <v>214</v>
      </c>
      <c r="C97" s="93" t="s">
        <v>215</v>
      </c>
      <c r="D97" s="93">
        <v>148340</v>
      </c>
      <c r="E97" s="93">
        <v>116</v>
      </c>
      <c r="F97" s="93" t="s">
        <v>74</v>
      </c>
      <c r="G97" s="167">
        <v>1</v>
      </c>
      <c r="H97" s="168">
        <v>7.14</v>
      </c>
      <c r="I97" s="168">
        <v>0.17</v>
      </c>
      <c r="J97" s="168">
        <v>0.32</v>
      </c>
      <c r="K97" s="169">
        <f t="shared" si="89"/>
        <v>6.6499999999999995</v>
      </c>
      <c r="L97" s="97" t="s">
        <v>183</v>
      </c>
      <c r="M97" s="97" t="s">
        <v>184</v>
      </c>
      <c r="N97" s="98" t="s">
        <v>185</v>
      </c>
      <c r="O97" s="137">
        <v>10.5</v>
      </c>
      <c r="P97" s="143">
        <v>0.86</v>
      </c>
      <c r="Q97" s="35"/>
      <c r="R97" s="35"/>
      <c r="S97" s="35">
        <f>0.02*(4+2+2+2+2+2+2+2+1)*G97</f>
        <v>0.38</v>
      </c>
      <c r="T97" s="35">
        <f t="shared" ref="T97" si="97">2*G97</f>
        <v>2</v>
      </c>
      <c r="U97" s="35">
        <f t="shared" si="91"/>
        <v>0</v>
      </c>
      <c r="V97" s="35"/>
      <c r="W97" s="35">
        <f>9.6*G97</f>
        <v>9.6</v>
      </c>
      <c r="X97" s="35">
        <f t="shared" si="93"/>
        <v>69.824999999999989</v>
      </c>
      <c r="Y97" s="35">
        <f t="shared" si="94"/>
        <v>9.3455735584383319</v>
      </c>
      <c r="Z97" s="83">
        <f t="shared" si="95"/>
        <v>9.3455735584383319</v>
      </c>
      <c r="AA97" s="100">
        <f t="shared" si="74"/>
        <v>13.299999999999999</v>
      </c>
      <c r="AB97" s="100">
        <f t="shared" si="75"/>
        <v>68.504999999999995</v>
      </c>
      <c r="AC97" s="100">
        <f t="shared" si="76"/>
        <v>595.04882389243153</v>
      </c>
      <c r="AD97" s="100">
        <f t="shared" si="77"/>
        <v>663.55382389243152</v>
      </c>
      <c r="AE97" s="100">
        <f t="shared" si="78"/>
        <v>4.0847624999999992</v>
      </c>
      <c r="AG97" s="26">
        <f t="shared" si="79"/>
        <v>69.824999999999989</v>
      </c>
    </row>
    <row r="98" spans="1:33" s="26" customFormat="1" ht="27.6">
      <c r="A98" s="94">
        <v>11</v>
      </c>
      <c r="B98" s="96" t="s">
        <v>216</v>
      </c>
      <c r="C98" s="93" t="s">
        <v>217</v>
      </c>
      <c r="D98" s="93">
        <v>148340</v>
      </c>
      <c r="E98" s="93">
        <v>117</v>
      </c>
      <c r="F98" s="93" t="s">
        <v>74</v>
      </c>
      <c r="G98" s="167">
        <v>1</v>
      </c>
      <c r="H98" s="168">
        <v>7.14</v>
      </c>
      <c r="I98" s="168">
        <v>0.08</v>
      </c>
      <c r="J98" s="168">
        <v>0.32</v>
      </c>
      <c r="K98" s="169">
        <f t="shared" si="89"/>
        <v>6.7399999999999993</v>
      </c>
      <c r="L98" s="97" t="s">
        <v>218</v>
      </c>
      <c r="M98" s="97" t="s">
        <v>219</v>
      </c>
      <c r="N98" s="98" t="s">
        <v>220</v>
      </c>
      <c r="O98" s="137">
        <v>8.5</v>
      </c>
      <c r="P98" s="143">
        <v>0.39</v>
      </c>
      <c r="Q98" s="35"/>
      <c r="R98" s="35"/>
      <c r="S98" s="35">
        <f>0.02*(10+11)*G98</f>
        <v>0.42</v>
      </c>
      <c r="T98" s="35">
        <f t="shared" si="96"/>
        <v>2</v>
      </c>
      <c r="U98" s="35">
        <f t="shared" si="91"/>
        <v>0</v>
      </c>
      <c r="V98" s="35"/>
      <c r="W98" s="35">
        <f>(0.3*10+1*11)*G98</f>
        <v>14</v>
      </c>
      <c r="X98" s="35">
        <f t="shared" si="93"/>
        <v>57.289999999999992</v>
      </c>
      <c r="Y98" s="35">
        <f t="shared" si="94"/>
        <v>9.4720550050938908</v>
      </c>
      <c r="Z98" s="83">
        <f t="shared" si="95"/>
        <v>9.4720550050938908</v>
      </c>
      <c r="AA98" s="100">
        <f t="shared" si="74"/>
        <v>13.479999999999999</v>
      </c>
      <c r="AB98" s="100">
        <f t="shared" si="75"/>
        <v>60.23</v>
      </c>
      <c r="AC98" s="100">
        <f t="shared" si="76"/>
        <v>434.55871711400965</v>
      </c>
      <c r="AD98" s="100">
        <f t="shared" si="77"/>
        <v>494.78871711400967</v>
      </c>
      <c r="AE98" s="100">
        <f t="shared" si="78"/>
        <v>4.1400449999999998</v>
      </c>
      <c r="AG98" s="26">
        <f t="shared" si="79"/>
        <v>57.289999999999992</v>
      </c>
    </row>
    <row r="99" spans="1:33" s="26" customFormat="1" ht="28.2" thickBot="1">
      <c r="A99" s="94"/>
      <c r="B99" s="96" t="s">
        <v>216</v>
      </c>
      <c r="C99" s="93" t="s">
        <v>221</v>
      </c>
      <c r="D99" s="93">
        <v>148340</v>
      </c>
      <c r="E99" s="93">
        <v>118</v>
      </c>
      <c r="F99" s="93" t="s">
        <v>159</v>
      </c>
      <c r="G99" s="167">
        <v>1</v>
      </c>
      <c r="H99" s="168">
        <v>6.84</v>
      </c>
      <c r="I99" s="168">
        <v>0.08</v>
      </c>
      <c r="J99" s="168">
        <v>0.32</v>
      </c>
      <c r="K99" s="169">
        <f t="shared" si="89"/>
        <v>6.4399999999999995</v>
      </c>
      <c r="L99" s="97" t="s">
        <v>218</v>
      </c>
      <c r="M99" s="97" t="s">
        <v>219</v>
      </c>
      <c r="N99" s="98" t="s">
        <v>220</v>
      </c>
      <c r="O99" s="137">
        <v>8.5</v>
      </c>
      <c r="P99" s="143">
        <v>0.4</v>
      </c>
      <c r="Q99" s="35"/>
      <c r="R99" s="35"/>
      <c r="S99" s="35">
        <f>0.02*(10+11)*G99</f>
        <v>0.42</v>
      </c>
      <c r="T99" s="35">
        <f t="shared" si="96"/>
        <v>2</v>
      </c>
      <c r="U99" s="35">
        <f t="shared" si="91"/>
        <v>0</v>
      </c>
      <c r="V99" s="35"/>
      <c r="W99" s="35">
        <f>(0.3*10+1*11)*G99</f>
        <v>14</v>
      </c>
      <c r="X99" s="35">
        <f t="shared" si="93"/>
        <v>54.739999999999995</v>
      </c>
      <c r="Y99" s="35">
        <f t="shared" si="94"/>
        <v>9.0504501829087012</v>
      </c>
      <c r="Z99" s="83">
        <f t="shared" si="95"/>
        <v>9.0504501829087012</v>
      </c>
      <c r="AA99" s="100">
        <f t="shared" si="74"/>
        <v>12.879999999999999</v>
      </c>
      <c r="AB99" s="100">
        <f t="shared" si="75"/>
        <v>58.28</v>
      </c>
      <c r="AC99" s="100">
        <f t="shared" si="76"/>
        <v>424.7902883220612</v>
      </c>
      <c r="AD99" s="100">
        <f t="shared" si="77"/>
        <v>483.07028832206117</v>
      </c>
      <c r="AE99" s="100">
        <f t="shared" si="78"/>
        <v>3.9557699999999993</v>
      </c>
      <c r="AG99" s="26">
        <f t="shared" si="79"/>
        <v>54.739999999999995</v>
      </c>
    </row>
    <row r="100" spans="1:33" s="27" customFormat="1" ht="15.9" customHeight="1">
      <c r="A100" s="86" t="s">
        <v>66</v>
      </c>
      <c r="B100" s="63"/>
      <c r="C100" s="63"/>
      <c r="D100" s="63"/>
      <c r="E100" s="63"/>
      <c r="F100" s="63"/>
      <c r="G100" s="170">
        <f>SUM(G90:G99)</f>
        <v>12</v>
      </c>
      <c r="H100" s="171"/>
      <c r="I100" s="171"/>
      <c r="J100" s="171"/>
      <c r="K100" s="171">
        <f>SUM(K90:K99)</f>
        <v>91.46</v>
      </c>
      <c r="L100" s="65"/>
      <c r="M100" s="65"/>
      <c r="N100" s="65"/>
      <c r="O100" s="138"/>
      <c r="P100" s="101">
        <f t="shared" ref="P100:Z100" si="98">SUM(P90:P99)</f>
        <v>21.59</v>
      </c>
      <c r="Q100" s="66">
        <f t="shared" si="98"/>
        <v>0</v>
      </c>
      <c r="R100" s="66">
        <f t="shared" si="98"/>
        <v>0</v>
      </c>
      <c r="S100" s="66">
        <f t="shared" si="98"/>
        <v>19.52</v>
      </c>
      <c r="T100" s="66">
        <f t="shared" si="98"/>
        <v>32</v>
      </c>
      <c r="U100" s="66">
        <f t="shared" si="98"/>
        <v>8.0567999999999991</v>
      </c>
      <c r="V100" s="66">
        <f t="shared" si="98"/>
        <v>0</v>
      </c>
      <c r="W100" s="66">
        <f t="shared" si="98"/>
        <v>320.5</v>
      </c>
      <c r="X100" s="66">
        <f t="shared" si="98"/>
        <v>799.31999999999994</v>
      </c>
      <c r="Y100" s="66">
        <f t="shared" si="98"/>
        <v>128.53325679019099</v>
      </c>
      <c r="Z100" s="84">
        <f t="shared" si="98"/>
        <v>128.53325679019099</v>
      </c>
      <c r="AA100" s="100"/>
      <c r="AB100" s="100"/>
      <c r="AC100" s="100"/>
      <c r="AD100" s="100"/>
      <c r="AE100" s="100"/>
      <c r="AF100" s="26"/>
      <c r="AG100" s="26"/>
    </row>
    <row r="101" spans="1:33" ht="15.9" customHeight="1">
      <c r="A101" s="52" t="s">
        <v>64</v>
      </c>
      <c r="K101" s="115"/>
      <c r="L101" s="48"/>
      <c r="M101" s="48"/>
      <c r="N101" s="48"/>
      <c r="W101" s="49"/>
      <c r="X101" s="80" t="s">
        <v>222</v>
      </c>
      <c r="Y101" s="92">
        <f>1.02*3031.3</f>
        <v>3091.9260000000004</v>
      </c>
      <c r="Z101" s="92">
        <f>1.02*3031.3</f>
        <v>3091.9260000000004</v>
      </c>
      <c r="AA101" s="100"/>
      <c r="AB101" s="100"/>
      <c r="AC101" s="100"/>
      <c r="AD101" s="100"/>
      <c r="AE101" s="100"/>
      <c r="AF101" s="26"/>
      <c r="AG101" s="26"/>
    </row>
    <row r="102" spans="1:33" s="91" customFormat="1" ht="27.6">
      <c r="A102" s="87" t="s">
        <v>4</v>
      </c>
      <c r="B102" s="88" t="s">
        <v>5</v>
      </c>
      <c r="C102" s="88" t="s">
        <v>24</v>
      </c>
      <c r="D102" s="88" t="s">
        <v>46</v>
      </c>
      <c r="E102" s="88" t="s">
        <v>67</v>
      </c>
      <c r="F102" s="88" t="s">
        <v>6</v>
      </c>
      <c r="G102" s="88" t="s">
        <v>7</v>
      </c>
      <c r="H102" s="116" t="s">
        <v>8</v>
      </c>
      <c r="I102" s="116" t="s">
        <v>47</v>
      </c>
      <c r="J102" s="116" t="s">
        <v>9</v>
      </c>
      <c r="K102" s="116" t="s">
        <v>14</v>
      </c>
      <c r="L102" s="89" t="s">
        <v>20</v>
      </c>
      <c r="M102" s="89" t="s">
        <v>23</v>
      </c>
      <c r="N102" s="89" t="s">
        <v>21</v>
      </c>
      <c r="O102" s="136" t="s">
        <v>10</v>
      </c>
      <c r="P102" s="90" t="s">
        <v>49</v>
      </c>
      <c r="Q102" s="45" t="s">
        <v>50</v>
      </c>
      <c r="R102" s="45" t="s">
        <v>55</v>
      </c>
      <c r="S102" s="45" t="s">
        <v>70</v>
      </c>
      <c r="T102" s="45" t="s">
        <v>13</v>
      </c>
      <c r="U102" s="45" t="s">
        <v>52</v>
      </c>
      <c r="V102" s="45" t="s">
        <v>48</v>
      </c>
      <c r="W102" s="45" t="s">
        <v>15</v>
      </c>
      <c r="X102" s="50" t="s">
        <v>12</v>
      </c>
      <c r="Y102" s="160" t="s">
        <v>22</v>
      </c>
      <c r="Z102" s="50" t="s">
        <v>68</v>
      </c>
      <c r="AA102" s="100"/>
      <c r="AB102" s="100"/>
      <c r="AC102" s="100"/>
      <c r="AD102" s="100"/>
      <c r="AE102" s="100"/>
      <c r="AF102" s="26"/>
      <c r="AG102" s="26"/>
    </row>
    <row r="103" spans="1:33" s="26" customFormat="1" ht="27.6">
      <c r="A103" s="165" t="s">
        <v>223</v>
      </c>
      <c r="B103" s="93" t="s">
        <v>224</v>
      </c>
      <c r="C103" s="93" t="s">
        <v>225</v>
      </c>
      <c r="D103" s="93">
        <v>148347</v>
      </c>
      <c r="E103" s="93">
        <v>101</v>
      </c>
      <c r="F103" s="93" t="s">
        <v>74</v>
      </c>
      <c r="G103" s="167">
        <v>1</v>
      </c>
      <c r="H103" s="168">
        <v>4.9000000000000004</v>
      </c>
      <c r="I103" s="168">
        <v>7.0000000000000007E-2</v>
      </c>
      <c r="J103" s="168">
        <v>0.32</v>
      </c>
      <c r="K103" s="169">
        <f t="shared" ref="K103:K107" si="99">H103-I103-J103</f>
        <v>4.51</v>
      </c>
      <c r="L103" s="97">
        <v>1.9</v>
      </c>
      <c r="M103" s="97" t="s">
        <v>63</v>
      </c>
      <c r="N103" s="98">
        <v>12</v>
      </c>
      <c r="O103" s="137">
        <v>9.5</v>
      </c>
      <c r="P103" s="143">
        <v>0.37</v>
      </c>
      <c r="Q103" s="35"/>
      <c r="R103" s="35"/>
      <c r="S103" s="35">
        <f t="shared" ref="S103:S105" si="100">0.02*N103*G103</f>
        <v>0.24</v>
      </c>
      <c r="T103" s="35">
        <f t="shared" ref="T103:T107" si="101">2*G103</f>
        <v>2</v>
      </c>
      <c r="U103" s="35">
        <f t="shared" ref="U103:U107" si="102">IF(RIGHT(F103,2)="WG",K103*$AB$4,IF(RIGHT(F103,3)="WRG",K103*$AB$4+3*G103,IF(RIGHT(F103,3)="WYG",K103*$AB$4+3*G103,IF(RIGHT(F103,3)="WYR",K103*$AB$4+3*G103,0))))</f>
        <v>0</v>
      </c>
      <c r="V103" s="35"/>
      <c r="W103" s="35">
        <f>G103*N103*0.3</f>
        <v>3.5999999999999996</v>
      </c>
      <c r="X103" s="35">
        <f t="shared" ref="X103:X107" si="103">K103*O103</f>
        <v>42.844999999999999</v>
      </c>
      <c r="Y103" s="35">
        <f>($Y$101/31.1035*IF(LEFT(F103,3)="10K",(0.417*1.07*K103),IF(LEFT(F103,3)="14K",(0.585*1.05*K103),IF(LEFT(F103,3)="18K",(0.75*1.05*K103),0))))*0.5</f>
        <v>137.6928980694295</v>
      </c>
      <c r="Z103" s="83">
        <f>($Z$101/31.1035*IF(LEFT(F103,3)="10K",(0.417*1.07*K103),IF(LEFT(F103,3)="14K",(0.585*1.05*K103),IF(LEFT(F103,3)="18K",(0.75*1.05*K103),0))))*0.5</f>
        <v>137.6928980694295</v>
      </c>
      <c r="AA103" s="100">
        <f t="shared" si="74"/>
        <v>9.02</v>
      </c>
      <c r="AB103" s="100">
        <f t="shared" si="75"/>
        <v>39.665000000000006</v>
      </c>
      <c r="AC103" s="100">
        <f t="shared" si="76"/>
        <v>328.93599469790661</v>
      </c>
      <c r="AD103" s="100">
        <f t="shared" si="77"/>
        <v>368.60099469790663</v>
      </c>
      <c r="AE103" s="100">
        <f t="shared" si="78"/>
        <v>2.7702674999999997</v>
      </c>
      <c r="AG103" s="26">
        <f t="shared" si="79"/>
        <v>42.844999999999999</v>
      </c>
    </row>
    <row r="104" spans="1:33" s="26" customFormat="1" ht="41.4">
      <c r="A104" s="94">
        <v>2</v>
      </c>
      <c r="B104" s="96" t="s">
        <v>226</v>
      </c>
      <c r="C104" s="93" t="s">
        <v>227</v>
      </c>
      <c r="D104" s="93">
        <v>148347</v>
      </c>
      <c r="E104" s="93">
        <v>102</v>
      </c>
      <c r="F104" s="93" t="s">
        <v>73</v>
      </c>
      <c r="G104" s="167">
        <v>3</v>
      </c>
      <c r="H104" s="168">
        <v>11.48</v>
      </c>
      <c r="I104" s="168">
        <v>0.31</v>
      </c>
      <c r="J104" s="168">
        <v>0.54</v>
      </c>
      <c r="K104" s="169">
        <f t="shared" si="99"/>
        <v>10.629999999999999</v>
      </c>
      <c r="L104" s="97" t="s">
        <v>228</v>
      </c>
      <c r="M104" s="97" t="s">
        <v>91</v>
      </c>
      <c r="N104" s="98" t="s">
        <v>229</v>
      </c>
      <c r="O104" s="137">
        <v>10</v>
      </c>
      <c r="P104" s="143">
        <v>1.55</v>
      </c>
      <c r="Q104" s="35"/>
      <c r="R104" s="35"/>
      <c r="S104" s="35">
        <f>0.02*(40+1+1)*G104</f>
        <v>2.52</v>
      </c>
      <c r="T104" s="35">
        <f>4*G104</f>
        <v>12</v>
      </c>
      <c r="U104" s="35">
        <f t="shared" si="102"/>
        <v>2.5511999999999997</v>
      </c>
      <c r="V104" s="35"/>
      <c r="W104" s="35">
        <f>((0.3*40)+(1+1)*1.5)*G104</f>
        <v>45</v>
      </c>
      <c r="X104" s="35">
        <f t="shared" si="103"/>
        <v>106.29999999999998</v>
      </c>
      <c r="Y104" s="35">
        <f t="shared" ref="Y104:Y107" si="104">($Y$101/31.1035*IF(LEFT(F104,3)="10K",(0.417*1.07*K104),IF(LEFT(F104,3)="14K",(0.585*1.05*K104),IF(LEFT(F104,3)="18K",(0.75*1.05*K104),0))))*0.5</f>
        <v>324.54002360932049</v>
      </c>
      <c r="Z104" s="83">
        <f t="shared" ref="Z104:Z107" si="105">($Z$101/31.1035*IF(LEFT(F104,3)="10K",(0.417*1.07*K104),IF(LEFT(F104,3)="14K",(0.585*1.05*K104),IF(LEFT(F104,3)="18K",(0.75*1.05*K104),0))))*0.5</f>
        <v>324.54002360932049</v>
      </c>
      <c r="AA104" s="100">
        <f t="shared" si="74"/>
        <v>21.259999999999998</v>
      </c>
      <c r="AB104" s="100">
        <f t="shared" si="75"/>
        <v>147.1112</v>
      </c>
      <c r="AC104" s="100">
        <f t="shared" si="76"/>
        <v>1012.524917247987</v>
      </c>
      <c r="AD104" s="100">
        <f t="shared" si="77"/>
        <v>1159.6361172479869</v>
      </c>
      <c r="AE104" s="100">
        <f t="shared" si="78"/>
        <v>6.5294774999999987</v>
      </c>
      <c r="AG104" s="26">
        <f t="shared" si="79"/>
        <v>106.29999999999998</v>
      </c>
    </row>
    <row r="105" spans="1:33" s="26" customFormat="1" ht="27.6">
      <c r="A105" s="94">
        <v>3</v>
      </c>
      <c r="B105" s="93" t="s">
        <v>230</v>
      </c>
      <c r="C105" s="93" t="s">
        <v>231</v>
      </c>
      <c r="D105" s="93">
        <v>148347</v>
      </c>
      <c r="E105" s="93">
        <v>103</v>
      </c>
      <c r="F105" s="93" t="s">
        <v>74</v>
      </c>
      <c r="G105" s="167">
        <v>3</v>
      </c>
      <c r="H105" s="168">
        <v>27.17</v>
      </c>
      <c r="I105" s="168">
        <v>0.83000000000000007</v>
      </c>
      <c r="J105" s="168">
        <v>0.96</v>
      </c>
      <c r="K105" s="169">
        <f t="shared" si="99"/>
        <v>25.380000000000003</v>
      </c>
      <c r="L105" s="97">
        <v>2.25</v>
      </c>
      <c r="M105" s="97" t="s">
        <v>63</v>
      </c>
      <c r="N105" s="98">
        <v>32</v>
      </c>
      <c r="O105" s="137">
        <v>8.5</v>
      </c>
      <c r="P105" s="143">
        <v>4.16</v>
      </c>
      <c r="Q105" s="35"/>
      <c r="R105" s="35"/>
      <c r="S105" s="35">
        <f t="shared" si="100"/>
        <v>1.92</v>
      </c>
      <c r="T105" s="35">
        <f t="shared" si="101"/>
        <v>6</v>
      </c>
      <c r="U105" s="35">
        <f t="shared" si="102"/>
        <v>0</v>
      </c>
      <c r="V105" s="35"/>
      <c r="W105" s="35">
        <f t="shared" ref="W105" si="106">G105*N105*0.3</f>
        <v>28.799999999999997</v>
      </c>
      <c r="X105" s="35">
        <f t="shared" si="103"/>
        <v>215.73000000000002</v>
      </c>
      <c r="Y105" s="35">
        <f t="shared" si="104"/>
        <v>774.86602062131283</v>
      </c>
      <c r="Z105" s="83">
        <f t="shared" si="105"/>
        <v>774.86602062131283</v>
      </c>
      <c r="AA105" s="100">
        <f t="shared" si="74"/>
        <v>50.760000000000005</v>
      </c>
      <c r="AB105" s="100">
        <f t="shared" si="75"/>
        <v>201.69</v>
      </c>
      <c r="AC105" s="100">
        <f t="shared" si="76"/>
        <v>2578.1943025494365</v>
      </c>
      <c r="AD105" s="100">
        <f t="shared" si="77"/>
        <v>2779.8843025494366</v>
      </c>
      <c r="AE105" s="100">
        <f t="shared" si="78"/>
        <v>15.589665</v>
      </c>
      <c r="AG105" s="26">
        <f t="shared" si="79"/>
        <v>215.73000000000002</v>
      </c>
    </row>
    <row r="106" spans="1:33" s="26" customFormat="1" ht="55.2">
      <c r="A106" s="94">
        <v>4</v>
      </c>
      <c r="B106" s="96" t="s">
        <v>232</v>
      </c>
      <c r="C106" s="93" t="s">
        <v>233</v>
      </c>
      <c r="D106" s="93">
        <v>148347</v>
      </c>
      <c r="E106" s="93">
        <v>104</v>
      </c>
      <c r="F106" s="93" t="s">
        <v>74</v>
      </c>
      <c r="G106" s="167">
        <v>1</v>
      </c>
      <c r="H106" s="168">
        <v>11.27</v>
      </c>
      <c r="I106" s="168">
        <v>0.11</v>
      </c>
      <c r="J106" s="168">
        <v>0.32</v>
      </c>
      <c r="K106" s="169">
        <f t="shared" si="99"/>
        <v>10.84</v>
      </c>
      <c r="L106" s="97" t="s">
        <v>234</v>
      </c>
      <c r="M106" s="97" t="s">
        <v>174</v>
      </c>
      <c r="N106" s="98" t="s">
        <v>235</v>
      </c>
      <c r="O106" s="137">
        <v>8.5</v>
      </c>
      <c r="P106" s="143">
        <v>0.56000000000000005</v>
      </c>
      <c r="Q106" s="35"/>
      <c r="R106" s="35"/>
      <c r="S106" s="35">
        <f>0.02*(6+18+18+3)*G106</f>
        <v>0.9</v>
      </c>
      <c r="T106" s="35">
        <f t="shared" si="101"/>
        <v>2</v>
      </c>
      <c r="U106" s="35">
        <f t="shared" si="102"/>
        <v>0</v>
      </c>
      <c r="V106" s="35"/>
      <c r="W106" s="35">
        <f>G106*(6+18+18+3)*0.3</f>
        <v>13.5</v>
      </c>
      <c r="X106" s="35">
        <f t="shared" si="103"/>
        <v>92.14</v>
      </c>
      <c r="Y106" s="35">
        <f t="shared" si="104"/>
        <v>330.95144458372857</v>
      </c>
      <c r="Z106" s="83">
        <f t="shared" si="105"/>
        <v>330.95144458372857</v>
      </c>
      <c r="AA106" s="100">
        <f t="shared" si="74"/>
        <v>21.68</v>
      </c>
      <c r="AB106" s="100">
        <f t="shared" si="75"/>
        <v>86.859999999999985</v>
      </c>
      <c r="AC106" s="100">
        <f t="shared" si="76"/>
        <v>675.37462765088571</v>
      </c>
      <c r="AD106" s="100">
        <f t="shared" si="77"/>
        <v>762.23462765088573</v>
      </c>
      <c r="AE106" s="100">
        <f t="shared" si="78"/>
        <v>6.6584699999999994</v>
      </c>
      <c r="AG106" s="26">
        <f t="shared" si="79"/>
        <v>92.14</v>
      </c>
    </row>
    <row r="107" spans="1:33" s="26" customFormat="1" ht="55.8" thickBot="1">
      <c r="A107" s="94">
        <v>7</v>
      </c>
      <c r="B107" s="96" t="s">
        <v>236</v>
      </c>
      <c r="C107" s="93" t="s">
        <v>237</v>
      </c>
      <c r="D107" s="93">
        <v>148347</v>
      </c>
      <c r="E107" s="93">
        <v>107</v>
      </c>
      <c r="F107" s="93" t="s">
        <v>73</v>
      </c>
      <c r="G107" s="167">
        <v>1</v>
      </c>
      <c r="H107" s="168">
        <v>7.77</v>
      </c>
      <c r="I107" s="168">
        <v>0.43</v>
      </c>
      <c r="J107" s="168">
        <v>0.32</v>
      </c>
      <c r="K107" s="169">
        <f t="shared" si="99"/>
        <v>7.02</v>
      </c>
      <c r="L107" s="97" t="s">
        <v>238</v>
      </c>
      <c r="M107" s="97" t="s">
        <v>174</v>
      </c>
      <c r="N107" s="98" t="s">
        <v>239</v>
      </c>
      <c r="O107" s="137">
        <v>10.5</v>
      </c>
      <c r="P107" s="143">
        <v>2.13</v>
      </c>
      <c r="Q107" s="35"/>
      <c r="R107" s="35"/>
      <c r="S107" s="35">
        <f>0.02*(10+10+10+5)*G107</f>
        <v>0.70000000000000007</v>
      </c>
      <c r="T107" s="35">
        <f t="shared" si="101"/>
        <v>2</v>
      </c>
      <c r="U107" s="35">
        <f t="shared" si="102"/>
        <v>1.6847999999999999</v>
      </c>
      <c r="V107" s="35"/>
      <c r="W107" s="35">
        <f>((10+10)*0.3+(10+5)*0.5)*G107</f>
        <v>13.5</v>
      </c>
      <c r="X107" s="35">
        <f t="shared" si="103"/>
        <v>73.709999999999994</v>
      </c>
      <c r="Y107" s="35">
        <f t="shared" si="104"/>
        <v>214.32464400163971</v>
      </c>
      <c r="Z107" s="83">
        <f t="shared" si="105"/>
        <v>214.32464400163971</v>
      </c>
      <c r="AA107" s="100">
        <f t="shared" ref="AA107:AA150" si="107">2*K107</f>
        <v>14.04</v>
      </c>
      <c r="AB107" s="100">
        <f t="shared" ref="AB107:AB150" si="108">(SUM(Q107:W107)+AG107)-AA107</f>
        <v>77.5548</v>
      </c>
      <c r="AC107" s="100">
        <f t="shared" ref="AC107:AC150" si="109">AE107*$AC$13+P107*$AC$14</f>
        <v>1055.8325873149759</v>
      </c>
      <c r="AD107" s="100">
        <f t="shared" ref="AD107:AD150" si="110">SUM(AB107:AC107)</f>
        <v>1133.387387314976</v>
      </c>
      <c r="AE107" s="100">
        <f t="shared" ref="AE107:AE150" si="111">IF(LEFT(F107,3)="10K",(0.417*1.07*K107),IF(LEFT(F107,3)="14K",(0.585*1.05*K107),IF(LEFT(F107,3)="18K",(0.75*1.05*K107),0)))</f>
        <v>4.3120349999999998</v>
      </c>
      <c r="AG107" s="26">
        <f t="shared" ref="AG107:AG150" si="112">IF(AF107&gt;0,AF107*K107,X107)</f>
        <v>73.709999999999994</v>
      </c>
    </row>
    <row r="108" spans="1:33" s="27" customFormat="1" ht="15.9" customHeight="1">
      <c r="A108" s="86" t="s">
        <v>66</v>
      </c>
      <c r="B108" s="63"/>
      <c r="C108" s="63"/>
      <c r="D108" s="63"/>
      <c r="E108" s="63"/>
      <c r="F108" s="63"/>
      <c r="G108" s="170">
        <f>SUM(G103:G107)</f>
        <v>9</v>
      </c>
      <c r="H108" s="171"/>
      <c r="I108" s="171"/>
      <c r="J108" s="171"/>
      <c r="K108" s="171">
        <f>SUM(K103:K107)</f>
        <v>58.379999999999995</v>
      </c>
      <c r="L108" s="65"/>
      <c r="M108" s="65"/>
      <c r="N108" s="65"/>
      <c r="O108" s="138"/>
      <c r="P108" s="101">
        <f t="shared" ref="P108:Z108" si="113">SUM(P103:P107)</f>
        <v>8.77</v>
      </c>
      <c r="Q108" s="66">
        <f t="shared" si="113"/>
        <v>0</v>
      </c>
      <c r="R108" s="66">
        <f t="shared" si="113"/>
        <v>0</v>
      </c>
      <c r="S108" s="66">
        <f t="shared" si="113"/>
        <v>6.28</v>
      </c>
      <c r="T108" s="66">
        <f t="shared" si="113"/>
        <v>24</v>
      </c>
      <c r="U108" s="66">
        <f t="shared" si="113"/>
        <v>4.2359999999999998</v>
      </c>
      <c r="V108" s="66">
        <f t="shared" si="113"/>
        <v>0</v>
      </c>
      <c r="W108" s="66">
        <f t="shared" si="113"/>
        <v>104.4</v>
      </c>
      <c r="X108" s="66">
        <f t="shared" si="113"/>
        <v>530.72500000000002</v>
      </c>
      <c r="Y108" s="66">
        <f t="shared" si="113"/>
        <v>1782.375030885431</v>
      </c>
      <c r="Z108" s="84">
        <f t="shared" si="113"/>
        <v>1782.375030885431</v>
      </c>
      <c r="AA108" s="100"/>
      <c r="AB108" s="100"/>
      <c r="AC108" s="100"/>
      <c r="AD108" s="100"/>
      <c r="AE108" s="100"/>
      <c r="AF108" s="26"/>
      <c r="AG108" s="26"/>
    </row>
    <row r="109" spans="1:33" ht="15.9" customHeight="1">
      <c r="A109" s="52" t="s">
        <v>64</v>
      </c>
      <c r="K109" s="115"/>
      <c r="L109" s="48"/>
      <c r="M109" s="48"/>
      <c r="N109" s="48"/>
      <c r="W109" s="49"/>
      <c r="X109" s="80" t="s">
        <v>99</v>
      </c>
      <c r="Y109" s="92">
        <f>3131.5*1.02</f>
        <v>3194.13</v>
      </c>
      <c r="Z109" s="92">
        <f>3131.5*1.02</f>
        <v>3194.13</v>
      </c>
      <c r="AA109" s="100"/>
      <c r="AB109" s="100"/>
      <c r="AC109" s="100"/>
      <c r="AD109" s="100"/>
      <c r="AE109" s="100"/>
      <c r="AF109" s="26"/>
      <c r="AG109" s="26"/>
    </row>
    <row r="110" spans="1:33" s="91" customFormat="1" ht="27.6">
      <c r="A110" s="87" t="s">
        <v>4</v>
      </c>
      <c r="B110" s="88" t="s">
        <v>5</v>
      </c>
      <c r="C110" s="88" t="s">
        <v>24</v>
      </c>
      <c r="D110" s="88" t="s">
        <v>46</v>
      </c>
      <c r="E110" s="88" t="s">
        <v>67</v>
      </c>
      <c r="F110" s="88" t="s">
        <v>6</v>
      </c>
      <c r="G110" s="88" t="s">
        <v>7</v>
      </c>
      <c r="H110" s="116" t="s">
        <v>8</v>
      </c>
      <c r="I110" s="116" t="s">
        <v>47</v>
      </c>
      <c r="J110" s="116" t="s">
        <v>9</v>
      </c>
      <c r="K110" s="116" t="s">
        <v>14</v>
      </c>
      <c r="L110" s="89" t="s">
        <v>20</v>
      </c>
      <c r="M110" s="89" t="s">
        <v>23</v>
      </c>
      <c r="N110" s="89" t="s">
        <v>21</v>
      </c>
      <c r="O110" s="136" t="s">
        <v>10</v>
      </c>
      <c r="P110" s="90" t="s">
        <v>49</v>
      </c>
      <c r="Q110" s="45" t="s">
        <v>50</v>
      </c>
      <c r="R110" s="45" t="s">
        <v>55</v>
      </c>
      <c r="S110" s="45" t="s">
        <v>70</v>
      </c>
      <c r="T110" s="45" t="s">
        <v>13</v>
      </c>
      <c r="U110" s="45" t="s">
        <v>52</v>
      </c>
      <c r="V110" s="45" t="s">
        <v>48</v>
      </c>
      <c r="W110" s="45" t="s">
        <v>15</v>
      </c>
      <c r="X110" s="50" t="s">
        <v>12</v>
      </c>
      <c r="Y110" s="160" t="s">
        <v>22</v>
      </c>
      <c r="Z110" s="50" t="s">
        <v>68</v>
      </c>
      <c r="AA110" s="100"/>
      <c r="AB110" s="100"/>
      <c r="AC110" s="100"/>
      <c r="AD110" s="100"/>
      <c r="AE110" s="100"/>
      <c r="AF110" s="26"/>
      <c r="AG110" s="26"/>
    </row>
    <row r="111" spans="1:33" s="26" customFormat="1" ht="97.2" thickBot="1">
      <c r="A111" s="165" t="s">
        <v>240</v>
      </c>
      <c r="B111" s="93" t="s">
        <v>241</v>
      </c>
      <c r="C111" s="93" t="s">
        <v>242</v>
      </c>
      <c r="D111" s="93">
        <v>148349</v>
      </c>
      <c r="E111" s="93">
        <v>104</v>
      </c>
      <c r="F111" s="93" t="s">
        <v>74</v>
      </c>
      <c r="G111" s="95">
        <v>2</v>
      </c>
      <c r="H111" s="117">
        <v>19.22</v>
      </c>
      <c r="I111" s="117">
        <v>0.98</v>
      </c>
      <c r="J111" s="117">
        <v>0</v>
      </c>
      <c r="K111" s="118">
        <f t="shared" ref="K111" si="114">H111-I111-J111</f>
        <v>18.239999999999998</v>
      </c>
      <c r="L111" s="97" t="s">
        <v>243</v>
      </c>
      <c r="M111" s="97" t="s">
        <v>244</v>
      </c>
      <c r="N111" s="98" t="s">
        <v>245</v>
      </c>
      <c r="O111" s="137">
        <v>11.5</v>
      </c>
      <c r="P111" s="143">
        <v>0.25</v>
      </c>
      <c r="Q111" s="35">
        <f>25*G111</f>
        <v>50</v>
      </c>
      <c r="R111" s="35"/>
      <c r="S111" s="35">
        <f>0.02*20*G111</f>
        <v>0.8</v>
      </c>
      <c r="T111" s="35">
        <f>4.5*G111</f>
        <v>9</v>
      </c>
      <c r="U111" s="35">
        <f t="shared" ref="U111" si="115">IF(RIGHT(F111,2)="WG",K111*$AB$4,IF(RIGHT(F111,3)="WRG",K111*$AB$4+3*G111,IF(RIGHT(F111,3)="WYG",K111*$AB$4+3*G111,IF(RIGHT(F111,3)="WYR",K111*$AB$4+3*G111,0))))</f>
        <v>0</v>
      </c>
      <c r="V111" s="35">
        <f>30*G111</f>
        <v>60</v>
      </c>
      <c r="W111" s="35">
        <f>G111*20*0.3</f>
        <v>12</v>
      </c>
      <c r="X111" s="35">
        <f t="shared" ref="X111" si="116">K111*O111</f>
        <v>209.76</v>
      </c>
      <c r="Y111" s="35">
        <f>($Y$109/31.1035*IF(LEFT(F111,3)="10K",(0.417*1.07*K111),IF(LEFT(F111,3)="14K",(0.585*1.05*K111),IF(LEFT(F111,3)="18K",(0.75*1.05*K111),0))))*0.5</f>
        <v>575.28536964650277</v>
      </c>
      <c r="Z111" s="83">
        <f>($Z$109/31.1035*IF(LEFT(F111,3)="10K",(0.417*1.07*K111),IF(LEFT(F111,3)="14K",(0.585*1.05*K111),IF(LEFT(F111,3)="18K",(0.75*1.05*K111),0))))*0.5</f>
        <v>575.28536964650277</v>
      </c>
      <c r="AA111" s="100">
        <f t="shared" si="107"/>
        <v>36.479999999999997</v>
      </c>
      <c r="AB111" s="100">
        <f t="shared" si="108"/>
        <v>305.08</v>
      </c>
      <c r="AC111" s="100">
        <f t="shared" si="109"/>
        <v>894.16652020128811</v>
      </c>
      <c r="AD111" s="100">
        <f t="shared" si="110"/>
        <v>1199.2465202012881</v>
      </c>
      <c r="AE111" s="100">
        <f t="shared" si="111"/>
        <v>11.203919999999998</v>
      </c>
      <c r="AG111" s="26">
        <f t="shared" si="112"/>
        <v>209.76</v>
      </c>
    </row>
    <row r="112" spans="1:33" s="27" customFormat="1" ht="15.9" customHeight="1">
      <c r="A112" s="86" t="s">
        <v>66</v>
      </c>
      <c r="B112" s="63"/>
      <c r="C112" s="63"/>
      <c r="D112" s="63"/>
      <c r="E112" s="63"/>
      <c r="F112" s="63"/>
      <c r="G112" s="64">
        <f>SUM(G111:G111)</f>
        <v>2</v>
      </c>
      <c r="H112" s="119"/>
      <c r="I112" s="119"/>
      <c r="J112" s="119"/>
      <c r="K112" s="119">
        <f>SUM(K111:K111)</f>
        <v>18.239999999999998</v>
      </c>
      <c r="L112" s="65"/>
      <c r="M112" s="65"/>
      <c r="N112" s="65"/>
      <c r="O112" s="138"/>
      <c r="P112" s="101">
        <f t="shared" ref="P112:Z112" si="117">SUM(P111:P111)</f>
        <v>0.25</v>
      </c>
      <c r="Q112" s="66">
        <f t="shared" si="117"/>
        <v>50</v>
      </c>
      <c r="R112" s="66">
        <f t="shared" si="117"/>
        <v>0</v>
      </c>
      <c r="S112" s="66">
        <f t="shared" si="117"/>
        <v>0.8</v>
      </c>
      <c r="T112" s="66">
        <f t="shared" si="117"/>
        <v>9</v>
      </c>
      <c r="U112" s="66">
        <f t="shared" si="117"/>
        <v>0</v>
      </c>
      <c r="V112" s="66">
        <f t="shared" si="117"/>
        <v>60</v>
      </c>
      <c r="W112" s="66">
        <f t="shared" si="117"/>
        <v>12</v>
      </c>
      <c r="X112" s="66">
        <f t="shared" si="117"/>
        <v>209.76</v>
      </c>
      <c r="Y112" s="66">
        <f t="shared" si="117"/>
        <v>575.28536964650277</v>
      </c>
      <c r="Z112" s="84">
        <f t="shared" si="117"/>
        <v>575.28536964650277</v>
      </c>
      <c r="AA112" s="100"/>
      <c r="AB112" s="100"/>
      <c r="AC112" s="100"/>
      <c r="AD112" s="100"/>
      <c r="AE112" s="100"/>
      <c r="AF112" s="26"/>
      <c r="AG112" s="26"/>
    </row>
    <row r="113" spans="1:33" ht="15.9" customHeight="1">
      <c r="A113" s="52" t="s">
        <v>64</v>
      </c>
      <c r="K113" s="115"/>
      <c r="L113" s="48"/>
      <c r="M113" s="48"/>
      <c r="N113" s="48"/>
      <c r="W113" s="49"/>
      <c r="X113" s="80" t="s">
        <v>246</v>
      </c>
      <c r="Y113" s="92">
        <f>1.02*3021.35</f>
        <v>3081.777</v>
      </c>
      <c r="Z113" s="92">
        <f>1.02*3021.35</f>
        <v>3081.777</v>
      </c>
      <c r="AA113" s="100"/>
      <c r="AB113" s="100"/>
      <c r="AC113" s="100"/>
      <c r="AD113" s="100"/>
      <c r="AE113" s="100"/>
      <c r="AF113" s="26"/>
      <c r="AG113" s="26"/>
    </row>
    <row r="114" spans="1:33" s="91" customFormat="1" ht="27.6">
      <c r="A114" s="87" t="s">
        <v>4</v>
      </c>
      <c r="B114" s="88" t="s">
        <v>5</v>
      </c>
      <c r="C114" s="88" t="s">
        <v>24</v>
      </c>
      <c r="D114" s="88" t="s">
        <v>46</v>
      </c>
      <c r="E114" s="88" t="s">
        <v>67</v>
      </c>
      <c r="F114" s="88" t="s">
        <v>6</v>
      </c>
      <c r="G114" s="88" t="s">
        <v>7</v>
      </c>
      <c r="H114" s="116" t="s">
        <v>8</v>
      </c>
      <c r="I114" s="116" t="s">
        <v>47</v>
      </c>
      <c r="J114" s="116" t="s">
        <v>9</v>
      </c>
      <c r="K114" s="116" t="s">
        <v>14</v>
      </c>
      <c r="L114" s="89" t="s">
        <v>20</v>
      </c>
      <c r="M114" s="89" t="s">
        <v>23</v>
      </c>
      <c r="N114" s="89" t="s">
        <v>21</v>
      </c>
      <c r="O114" s="136" t="s">
        <v>10</v>
      </c>
      <c r="P114" s="90" t="s">
        <v>49</v>
      </c>
      <c r="Q114" s="45" t="s">
        <v>50</v>
      </c>
      <c r="R114" s="45" t="s">
        <v>55</v>
      </c>
      <c r="S114" s="45" t="s">
        <v>70</v>
      </c>
      <c r="T114" s="45" t="s">
        <v>13</v>
      </c>
      <c r="U114" s="45" t="s">
        <v>52</v>
      </c>
      <c r="V114" s="45" t="s">
        <v>48</v>
      </c>
      <c r="W114" s="45" t="s">
        <v>15</v>
      </c>
      <c r="X114" s="50" t="s">
        <v>12</v>
      </c>
      <c r="Y114" s="160" t="s">
        <v>22</v>
      </c>
      <c r="Z114" s="50" t="s">
        <v>68</v>
      </c>
      <c r="AA114" s="100"/>
      <c r="AB114" s="100"/>
      <c r="AC114" s="100"/>
      <c r="AD114" s="100"/>
      <c r="AE114" s="100"/>
      <c r="AF114" s="26"/>
      <c r="AG114" s="26"/>
    </row>
    <row r="115" spans="1:33" s="26" customFormat="1" ht="27.6">
      <c r="A115" s="165" t="s">
        <v>247</v>
      </c>
      <c r="B115" s="93" t="s">
        <v>248</v>
      </c>
      <c r="C115" s="93" t="s">
        <v>249</v>
      </c>
      <c r="D115" s="93">
        <v>148358</v>
      </c>
      <c r="E115" s="93"/>
      <c r="F115" s="93" t="s">
        <v>74</v>
      </c>
      <c r="G115" s="95">
        <v>1</v>
      </c>
      <c r="H115" s="117">
        <v>5.42</v>
      </c>
      <c r="I115" s="117">
        <v>0.04</v>
      </c>
      <c r="J115" s="117">
        <v>0.32</v>
      </c>
      <c r="K115" s="118">
        <f>H115-I115-J115</f>
        <v>5.0599999999999996</v>
      </c>
      <c r="L115" s="97">
        <v>1.5</v>
      </c>
      <c r="M115" s="97" t="s">
        <v>63</v>
      </c>
      <c r="N115" s="98">
        <v>13</v>
      </c>
      <c r="O115" s="137">
        <v>10.5</v>
      </c>
      <c r="P115" s="143">
        <v>0.19</v>
      </c>
      <c r="Q115" s="35"/>
      <c r="R115" s="35"/>
      <c r="S115" s="35">
        <f t="shared" ref="S115:S118" si="118">0.02*N115*G115</f>
        <v>0.26</v>
      </c>
      <c r="T115" s="35">
        <f t="shared" ref="T115:T119" si="119">2*G115</f>
        <v>2</v>
      </c>
      <c r="U115" s="35">
        <f t="shared" ref="U115:U119" si="120">IF(RIGHT(F115,2)="WG",K115*$AB$4,IF(RIGHT(F115,3)="WRG",K115*$AB$4+3*G115,IF(RIGHT(F115,3)="WYG",K115*$AB$4+3*G115,IF(RIGHT(F115,3)="WYR",K115*$AB$4+3*G115,0))))</f>
        <v>0</v>
      </c>
      <c r="V115" s="35"/>
      <c r="W115" s="35">
        <f>G115*N115*0.3</f>
        <v>3.9</v>
      </c>
      <c r="X115" s="35">
        <f t="shared" ref="X115:X119" si="121">K115*O115</f>
        <v>53.129999999999995</v>
      </c>
      <c r="Y115" s="35">
        <f>($Y$84/31.1035*IF(LEFT(F115,3)="10K",(0.417*1.07*K115),IF(LEFT(F115,3)="14K",(0.585*1.05*K115),IF(LEFT(F115,3)="18K",(0.75*1.05*K115),0))))*0.5</f>
        <v>10.416082713051134</v>
      </c>
      <c r="Z115" s="83">
        <f>($Z$84/31.1035*IF(LEFT(F115,3)="10K",(0.417*1.07*K115),IF(LEFT(F115,3)="14K",(0.585*1.05*K115),IF(LEFT(F115,3)="18K",(0.75*1.05*K115),0))))*0.5</f>
        <v>10.416082713051134</v>
      </c>
      <c r="AA115" s="100">
        <f t="shared" si="107"/>
        <v>10.119999999999999</v>
      </c>
      <c r="AB115" s="100">
        <f t="shared" si="108"/>
        <v>49.169999999999995</v>
      </c>
      <c r="AC115" s="100">
        <f t="shared" si="109"/>
        <v>290.27161295297901</v>
      </c>
      <c r="AD115" s="100">
        <f t="shared" si="110"/>
        <v>339.44161295297903</v>
      </c>
      <c r="AE115" s="100">
        <f t="shared" si="111"/>
        <v>3.1081049999999997</v>
      </c>
      <c r="AG115" s="26">
        <f t="shared" si="112"/>
        <v>53.129999999999995</v>
      </c>
    </row>
    <row r="116" spans="1:33" s="26" customFormat="1" ht="27.6">
      <c r="A116" s="94">
        <v>2</v>
      </c>
      <c r="B116" s="93" t="s">
        <v>250</v>
      </c>
      <c r="C116" s="93" t="s">
        <v>251</v>
      </c>
      <c r="D116" s="93">
        <v>148358</v>
      </c>
      <c r="E116" s="93"/>
      <c r="F116" s="93" t="s">
        <v>110</v>
      </c>
      <c r="G116" s="95">
        <v>1</v>
      </c>
      <c r="H116" s="117">
        <v>12.66</v>
      </c>
      <c r="I116" s="117">
        <v>0.63</v>
      </c>
      <c r="J116" s="117">
        <v>0.75</v>
      </c>
      <c r="K116" s="118">
        <f t="shared" ref="K116:K119" si="122">H116-I116-J116</f>
        <v>11.28</v>
      </c>
      <c r="L116" s="97">
        <v>1.6</v>
      </c>
      <c r="M116" s="97" t="s">
        <v>63</v>
      </c>
      <c r="N116" s="98">
        <v>212</v>
      </c>
      <c r="O116" s="137">
        <v>10.5</v>
      </c>
      <c r="P116" s="143">
        <v>3.17</v>
      </c>
      <c r="Q116" s="35"/>
      <c r="R116" s="35"/>
      <c r="S116" s="35">
        <f t="shared" si="118"/>
        <v>4.24</v>
      </c>
      <c r="T116" s="35">
        <f>4*G116</f>
        <v>4</v>
      </c>
      <c r="U116" s="35">
        <f>0.24*K116</f>
        <v>2.7071999999999998</v>
      </c>
      <c r="V116" s="35"/>
      <c r="W116" s="35">
        <f t="shared" ref="W116:W117" si="123">G116*N116*0.3</f>
        <v>63.599999999999994</v>
      </c>
      <c r="X116" s="35">
        <f t="shared" si="121"/>
        <v>118.44</v>
      </c>
      <c r="Y116" s="35">
        <f t="shared" ref="Y116:Y119" si="124">($Y$84/31.1035*IF(LEFT(F116,3)="10K",(0.417*1.07*K116),IF(LEFT(F116,3)="14K",(0.585*1.05*K116),IF(LEFT(F116,3)="18K",(0.75*1.05*K116),0))))*0.5</f>
        <v>23.220042095497391</v>
      </c>
      <c r="Z116" s="83">
        <f t="shared" ref="Z116:Z119" si="125">($Z$84/31.1035*IF(LEFT(F116,3)="10K",(0.417*1.07*K116),IF(LEFT(F116,3)="14K",(0.585*1.05*K116),IF(LEFT(F116,3)="18K",(0.75*1.05*K116),0))))*0.5</f>
        <v>23.220042095497391</v>
      </c>
      <c r="AA116" s="100">
        <f t="shared" si="107"/>
        <v>22.56</v>
      </c>
      <c r="AB116" s="100">
        <f t="shared" si="108"/>
        <v>170.42719999999997</v>
      </c>
      <c r="AC116" s="100">
        <f t="shared" si="109"/>
        <v>1608.1699529523348</v>
      </c>
      <c r="AD116" s="100">
        <f t="shared" si="110"/>
        <v>1778.5971529523349</v>
      </c>
      <c r="AE116" s="100">
        <f t="shared" si="111"/>
        <v>6.9287399999999995</v>
      </c>
      <c r="AG116" s="26">
        <f t="shared" si="112"/>
        <v>118.44</v>
      </c>
    </row>
    <row r="117" spans="1:33" s="26" customFormat="1" ht="27.6">
      <c r="A117" s="94">
        <v>3</v>
      </c>
      <c r="B117" s="96" t="s">
        <v>252</v>
      </c>
      <c r="C117" s="93" t="s">
        <v>253</v>
      </c>
      <c r="D117" s="93">
        <v>148358</v>
      </c>
      <c r="E117" s="93"/>
      <c r="F117" s="93" t="s">
        <v>110</v>
      </c>
      <c r="G117" s="95">
        <v>1</v>
      </c>
      <c r="H117" s="117">
        <v>12.39</v>
      </c>
      <c r="I117" s="117">
        <v>0.59</v>
      </c>
      <c r="J117" s="117">
        <v>0.73</v>
      </c>
      <c r="K117" s="118">
        <f t="shared" si="122"/>
        <v>11.07</v>
      </c>
      <c r="L117" s="97">
        <v>1.6</v>
      </c>
      <c r="M117" s="97" t="s">
        <v>63</v>
      </c>
      <c r="N117" s="98">
        <v>203</v>
      </c>
      <c r="O117" s="137">
        <v>10.5</v>
      </c>
      <c r="P117" s="143">
        <v>2.95</v>
      </c>
      <c r="Q117" s="35"/>
      <c r="R117" s="35"/>
      <c r="S117" s="35">
        <f t="shared" si="118"/>
        <v>4.0600000000000005</v>
      </c>
      <c r="T117" s="35">
        <f>4*G117</f>
        <v>4</v>
      </c>
      <c r="U117" s="35">
        <f>0.24*K117</f>
        <v>2.6568000000000001</v>
      </c>
      <c r="V117" s="35"/>
      <c r="W117" s="35">
        <f t="shared" si="123"/>
        <v>60.9</v>
      </c>
      <c r="X117" s="35">
        <f t="shared" si="121"/>
        <v>116.235</v>
      </c>
      <c r="Y117" s="35">
        <f t="shared" si="124"/>
        <v>22.78775407776207</v>
      </c>
      <c r="Z117" s="83">
        <f t="shared" si="125"/>
        <v>22.78775407776207</v>
      </c>
      <c r="AA117" s="100">
        <f t="shared" si="107"/>
        <v>22.14</v>
      </c>
      <c r="AB117" s="100">
        <f t="shared" si="108"/>
        <v>165.71179999999998</v>
      </c>
      <c r="AC117" s="100">
        <f t="shared" si="109"/>
        <v>1521.8963263752012</v>
      </c>
      <c r="AD117" s="100">
        <f t="shared" si="110"/>
        <v>1687.6081263752012</v>
      </c>
      <c r="AE117" s="100">
        <f t="shared" si="111"/>
        <v>6.7997474999999996</v>
      </c>
      <c r="AG117" s="26">
        <f t="shared" si="112"/>
        <v>116.235</v>
      </c>
    </row>
    <row r="118" spans="1:33" s="26" customFormat="1" ht="27.6">
      <c r="A118" s="94">
        <v>4</v>
      </c>
      <c r="B118" s="96" t="s">
        <v>254</v>
      </c>
      <c r="C118" s="93" t="s">
        <v>255</v>
      </c>
      <c r="D118" s="93">
        <v>148358</v>
      </c>
      <c r="E118" s="93"/>
      <c r="F118" s="93" t="s">
        <v>74</v>
      </c>
      <c r="G118" s="95">
        <v>1</v>
      </c>
      <c r="H118" s="117">
        <v>7.98</v>
      </c>
      <c r="I118" s="117">
        <v>0.49</v>
      </c>
      <c r="J118" s="117">
        <v>0.28000000000000003</v>
      </c>
      <c r="K118" s="118">
        <f t="shared" si="122"/>
        <v>7.21</v>
      </c>
      <c r="L118" s="97" t="s">
        <v>256</v>
      </c>
      <c r="M118" s="97" t="s">
        <v>63</v>
      </c>
      <c r="N118" s="98">
        <v>17</v>
      </c>
      <c r="O118" s="137">
        <v>10.5</v>
      </c>
      <c r="P118" s="143">
        <v>2.4700000000000002</v>
      </c>
      <c r="Q118" s="35"/>
      <c r="R118" s="35"/>
      <c r="S118" s="35">
        <f t="shared" si="118"/>
        <v>0.34</v>
      </c>
      <c r="T118" s="35">
        <f t="shared" si="119"/>
        <v>2</v>
      </c>
      <c r="U118" s="35">
        <f t="shared" si="120"/>
        <v>0</v>
      </c>
      <c r="V118" s="35"/>
      <c r="W118" s="35">
        <f>G118*N118*2.5</f>
        <v>42.5</v>
      </c>
      <c r="X118" s="35">
        <f t="shared" si="121"/>
        <v>75.704999999999998</v>
      </c>
      <c r="Y118" s="35">
        <f t="shared" si="124"/>
        <v>14.841888608912782</v>
      </c>
      <c r="Z118" s="83">
        <f t="shared" si="125"/>
        <v>14.841888608912782</v>
      </c>
      <c r="AA118" s="100">
        <f t="shared" si="107"/>
        <v>14.42</v>
      </c>
      <c r="AB118" s="100">
        <f t="shared" si="108"/>
        <v>106.125</v>
      </c>
      <c r="AC118" s="100">
        <f t="shared" si="109"/>
        <v>1183.2141483887278</v>
      </c>
      <c r="AD118" s="100">
        <f t="shared" si="110"/>
        <v>1289.3391483887278</v>
      </c>
      <c r="AE118" s="100">
        <f t="shared" si="111"/>
        <v>4.4287424999999994</v>
      </c>
      <c r="AG118" s="26">
        <f t="shared" si="112"/>
        <v>75.704999999999998</v>
      </c>
    </row>
    <row r="119" spans="1:33" s="26" customFormat="1" ht="28.2" thickBot="1">
      <c r="A119" s="94">
        <v>5</v>
      </c>
      <c r="B119" s="93" t="s">
        <v>257</v>
      </c>
      <c r="C119" s="93" t="s">
        <v>258</v>
      </c>
      <c r="D119" s="93">
        <v>148358</v>
      </c>
      <c r="E119" s="93"/>
      <c r="F119" s="93" t="s">
        <v>73</v>
      </c>
      <c r="G119" s="95">
        <v>1</v>
      </c>
      <c r="H119" s="117">
        <v>6.88</v>
      </c>
      <c r="I119" s="117">
        <v>0.08</v>
      </c>
      <c r="J119" s="117">
        <v>0.31</v>
      </c>
      <c r="K119" s="118">
        <f t="shared" si="122"/>
        <v>6.49</v>
      </c>
      <c r="L119" s="97" t="s">
        <v>218</v>
      </c>
      <c r="M119" s="97" t="s">
        <v>75</v>
      </c>
      <c r="N119" s="98" t="s">
        <v>220</v>
      </c>
      <c r="O119" s="137">
        <v>10.5</v>
      </c>
      <c r="P119" s="143">
        <v>0.38</v>
      </c>
      <c r="Q119" s="35"/>
      <c r="R119" s="35"/>
      <c r="S119" s="35">
        <f>0.02*(10+11)*G119</f>
        <v>0.42</v>
      </c>
      <c r="T119" s="35">
        <f t="shared" si="119"/>
        <v>2</v>
      </c>
      <c r="U119" s="35">
        <f t="shared" si="120"/>
        <v>1.5576000000000001</v>
      </c>
      <c r="V119" s="35"/>
      <c r="W119" s="35">
        <f>(0.3*10+1*11)*G119</f>
        <v>14</v>
      </c>
      <c r="X119" s="35">
        <f t="shared" si="121"/>
        <v>68.144999999999996</v>
      </c>
      <c r="Y119" s="35">
        <f t="shared" si="124"/>
        <v>13.359758262391674</v>
      </c>
      <c r="Z119" s="83">
        <f t="shared" si="125"/>
        <v>13.359758262391674</v>
      </c>
      <c r="AA119" s="100">
        <f t="shared" si="107"/>
        <v>12.98</v>
      </c>
      <c r="AB119" s="100">
        <f t="shared" si="108"/>
        <v>73.142599999999987</v>
      </c>
      <c r="AC119" s="100">
        <f t="shared" si="109"/>
        <v>420.00284590595811</v>
      </c>
      <c r="AD119" s="100">
        <f t="shared" si="110"/>
        <v>493.14544590595813</v>
      </c>
      <c r="AE119" s="100">
        <f t="shared" si="111"/>
        <v>3.9864824999999997</v>
      </c>
      <c r="AG119" s="26">
        <f t="shared" si="112"/>
        <v>68.144999999999996</v>
      </c>
    </row>
    <row r="120" spans="1:33" s="27" customFormat="1" ht="15.9" customHeight="1">
      <c r="A120" s="86" t="s">
        <v>66</v>
      </c>
      <c r="B120" s="63"/>
      <c r="C120" s="63"/>
      <c r="D120" s="63"/>
      <c r="E120" s="63"/>
      <c r="F120" s="63"/>
      <c r="G120" s="64">
        <f>SUM(G115:G119)</f>
        <v>5</v>
      </c>
      <c r="H120" s="119"/>
      <c r="I120" s="119"/>
      <c r="J120" s="119"/>
      <c r="K120" s="119">
        <f>SUM(K115:K119)</f>
        <v>41.11</v>
      </c>
      <c r="L120" s="65"/>
      <c r="M120" s="65"/>
      <c r="N120" s="65"/>
      <c r="O120" s="138"/>
      <c r="P120" s="101">
        <f t="shared" ref="P120:Z120" si="126">SUM(P115:P119)</f>
        <v>9.1600000000000019</v>
      </c>
      <c r="Q120" s="66">
        <f t="shared" si="126"/>
        <v>0</v>
      </c>
      <c r="R120" s="66">
        <f t="shared" si="126"/>
        <v>0</v>
      </c>
      <c r="S120" s="66">
        <f t="shared" si="126"/>
        <v>9.32</v>
      </c>
      <c r="T120" s="66">
        <f t="shared" si="126"/>
        <v>14</v>
      </c>
      <c r="U120" s="66">
        <f t="shared" si="126"/>
        <v>6.9215999999999998</v>
      </c>
      <c r="V120" s="66">
        <f t="shared" si="126"/>
        <v>0</v>
      </c>
      <c r="W120" s="66">
        <f t="shared" si="126"/>
        <v>184.9</v>
      </c>
      <c r="X120" s="66">
        <f t="shared" si="126"/>
        <v>431.65499999999997</v>
      </c>
      <c r="Y120" s="66">
        <f t="shared" si="126"/>
        <v>84.625525757615051</v>
      </c>
      <c r="Z120" s="84">
        <f t="shared" si="126"/>
        <v>84.625525757615051</v>
      </c>
      <c r="AA120" s="100"/>
      <c r="AB120" s="100"/>
      <c r="AC120" s="100"/>
      <c r="AD120" s="100"/>
      <c r="AE120" s="100"/>
      <c r="AF120" s="26"/>
      <c r="AG120" s="26"/>
    </row>
    <row r="121" spans="1:33" ht="16.05" customHeight="1">
      <c r="A121" s="52" t="s">
        <v>64</v>
      </c>
      <c r="K121" s="115"/>
      <c r="L121" s="48"/>
      <c r="M121" s="48"/>
      <c r="N121" s="48"/>
      <c r="W121" s="49"/>
      <c r="X121" s="80" t="s">
        <v>259</v>
      </c>
      <c r="Y121" s="92">
        <f>3051.7*1.02</f>
        <v>3112.7339999999999</v>
      </c>
      <c r="Z121" s="92">
        <f>3051.7*1.02</f>
        <v>3112.7339999999999</v>
      </c>
      <c r="AA121" s="100"/>
      <c r="AB121" s="100"/>
      <c r="AC121" s="100"/>
      <c r="AD121" s="100"/>
      <c r="AE121" s="100"/>
      <c r="AF121" s="26"/>
      <c r="AG121" s="26"/>
    </row>
    <row r="122" spans="1:33" s="91" customFormat="1" ht="27.6">
      <c r="A122" s="87" t="s">
        <v>4</v>
      </c>
      <c r="B122" s="88" t="s">
        <v>5</v>
      </c>
      <c r="C122" s="88" t="s">
        <v>24</v>
      </c>
      <c r="D122" s="88" t="s">
        <v>46</v>
      </c>
      <c r="E122" s="88"/>
      <c r="F122" s="88" t="s">
        <v>6</v>
      </c>
      <c r="G122" s="88" t="s">
        <v>7</v>
      </c>
      <c r="H122" s="116" t="s">
        <v>8</v>
      </c>
      <c r="I122" s="116" t="s">
        <v>47</v>
      </c>
      <c r="J122" s="116" t="s">
        <v>9</v>
      </c>
      <c r="K122" s="116" t="s">
        <v>14</v>
      </c>
      <c r="L122" s="89" t="s">
        <v>20</v>
      </c>
      <c r="M122" s="89" t="s">
        <v>23</v>
      </c>
      <c r="N122" s="89" t="s">
        <v>21</v>
      </c>
      <c r="O122" s="136" t="s">
        <v>10</v>
      </c>
      <c r="P122" s="90" t="s">
        <v>49</v>
      </c>
      <c r="Q122" s="45" t="s">
        <v>50</v>
      </c>
      <c r="R122" s="45" t="s">
        <v>55</v>
      </c>
      <c r="S122" s="45" t="s">
        <v>70</v>
      </c>
      <c r="T122" s="45" t="s">
        <v>13</v>
      </c>
      <c r="U122" s="45" t="s">
        <v>52</v>
      </c>
      <c r="V122" s="45" t="s">
        <v>48</v>
      </c>
      <c r="W122" s="45" t="s">
        <v>15</v>
      </c>
      <c r="X122" s="50" t="s">
        <v>12</v>
      </c>
      <c r="Y122" s="160" t="s">
        <v>22</v>
      </c>
      <c r="Z122" s="50" t="s">
        <v>68</v>
      </c>
      <c r="AA122" s="100"/>
      <c r="AB122" s="100"/>
      <c r="AC122" s="100"/>
      <c r="AD122" s="100"/>
      <c r="AE122" s="100"/>
      <c r="AF122" s="26"/>
      <c r="AG122" s="26"/>
    </row>
    <row r="123" spans="1:33" s="26" customFormat="1" ht="27.6">
      <c r="A123" s="165" t="s">
        <v>260</v>
      </c>
      <c r="B123" s="93" t="s">
        <v>261</v>
      </c>
      <c r="C123" s="93" t="s">
        <v>262</v>
      </c>
      <c r="D123" s="93">
        <v>148437</v>
      </c>
      <c r="E123" s="93">
        <v>104</v>
      </c>
      <c r="F123" s="93" t="s">
        <v>73</v>
      </c>
      <c r="G123" s="167">
        <v>4</v>
      </c>
      <c r="H123" s="168">
        <v>24.189999999999998</v>
      </c>
      <c r="I123" s="168">
        <v>0.4</v>
      </c>
      <c r="J123" s="168">
        <v>1.24</v>
      </c>
      <c r="K123" s="169">
        <f t="shared" ref="K123:K132" si="127">H123-I123-J123</f>
        <v>22.55</v>
      </c>
      <c r="L123" s="97">
        <v>2</v>
      </c>
      <c r="M123" s="97" t="s">
        <v>63</v>
      </c>
      <c r="N123" s="98">
        <v>15</v>
      </c>
      <c r="O123" s="137">
        <v>9.5</v>
      </c>
      <c r="P123" s="143">
        <v>2.0499999999999998</v>
      </c>
      <c r="Q123" s="35"/>
      <c r="R123" s="35"/>
      <c r="S123" s="35">
        <f t="shared" ref="S123:S132" si="128">G123*N123*0.02</f>
        <v>1.2</v>
      </c>
      <c r="T123" s="35">
        <f t="shared" ref="T123:T131" si="129">2.3*G123</f>
        <v>9.1999999999999993</v>
      </c>
      <c r="U123" s="35">
        <f t="shared" ref="U123:U132" si="130">IF(RIGHT(F123,2)="WG",K123*$AB$4,IF(RIGHT(F123,3)="WRG",K123*$AB$4+3*G123,IF(RIGHT(F123,3)="WYG",K123*$AB$4+3*G123,IF(RIGHT(F123,3)="WYR",K123*$AB$4+3*G123,0))))</f>
        <v>5.4119999999999999</v>
      </c>
      <c r="V123" s="35"/>
      <c r="W123" s="35">
        <f>G123*N123*1</f>
        <v>60</v>
      </c>
      <c r="X123" s="35">
        <f t="shared" ref="X123:X132" si="131">K123*O123</f>
        <v>214.22499999999999</v>
      </c>
      <c r="Y123" s="35">
        <f t="shared" ref="Y123:Y132" si="132">($Y$35/31.1035*IF(LEFT(F123,3)="10K",(0.417*1.07*K123),IF(LEFT(F123,3)="14K",(0.585*1.05*K123),IF(LEFT(F123,3)="18K",(0.75*1.05*K123),0))))*0.5</f>
        <v>42.334685754094131</v>
      </c>
      <c r="Z123" s="83">
        <f t="shared" ref="Z123:Z132" si="133">($Z$35/31.1035*IF(LEFT(F123,3)="10K",(0.417*1.07*K123),IF(LEFT(F123,3)="14K",(0.585*1.05*K123),IF(LEFT(F123,3)="18K",(0.75*1.05*K123),0))))*0.5</f>
        <v>42.334685754094131</v>
      </c>
      <c r="AA123" s="100">
        <f t="shared" si="107"/>
        <v>45.1</v>
      </c>
      <c r="AB123" s="100">
        <f t="shared" si="108"/>
        <v>244.93699999999998</v>
      </c>
      <c r="AC123" s="100">
        <f t="shared" si="109"/>
        <v>1714.6673976505635</v>
      </c>
      <c r="AD123" s="100">
        <f t="shared" si="110"/>
        <v>1959.6043976505634</v>
      </c>
      <c r="AE123" s="100">
        <f t="shared" si="111"/>
        <v>13.8513375</v>
      </c>
      <c r="AG123" s="26">
        <f t="shared" si="112"/>
        <v>214.22499999999999</v>
      </c>
    </row>
    <row r="124" spans="1:33" s="26" customFormat="1" ht="27.6">
      <c r="A124" s="94">
        <v>3</v>
      </c>
      <c r="B124" s="93" t="s">
        <v>261</v>
      </c>
      <c r="C124" s="93" t="s">
        <v>263</v>
      </c>
      <c r="D124" s="93">
        <v>148437</v>
      </c>
      <c r="E124" s="93">
        <v>103</v>
      </c>
      <c r="F124" s="93" t="s">
        <v>74</v>
      </c>
      <c r="G124" s="167">
        <v>1</v>
      </c>
      <c r="H124" s="168">
        <v>6.13</v>
      </c>
      <c r="I124" s="168">
        <v>0.1</v>
      </c>
      <c r="J124" s="168">
        <v>0.31</v>
      </c>
      <c r="K124" s="169">
        <f t="shared" si="127"/>
        <v>5.7200000000000006</v>
      </c>
      <c r="L124" s="97">
        <v>2</v>
      </c>
      <c r="M124" s="97" t="s">
        <v>63</v>
      </c>
      <c r="N124" s="98">
        <v>15</v>
      </c>
      <c r="O124" s="137">
        <v>9.5</v>
      </c>
      <c r="P124" s="143">
        <v>0.5</v>
      </c>
      <c r="Q124" s="35"/>
      <c r="R124" s="35"/>
      <c r="S124" s="35">
        <f t="shared" si="128"/>
        <v>0.3</v>
      </c>
      <c r="T124" s="35">
        <f t="shared" si="129"/>
        <v>2.2999999999999998</v>
      </c>
      <c r="U124" s="35"/>
      <c r="V124" s="35"/>
      <c r="W124" s="35">
        <f>G124*N124*1</f>
        <v>15</v>
      </c>
      <c r="X124" s="35">
        <f t="shared" si="131"/>
        <v>54.34</v>
      </c>
      <c r="Y124" s="35">
        <f t="shared" si="132"/>
        <v>10.738554435184854</v>
      </c>
      <c r="Z124" s="83">
        <f t="shared" si="133"/>
        <v>10.738554435184854</v>
      </c>
      <c r="AA124" s="100">
        <f t="shared" si="107"/>
        <v>11.440000000000001</v>
      </c>
      <c r="AB124" s="100">
        <f t="shared" si="108"/>
        <v>60.5</v>
      </c>
      <c r="AC124" s="100">
        <f t="shared" si="109"/>
        <v>427.94128040257647</v>
      </c>
      <c r="AD124" s="100">
        <f t="shared" si="110"/>
        <v>488.44128040257647</v>
      </c>
      <c r="AE124" s="100">
        <f t="shared" si="111"/>
        <v>3.5135100000000001</v>
      </c>
      <c r="AG124" s="26">
        <f t="shared" si="112"/>
        <v>54.34</v>
      </c>
    </row>
    <row r="125" spans="1:33" s="26" customFormat="1" ht="27.6">
      <c r="A125" s="94">
        <v>4</v>
      </c>
      <c r="B125" s="93" t="s">
        <v>264</v>
      </c>
      <c r="C125" s="93" t="s">
        <v>182</v>
      </c>
      <c r="D125" s="93">
        <v>148437</v>
      </c>
      <c r="E125" s="93">
        <v>105</v>
      </c>
      <c r="F125" s="93" t="s">
        <v>73</v>
      </c>
      <c r="G125" s="167">
        <v>2</v>
      </c>
      <c r="H125" s="168">
        <v>13.25</v>
      </c>
      <c r="I125" s="168">
        <v>0.2</v>
      </c>
      <c r="J125" s="168">
        <v>0.62</v>
      </c>
      <c r="K125" s="169">
        <f t="shared" si="127"/>
        <v>12.430000000000001</v>
      </c>
      <c r="L125" s="97">
        <v>2.1</v>
      </c>
      <c r="M125" s="97" t="s">
        <v>63</v>
      </c>
      <c r="N125" s="98">
        <v>14</v>
      </c>
      <c r="O125" s="137">
        <v>8.5</v>
      </c>
      <c r="P125" s="143">
        <v>1.03</v>
      </c>
      <c r="Q125" s="35"/>
      <c r="R125" s="35"/>
      <c r="S125" s="35">
        <f t="shared" si="128"/>
        <v>0.56000000000000005</v>
      </c>
      <c r="T125" s="35">
        <f t="shared" si="129"/>
        <v>4.5999999999999996</v>
      </c>
      <c r="U125" s="35">
        <f t="shared" si="130"/>
        <v>2.9832000000000001</v>
      </c>
      <c r="V125" s="35"/>
      <c r="W125" s="35">
        <f>G125*N125*0.3</f>
        <v>8.4</v>
      </c>
      <c r="X125" s="35">
        <f t="shared" si="131"/>
        <v>105.65500000000002</v>
      </c>
      <c r="Y125" s="35">
        <f t="shared" si="132"/>
        <v>23.335704830305549</v>
      </c>
      <c r="Z125" s="83">
        <f t="shared" si="133"/>
        <v>23.335704830305549</v>
      </c>
      <c r="AA125" s="100">
        <f t="shared" si="107"/>
        <v>24.860000000000003</v>
      </c>
      <c r="AB125" s="100">
        <f t="shared" si="108"/>
        <v>97.338200000000015</v>
      </c>
      <c r="AC125" s="100">
        <f t="shared" si="109"/>
        <v>910.16441442930761</v>
      </c>
      <c r="AD125" s="100">
        <f t="shared" si="110"/>
        <v>1007.5026144293076</v>
      </c>
      <c r="AE125" s="100">
        <f t="shared" si="111"/>
        <v>7.6351275000000003</v>
      </c>
      <c r="AG125" s="26">
        <f t="shared" si="112"/>
        <v>105.65500000000002</v>
      </c>
    </row>
    <row r="126" spans="1:33" s="26" customFormat="1" ht="27.6">
      <c r="A126" s="94">
        <v>6</v>
      </c>
      <c r="B126" s="96" t="s">
        <v>224</v>
      </c>
      <c r="C126" s="93" t="s">
        <v>265</v>
      </c>
      <c r="D126" s="93">
        <v>148437</v>
      </c>
      <c r="E126" s="93">
        <v>112</v>
      </c>
      <c r="F126" s="93" t="s">
        <v>73</v>
      </c>
      <c r="G126" s="167">
        <v>2</v>
      </c>
      <c r="H126" s="168">
        <v>10.09</v>
      </c>
      <c r="I126" s="168">
        <v>0.14000000000000001</v>
      </c>
      <c r="J126" s="168">
        <v>0.64</v>
      </c>
      <c r="K126" s="169">
        <f t="shared" si="127"/>
        <v>9.3099999999999987</v>
      </c>
      <c r="L126" s="97">
        <v>1.9</v>
      </c>
      <c r="M126" s="97" t="s">
        <v>63</v>
      </c>
      <c r="N126" s="98">
        <v>12</v>
      </c>
      <c r="O126" s="137">
        <v>9.5</v>
      </c>
      <c r="P126" s="143">
        <v>0.72</v>
      </c>
      <c r="Q126" s="35"/>
      <c r="R126" s="35"/>
      <c r="S126" s="35">
        <f t="shared" si="128"/>
        <v>0.48</v>
      </c>
      <c r="T126" s="35">
        <f t="shared" si="129"/>
        <v>4.5999999999999996</v>
      </c>
      <c r="U126" s="35">
        <f t="shared" si="130"/>
        <v>2.2343999999999995</v>
      </c>
      <c r="V126" s="35"/>
      <c r="W126" s="35">
        <f t="shared" ref="W126:W132" si="134">G126*N126*0.3</f>
        <v>7.1999999999999993</v>
      </c>
      <c r="X126" s="35">
        <f t="shared" si="131"/>
        <v>88.444999999999993</v>
      </c>
      <c r="Y126" s="35">
        <f t="shared" si="132"/>
        <v>17.478311502022894</v>
      </c>
      <c r="Z126" s="83">
        <f t="shared" si="133"/>
        <v>17.478311502022894</v>
      </c>
      <c r="AA126" s="100">
        <f t="shared" si="107"/>
        <v>18.619999999999997</v>
      </c>
      <c r="AB126" s="100">
        <f t="shared" si="108"/>
        <v>84.339399999999983</v>
      </c>
      <c r="AC126" s="100">
        <f t="shared" si="109"/>
        <v>663.69878697971001</v>
      </c>
      <c r="AD126" s="100">
        <f t="shared" si="110"/>
        <v>748.03818697970996</v>
      </c>
      <c r="AE126" s="100">
        <f t="shared" si="111"/>
        <v>5.7186674999999987</v>
      </c>
      <c r="AG126" s="26">
        <f t="shared" si="112"/>
        <v>88.444999999999993</v>
      </c>
    </row>
    <row r="127" spans="1:33" s="26" customFormat="1" ht="27.6">
      <c r="A127" s="94">
        <v>6</v>
      </c>
      <c r="B127" s="96" t="s">
        <v>224</v>
      </c>
      <c r="C127" s="93" t="s">
        <v>266</v>
      </c>
      <c r="D127" s="93">
        <v>148437</v>
      </c>
      <c r="E127" s="93">
        <v>107</v>
      </c>
      <c r="F127" s="93" t="s">
        <v>159</v>
      </c>
      <c r="G127" s="167">
        <v>1</v>
      </c>
      <c r="H127" s="168">
        <v>4.95</v>
      </c>
      <c r="I127" s="168">
        <v>7.0000000000000007E-2</v>
      </c>
      <c r="J127" s="168">
        <v>0.32</v>
      </c>
      <c r="K127" s="169">
        <f t="shared" si="127"/>
        <v>4.5599999999999996</v>
      </c>
      <c r="L127" s="97">
        <v>1.9</v>
      </c>
      <c r="M127" s="97" t="s">
        <v>63</v>
      </c>
      <c r="N127" s="98">
        <v>12</v>
      </c>
      <c r="O127" s="137">
        <v>9.5</v>
      </c>
      <c r="P127" s="143">
        <v>0.35</v>
      </c>
      <c r="Q127" s="35"/>
      <c r="R127" s="35"/>
      <c r="S127" s="35">
        <f t="shared" si="128"/>
        <v>0.24</v>
      </c>
      <c r="T127" s="35">
        <f t="shared" si="129"/>
        <v>2.2999999999999998</v>
      </c>
      <c r="U127" s="35"/>
      <c r="V127" s="35"/>
      <c r="W127" s="35">
        <f t="shared" si="134"/>
        <v>3.5999999999999996</v>
      </c>
      <c r="X127" s="35">
        <f t="shared" si="131"/>
        <v>43.319999999999993</v>
      </c>
      <c r="Y127" s="35">
        <f t="shared" si="132"/>
        <v>8.5608056336438683</v>
      </c>
      <c r="Z127" s="83">
        <f t="shared" si="133"/>
        <v>8.5608056336438683</v>
      </c>
      <c r="AA127" s="100">
        <f t="shared" si="107"/>
        <v>9.1199999999999992</v>
      </c>
      <c r="AB127" s="100">
        <f t="shared" si="108"/>
        <v>40.339999999999996</v>
      </c>
      <c r="AC127" s="100">
        <f t="shared" si="109"/>
        <v>324.14855228180352</v>
      </c>
      <c r="AD127" s="100">
        <f t="shared" si="110"/>
        <v>364.48855228180349</v>
      </c>
      <c r="AE127" s="100">
        <f t="shared" si="111"/>
        <v>2.8009799999999996</v>
      </c>
      <c r="AG127" s="26">
        <f t="shared" si="112"/>
        <v>43.319999999999993</v>
      </c>
    </row>
    <row r="128" spans="1:33" s="26" customFormat="1" ht="27.6">
      <c r="A128" s="94">
        <v>7</v>
      </c>
      <c r="B128" s="96" t="s">
        <v>267</v>
      </c>
      <c r="C128" s="93" t="s">
        <v>268</v>
      </c>
      <c r="D128" s="93">
        <v>148437</v>
      </c>
      <c r="E128" s="93">
        <v>109</v>
      </c>
      <c r="F128" s="93" t="s">
        <v>73</v>
      </c>
      <c r="G128" s="167">
        <v>2</v>
      </c>
      <c r="H128" s="168">
        <v>9.23</v>
      </c>
      <c r="I128" s="168">
        <v>0</v>
      </c>
      <c r="J128" s="168">
        <v>0.62</v>
      </c>
      <c r="K128" s="169">
        <f t="shared" si="127"/>
        <v>8.6100000000000012</v>
      </c>
      <c r="L128" s="97"/>
      <c r="M128" s="97"/>
      <c r="N128" s="98"/>
      <c r="O128" s="137">
        <v>9.5</v>
      </c>
      <c r="P128" s="143">
        <v>0</v>
      </c>
      <c r="Q128" s="35"/>
      <c r="R128" s="35"/>
      <c r="S128" s="35"/>
      <c r="T128" s="35">
        <f t="shared" si="129"/>
        <v>4.5999999999999996</v>
      </c>
      <c r="U128" s="35">
        <f t="shared" si="130"/>
        <v>2.0664000000000002</v>
      </c>
      <c r="V128" s="35"/>
      <c r="W128" s="35"/>
      <c r="X128" s="35">
        <f t="shared" si="131"/>
        <v>81.795000000000016</v>
      </c>
      <c r="Y128" s="35">
        <f t="shared" si="132"/>
        <v>16.164152742472307</v>
      </c>
      <c r="Z128" s="83">
        <f t="shared" si="133"/>
        <v>16.164152742472307</v>
      </c>
      <c r="AA128" s="100">
        <f t="shared" si="107"/>
        <v>17.220000000000002</v>
      </c>
      <c r="AB128" s="100">
        <f t="shared" si="108"/>
        <v>71.241400000000013</v>
      </c>
      <c r="AC128" s="100">
        <f t="shared" si="109"/>
        <v>380.78586000000007</v>
      </c>
      <c r="AD128" s="100">
        <f t="shared" si="110"/>
        <v>452.02726000000007</v>
      </c>
      <c r="AE128" s="100">
        <f t="shared" si="111"/>
        <v>5.2886925000000007</v>
      </c>
      <c r="AG128" s="26">
        <f t="shared" si="112"/>
        <v>81.795000000000016</v>
      </c>
    </row>
    <row r="129" spans="1:33" s="26" customFormat="1" ht="27.6">
      <c r="A129" s="94">
        <v>7</v>
      </c>
      <c r="B129" s="96" t="s">
        <v>267</v>
      </c>
      <c r="C129" s="93" t="s">
        <v>269</v>
      </c>
      <c r="D129" s="93">
        <v>148437</v>
      </c>
      <c r="E129" s="93">
        <v>110</v>
      </c>
      <c r="F129" s="93" t="s">
        <v>74</v>
      </c>
      <c r="G129" s="167">
        <v>1</v>
      </c>
      <c r="H129" s="168">
        <v>4.58</v>
      </c>
      <c r="I129" s="168">
        <v>0</v>
      </c>
      <c r="J129" s="168">
        <v>0.31</v>
      </c>
      <c r="K129" s="169">
        <f t="shared" si="127"/>
        <v>4.2700000000000005</v>
      </c>
      <c r="L129" s="97"/>
      <c r="M129" s="97"/>
      <c r="N129" s="98"/>
      <c r="O129" s="137">
        <v>9.5</v>
      </c>
      <c r="P129" s="143">
        <v>0</v>
      </c>
      <c r="Q129" s="35"/>
      <c r="R129" s="35"/>
      <c r="S129" s="35"/>
      <c r="T129" s="35">
        <f t="shared" si="129"/>
        <v>2.2999999999999998</v>
      </c>
      <c r="U129" s="35"/>
      <c r="V129" s="35"/>
      <c r="W129" s="35"/>
      <c r="X129" s="35">
        <f t="shared" si="131"/>
        <v>40.565000000000005</v>
      </c>
      <c r="Y129" s="35">
        <f t="shared" si="132"/>
        <v>8.0163684332586236</v>
      </c>
      <c r="Z129" s="83">
        <f t="shared" si="133"/>
        <v>8.0163684332586236</v>
      </c>
      <c r="AA129" s="100">
        <f t="shared" si="107"/>
        <v>8.5400000000000009</v>
      </c>
      <c r="AB129" s="100">
        <f t="shared" si="108"/>
        <v>34.325000000000003</v>
      </c>
      <c r="AC129" s="100">
        <f t="shared" si="109"/>
        <v>188.84502000000001</v>
      </c>
      <c r="AD129" s="100">
        <f t="shared" si="110"/>
        <v>223.17002000000002</v>
      </c>
      <c r="AE129" s="100">
        <f t="shared" si="111"/>
        <v>2.6228475000000002</v>
      </c>
      <c r="AG129" s="26">
        <f t="shared" si="112"/>
        <v>40.565000000000005</v>
      </c>
    </row>
    <row r="130" spans="1:33" s="26" customFormat="1" ht="27.6">
      <c r="A130" s="94">
        <v>8</v>
      </c>
      <c r="B130" s="93" t="s">
        <v>270</v>
      </c>
      <c r="C130" s="93" t="s">
        <v>271</v>
      </c>
      <c r="D130" s="93">
        <v>148437</v>
      </c>
      <c r="E130" s="93">
        <v>111</v>
      </c>
      <c r="F130" s="93" t="s">
        <v>74</v>
      </c>
      <c r="G130" s="167">
        <v>1</v>
      </c>
      <c r="H130" s="168">
        <v>23.84</v>
      </c>
      <c r="I130" s="168">
        <v>3.15</v>
      </c>
      <c r="J130" s="168">
        <v>0.44</v>
      </c>
      <c r="K130" s="169">
        <f>H130-I130-J130</f>
        <v>20.25</v>
      </c>
      <c r="L130" s="97" t="s">
        <v>272</v>
      </c>
      <c r="M130" s="97" t="s">
        <v>75</v>
      </c>
      <c r="N130" s="98" t="s">
        <v>273</v>
      </c>
      <c r="O130" s="137">
        <v>10.5</v>
      </c>
      <c r="P130" s="143">
        <v>15.75</v>
      </c>
      <c r="Q130" s="35"/>
      <c r="R130" s="35"/>
      <c r="S130" s="35">
        <f>G130*(5+28)*0.02</f>
        <v>0.66</v>
      </c>
      <c r="T130" s="35">
        <f t="shared" si="129"/>
        <v>2.2999999999999998</v>
      </c>
      <c r="U130" s="35"/>
      <c r="V130" s="35"/>
      <c r="W130" s="35">
        <f>G130*(5+28)*1.5</f>
        <v>49.5</v>
      </c>
      <c r="X130" s="35">
        <f t="shared" si="131"/>
        <v>212.625</v>
      </c>
      <c r="Y130" s="35">
        <f t="shared" si="132"/>
        <v>38.016735544142179</v>
      </c>
      <c r="Z130" s="83">
        <f t="shared" si="133"/>
        <v>38.016735544142179</v>
      </c>
      <c r="AA130" s="100">
        <f t="shared" si="107"/>
        <v>40.5</v>
      </c>
      <c r="AB130" s="100">
        <f t="shared" si="108"/>
        <v>224.58499999999998</v>
      </c>
      <c r="AC130" s="100">
        <f t="shared" si="109"/>
        <v>6407.0861526811595</v>
      </c>
      <c r="AD130" s="100">
        <f t="shared" si="110"/>
        <v>6631.6711526811596</v>
      </c>
      <c r="AE130" s="100">
        <f t="shared" si="111"/>
        <v>12.4385625</v>
      </c>
      <c r="AG130" s="26">
        <f t="shared" si="112"/>
        <v>212.625</v>
      </c>
    </row>
    <row r="131" spans="1:33" s="26" customFormat="1" ht="27.6">
      <c r="A131" s="94">
        <v>14</v>
      </c>
      <c r="B131" s="96" t="s">
        <v>119</v>
      </c>
      <c r="C131" s="93" t="s">
        <v>121</v>
      </c>
      <c r="D131" s="93">
        <v>148437</v>
      </c>
      <c r="E131" s="93">
        <v>118</v>
      </c>
      <c r="F131" s="93" t="s">
        <v>73</v>
      </c>
      <c r="G131" s="167">
        <v>1</v>
      </c>
      <c r="H131" s="168">
        <v>6.31</v>
      </c>
      <c r="I131" s="168">
        <v>0.2</v>
      </c>
      <c r="J131" s="168">
        <v>0.32</v>
      </c>
      <c r="K131" s="169">
        <f t="shared" si="127"/>
        <v>5.7899999999999991</v>
      </c>
      <c r="L131" s="97">
        <v>1.8</v>
      </c>
      <c r="M131" s="97" t="s">
        <v>63</v>
      </c>
      <c r="N131" s="98">
        <v>39</v>
      </c>
      <c r="O131" s="137">
        <v>11</v>
      </c>
      <c r="P131" s="143">
        <v>1</v>
      </c>
      <c r="Q131" s="35"/>
      <c r="R131" s="35"/>
      <c r="S131" s="35">
        <f t="shared" si="128"/>
        <v>0.78</v>
      </c>
      <c r="T131" s="35">
        <f t="shared" si="129"/>
        <v>2.2999999999999998</v>
      </c>
      <c r="U131" s="35">
        <f t="shared" si="130"/>
        <v>1.3895999999999997</v>
      </c>
      <c r="V131" s="35"/>
      <c r="W131" s="35">
        <f>G131*N131*0.3</f>
        <v>11.7</v>
      </c>
      <c r="X131" s="35">
        <f t="shared" si="131"/>
        <v>63.689999999999991</v>
      </c>
      <c r="Y131" s="35">
        <f t="shared" si="132"/>
        <v>10.869970311139909</v>
      </c>
      <c r="Z131" s="83">
        <f t="shared" si="133"/>
        <v>10.869970311139909</v>
      </c>
      <c r="AA131" s="100">
        <f t="shared" si="107"/>
        <v>11.579999999999998</v>
      </c>
      <c r="AB131" s="100">
        <f t="shared" si="108"/>
        <v>68.279599999999988</v>
      </c>
      <c r="AC131" s="100">
        <f t="shared" si="109"/>
        <v>606.00566080515296</v>
      </c>
      <c r="AD131" s="100">
        <f t="shared" si="110"/>
        <v>674.28526080515292</v>
      </c>
      <c r="AE131" s="100">
        <f t="shared" si="111"/>
        <v>3.556507499999999</v>
      </c>
      <c r="AG131" s="26">
        <f t="shared" si="112"/>
        <v>63.689999999999991</v>
      </c>
    </row>
    <row r="132" spans="1:33" s="26" customFormat="1" ht="28.2" thickBot="1">
      <c r="A132" s="94">
        <v>18</v>
      </c>
      <c r="B132" s="96" t="s">
        <v>274</v>
      </c>
      <c r="C132" s="93" t="s">
        <v>276</v>
      </c>
      <c r="D132" s="93">
        <v>148437</v>
      </c>
      <c r="E132" s="93">
        <v>122</v>
      </c>
      <c r="F132" s="93" t="s">
        <v>73</v>
      </c>
      <c r="G132" s="167">
        <v>1</v>
      </c>
      <c r="H132" s="168">
        <v>5.95</v>
      </c>
      <c r="I132" s="168">
        <v>0.11</v>
      </c>
      <c r="J132" s="168">
        <v>0.44</v>
      </c>
      <c r="K132" s="169">
        <f t="shared" si="127"/>
        <v>5.3999999999999995</v>
      </c>
      <c r="L132" s="97">
        <v>1.7</v>
      </c>
      <c r="M132" s="97" t="s">
        <v>63</v>
      </c>
      <c r="N132" s="98">
        <v>25</v>
      </c>
      <c r="O132" s="137">
        <v>11.5</v>
      </c>
      <c r="P132" s="143">
        <v>0.53</v>
      </c>
      <c r="Q132" s="35"/>
      <c r="R132" s="35"/>
      <c r="S132" s="35">
        <f t="shared" si="128"/>
        <v>0.5</v>
      </c>
      <c r="T132" s="35">
        <f>2.3*G132</f>
        <v>2.2999999999999998</v>
      </c>
      <c r="U132" s="35">
        <f t="shared" si="130"/>
        <v>1.2959999999999998</v>
      </c>
      <c r="V132" s="35"/>
      <c r="W132" s="35">
        <f t="shared" si="134"/>
        <v>7.5</v>
      </c>
      <c r="X132" s="35">
        <f t="shared" si="131"/>
        <v>62.099999999999994</v>
      </c>
      <c r="Y132" s="35">
        <f t="shared" si="132"/>
        <v>10.137796145104581</v>
      </c>
      <c r="Z132" s="83">
        <f t="shared" si="133"/>
        <v>10.137796145104581</v>
      </c>
      <c r="AA132" s="100">
        <f t="shared" si="107"/>
        <v>10.799999999999999</v>
      </c>
      <c r="AB132" s="100">
        <f t="shared" si="108"/>
        <v>62.896000000000001</v>
      </c>
      <c r="AC132" s="100">
        <f t="shared" si="109"/>
        <v>424.28707402673103</v>
      </c>
      <c r="AD132" s="100">
        <f t="shared" si="110"/>
        <v>487.18307402673105</v>
      </c>
      <c r="AE132" s="100">
        <f t="shared" si="111"/>
        <v>3.3169499999999994</v>
      </c>
      <c r="AG132" s="26">
        <f t="shared" si="112"/>
        <v>62.099999999999994</v>
      </c>
    </row>
    <row r="133" spans="1:33" s="27" customFormat="1" ht="16.05" customHeight="1">
      <c r="A133" s="86" t="s">
        <v>66</v>
      </c>
      <c r="B133" s="63"/>
      <c r="C133" s="63"/>
      <c r="D133" s="63"/>
      <c r="E133" s="63"/>
      <c r="F133" s="63"/>
      <c r="G133" s="170">
        <f>SUM(G123:G132)</f>
        <v>16</v>
      </c>
      <c r="H133" s="171"/>
      <c r="I133" s="171"/>
      <c r="J133" s="171"/>
      <c r="K133" s="171">
        <f>SUM(K123:K132)</f>
        <v>98.890000000000015</v>
      </c>
      <c r="L133" s="65"/>
      <c r="M133" s="65"/>
      <c r="N133" s="65"/>
      <c r="O133" s="138"/>
      <c r="P133" s="101">
        <f t="shared" ref="P133:Z133" si="135">SUM(P123:P132)</f>
        <v>21.93</v>
      </c>
      <c r="Q133" s="66">
        <f t="shared" si="135"/>
        <v>0</v>
      </c>
      <c r="R133" s="66">
        <f t="shared" si="135"/>
        <v>0</v>
      </c>
      <c r="S133" s="66">
        <f t="shared" si="135"/>
        <v>4.7200000000000006</v>
      </c>
      <c r="T133" s="66">
        <f t="shared" si="135"/>
        <v>36.799999999999997</v>
      </c>
      <c r="U133" s="66">
        <f t="shared" si="135"/>
        <v>15.381599999999997</v>
      </c>
      <c r="V133" s="66">
        <f t="shared" si="135"/>
        <v>0</v>
      </c>
      <c r="W133" s="66">
        <f t="shared" si="135"/>
        <v>162.89999999999998</v>
      </c>
      <c r="X133" s="66">
        <f t="shared" si="135"/>
        <v>966.76</v>
      </c>
      <c r="Y133" s="66">
        <f t="shared" si="135"/>
        <v>185.65308533136891</v>
      </c>
      <c r="Z133" s="84">
        <f t="shared" si="135"/>
        <v>185.65308533136891</v>
      </c>
      <c r="AA133" s="100"/>
      <c r="AB133" s="100"/>
      <c r="AC133" s="100"/>
      <c r="AD133" s="100"/>
      <c r="AE133" s="100"/>
      <c r="AF133" s="26"/>
      <c r="AG133" s="26"/>
    </row>
    <row r="134" spans="1:33" ht="16.05" customHeight="1">
      <c r="A134" s="52" t="s">
        <v>64</v>
      </c>
      <c r="K134" s="115"/>
      <c r="L134" s="48"/>
      <c r="M134" s="48"/>
      <c r="N134" s="48"/>
      <c r="W134" s="49"/>
      <c r="X134" s="80" t="s">
        <v>259</v>
      </c>
      <c r="Y134" s="92">
        <f>3051.7*1.02</f>
        <v>3112.7339999999999</v>
      </c>
      <c r="Z134" s="92">
        <f>3051.7*1.02</f>
        <v>3112.7339999999999</v>
      </c>
      <c r="AA134" s="100"/>
      <c r="AB134" s="100"/>
      <c r="AC134" s="100"/>
      <c r="AD134" s="100"/>
      <c r="AE134" s="100"/>
      <c r="AF134" s="26"/>
      <c r="AG134" s="26"/>
    </row>
    <row r="135" spans="1:33" s="91" customFormat="1" ht="27.6">
      <c r="A135" s="87" t="s">
        <v>4</v>
      </c>
      <c r="B135" s="88" t="s">
        <v>5</v>
      </c>
      <c r="C135" s="88" t="s">
        <v>24</v>
      </c>
      <c r="D135" s="88" t="s">
        <v>46</v>
      </c>
      <c r="E135" s="88"/>
      <c r="F135" s="88" t="s">
        <v>6</v>
      </c>
      <c r="G135" s="88" t="s">
        <v>7</v>
      </c>
      <c r="H135" s="116" t="s">
        <v>8</v>
      </c>
      <c r="I135" s="116" t="s">
        <v>47</v>
      </c>
      <c r="J135" s="116" t="s">
        <v>9</v>
      </c>
      <c r="K135" s="116" t="s">
        <v>14</v>
      </c>
      <c r="L135" s="89" t="s">
        <v>20</v>
      </c>
      <c r="M135" s="89" t="s">
        <v>23</v>
      </c>
      <c r="N135" s="89" t="s">
        <v>21</v>
      </c>
      <c r="O135" s="136" t="s">
        <v>10</v>
      </c>
      <c r="P135" s="90" t="s">
        <v>49</v>
      </c>
      <c r="Q135" s="45" t="s">
        <v>50</v>
      </c>
      <c r="R135" s="45" t="s">
        <v>55</v>
      </c>
      <c r="S135" s="45" t="s">
        <v>70</v>
      </c>
      <c r="T135" s="45" t="s">
        <v>13</v>
      </c>
      <c r="U135" s="45" t="s">
        <v>52</v>
      </c>
      <c r="V135" s="45" t="s">
        <v>48</v>
      </c>
      <c r="W135" s="45" t="s">
        <v>15</v>
      </c>
      <c r="X135" s="50" t="s">
        <v>12</v>
      </c>
      <c r="Y135" s="160" t="s">
        <v>22</v>
      </c>
      <c r="Z135" s="50" t="s">
        <v>68</v>
      </c>
      <c r="AA135" s="100"/>
      <c r="AB135" s="100"/>
      <c r="AC135" s="100"/>
      <c r="AD135" s="100"/>
      <c r="AE135" s="100"/>
      <c r="AF135" s="26"/>
      <c r="AG135" s="26"/>
    </row>
    <row r="136" spans="1:33" s="26" customFormat="1" ht="27.6">
      <c r="A136" s="165" t="s">
        <v>277</v>
      </c>
      <c r="B136" s="93" t="s">
        <v>248</v>
      </c>
      <c r="C136" s="93" t="s">
        <v>249</v>
      </c>
      <c r="D136" s="93">
        <v>148436</v>
      </c>
      <c r="E136" s="93">
        <v>101</v>
      </c>
      <c r="F136" s="93" t="s">
        <v>74</v>
      </c>
      <c r="G136" s="95">
        <v>1</v>
      </c>
      <c r="H136" s="168">
        <v>5.81</v>
      </c>
      <c r="I136" s="168">
        <v>0.04</v>
      </c>
      <c r="J136" s="168">
        <v>0.33</v>
      </c>
      <c r="K136" s="169">
        <f t="shared" ref="K136:K151" si="136">H136-I136-J136</f>
        <v>5.4399999999999995</v>
      </c>
      <c r="L136" s="97">
        <v>1.5</v>
      </c>
      <c r="M136" s="97" t="s">
        <v>63</v>
      </c>
      <c r="N136" s="98">
        <v>13</v>
      </c>
      <c r="O136" s="137">
        <v>8.5</v>
      </c>
      <c r="P136" s="143">
        <v>0.19</v>
      </c>
      <c r="Q136" s="35"/>
      <c r="R136" s="35"/>
      <c r="S136" s="35">
        <f>G136*N136*0.02</f>
        <v>0.26</v>
      </c>
      <c r="T136" s="35">
        <f t="shared" ref="T136:T139" si="137">2.3*G136</f>
        <v>2.2999999999999998</v>
      </c>
      <c r="U136" s="35"/>
      <c r="V136" s="35"/>
      <c r="W136" s="35">
        <f>G136*N136*0.3</f>
        <v>3.9</v>
      </c>
      <c r="X136" s="35">
        <f t="shared" ref="X136:X151" si="138">K136*O136</f>
        <v>46.239999999999995</v>
      </c>
      <c r="Y136" s="35">
        <f>($Y$61/31.1035*IF(LEFT(F136,3)="10K",(0.417*1.07*K136),IF(LEFT(F136,3)="14K",(0.585*1.05*K136),IF(LEFT(F136,3)="18K",(0.75*1.05*K136),0))))*0.5</f>
        <v>48.654123973207675</v>
      </c>
      <c r="Z136" s="83">
        <f>($Z$61/31.1035*IF(LEFT(F136,3)="10K",(0.417*1.07*K136),IF(LEFT(F136,3)="14K",(0.585*1.05*K136),IF(LEFT(F136,3)="18K",(0.75*1.05*K136),0))))*0.5</f>
        <v>48.654123973207675</v>
      </c>
      <c r="AA136" s="100">
        <f t="shared" si="107"/>
        <v>10.879999999999999</v>
      </c>
      <c r="AB136" s="100">
        <f t="shared" si="108"/>
        <v>41.819999999999993</v>
      </c>
      <c r="AC136" s="100">
        <f t="shared" si="109"/>
        <v>307.07749295297901</v>
      </c>
      <c r="AD136" s="100">
        <f t="shared" si="110"/>
        <v>348.89749295297901</v>
      </c>
      <c r="AE136" s="100">
        <f t="shared" si="111"/>
        <v>3.3415199999999996</v>
      </c>
      <c r="AG136" s="26">
        <f t="shared" si="112"/>
        <v>46.239999999999995</v>
      </c>
    </row>
    <row r="137" spans="1:33" s="26" customFormat="1" ht="27.6">
      <c r="A137" s="94">
        <v>2</v>
      </c>
      <c r="B137" s="93" t="s">
        <v>278</v>
      </c>
      <c r="C137" s="93" t="s">
        <v>168</v>
      </c>
      <c r="D137" s="93">
        <v>148436</v>
      </c>
      <c r="E137" s="93">
        <v>103</v>
      </c>
      <c r="F137" s="93" t="s">
        <v>73</v>
      </c>
      <c r="G137" s="95">
        <v>1</v>
      </c>
      <c r="H137" s="168">
        <v>5.82</v>
      </c>
      <c r="I137" s="168">
        <v>0.09</v>
      </c>
      <c r="J137" s="168">
        <v>0.5</v>
      </c>
      <c r="K137" s="169">
        <f t="shared" si="136"/>
        <v>5.23</v>
      </c>
      <c r="L137" s="97" t="s">
        <v>128</v>
      </c>
      <c r="M137" s="97" t="s">
        <v>75</v>
      </c>
      <c r="N137" s="98" t="s">
        <v>129</v>
      </c>
      <c r="O137" s="137">
        <v>9</v>
      </c>
      <c r="P137" s="143">
        <v>0.43</v>
      </c>
      <c r="Q137" s="35"/>
      <c r="R137" s="35"/>
      <c r="S137" s="35">
        <f>G137*(16+12)*0.02</f>
        <v>0.56000000000000005</v>
      </c>
      <c r="T137" s="35">
        <f t="shared" si="137"/>
        <v>2.2999999999999998</v>
      </c>
      <c r="U137" s="35">
        <f t="shared" ref="U137:U147" si="139">IF(RIGHT(F137,2)="WG",K137*$AB$4,IF(RIGHT(F137,3)="WRG",K137*$AB$4+3*G137,IF(RIGHT(F137,3)="WYG",K137*$AB$4+3*G137,IF(RIGHT(F137,3)="WYR",K137*$AB$4+3*G137,0))))</f>
        <v>1.2552000000000001</v>
      </c>
      <c r="V137" s="35"/>
      <c r="W137" s="35">
        <f>G137*(16+12)*0.6</f>
        <v>16.8</v>
      </c>
      <c r="X137" s="35">
        <f t="shared" si="138"/>
        <v>47.070000000000007</v>
      </c>
      <c r="Y137" s="35">
        <f t="shared" ref="Y137:Y151" si="140">($Y$61/31.1035*IF(LEFT(F137,3)="10K",(0.417*1.07*K137),IF(LEFT(F137,3)="14K",(0.585*1.05*K137),IF(LEFT(F137,3)="18K",(0.75*1.05*K137),0))))*0.5</f>
        <v>46.77593168747724</v>
      </c>
      <c r="Z137" s="83">
        <f t="shared" ref="Z137:Z151" si="141">($Z$61/31.1035*IF(LEFT(F137,3)="10K",(0.417*1.07*K137),IF(LEFT(F137,3)="14K",(0.585*1.05*K137),IF(LEFT(F137,3)="18K",(0.75*1.05*K137),0))))*0.5</f>
        <v>46.77593168747724</v>
      </c>
      <c r="AA137" s="100">
        <f t="shared" si="107"/>
        <v>10.46</v>
      </c>
      <c r="AB137" s="100">
        <f t="shared" si="108"/>
        <v>57.525200000000005</v>
      </c>
      <c r="AC137" s="100">
        <f t="shared" si="109"/>
        <v>381.77494194621579</v>
      </c>
      <c r="AD137" s="100">
        <f t="shared" si="110"/>
        <v>439.30014194621577</v>
      </c>
      <c r="AE137" s="100">
        <f t="shared" si="111"/>
        <v>3.2125275000000002</v>
      </c>
      <c r="AG137" s="26">
        <f t="shared" si="112"/>
        <v>47.070000000000007</v>
      </c>
    </row>
    <row r="138" spans="1:33" s="26" customFormat="1" ht="41.4">
      <c r="A138" s="94">
        <v>3</v>
      </c>
      <c r="B138" s="96" t="s">
        <v>279</v>
      </c>
      <c r="C138" s="93" t="s">
        <v>280</v>
      </c>
      <c r="D138" s="93">
        <v>148436</v>
      </c>
      <c r="E138" s="93">
        <v>104</v>
      </c>
      <c r="F138" s="93" t="s">
        <v>74</v>
      </c>
      <c r="G138" s="95">
        <v>1</v>
      </c>
      <c r="H138" s="168">
        <v>9.84</v>
      </c>
      <c r="I138" s="168">
        <v>0.3</v>
      </c>
      <c r="J138" s="168">
        <v>0.31</v>
      </c>
      <c r="K138" s="169">
        <f t="shared" si="136"/>
        <v>9.2299999999999986</v>
      </c>
      <c r="L138" s="97" t="s">
        <v>157</v>
      </c>
      <c r="M138" s="97" t="s">
        <v>91</v>
      </c>
      <c r="N138" s="98" t="s">
        <v>158</v>
      </c>
      <c r="O138" s="137">
        <v>8.5</v>
      </c>
      <c r="P138" s="143">
        <v>1.52</v>
      </c>
      <c r="Q138" s="35"/>
      <c r="R138" s="35"/>
      <c r="S138" s="35">
        <f>G138*(8+12+24)*0.02</f>
        <v>0.88</v>
      </c>
      <c r="T138" s="35">
        <f t="shared" si="137"/>
        <v>2.2999999999999998</v>
      </c>
      <c r="U138" s="35"/>
      <c r="V138" s="35"/>
      <c r="W138" s="35">
        <f>G138*((8+12)*0.6+24*0.3)</f>
        <v>19.2</v>
      </c>
      <c r="X138" s="35">
        <f t="shared" si="138"/>
        <v>78.454999999999984</v>
      </c>
      <c r="Y138" s="35">
        <f t="shared" si="140"/>
        <v>82.551022844247569</v>
      </c>
      <c r="Z138" s="83">
        <f t="shared" si="141"/>
        <v>82.551022844247569</v>
      </c>
      <c r="AA138" s="100">
        <f t="shared" si="107"/>
        <v>18.459999999999997</v>
      </c>
      <c r="AB138" s="100">
        <f t="shared" si="108"/>
        <v>82.374999999999986</v>
      </c>
      <c r="AC138" s="100">
        <f t="shared" si="109"/>
        <v>940.11040362383244</v>
      </c>
      <c r="AD138" s="100">
        <f t="shared" si="110"/>
        <v>1022.4854036238324</v>
      </c>
      <c r="AE138" s="100">
        <f t="shared" si="111"/>
        <v>5.6695274999999992</v>
      </c>
      <c r="AG138" s="26">
        <f t="shared" si="112"/>
        <v>78.454999999999984</v>
      </c>
    </row>
    <row r="139" spans="1:33" s="26" customFormat="1" ht="27.6">
      <c r="A139" s="94">
        <v>4</v>
      </c>
      <c r="B139" s="93" t="s">
        <v>281</v>
      </c>
      <c r="C139" s="93" t="s">
        <v>282</v>
      </c>
      <c r="D139" s="93">
        <v>148436</v>
      </c>
      <c r="E139" s="93">
        <v>105</v>
      </c>
      <c r="F139" s="93" t="s">
        <v>73</v>
      </c>
      <c r="G139" s="95">
        <v>1</v>
      </c>
      <c r="H139" s="168">
        <v>7.15</v>
      </c>
      <c r="I139" s="168">
        <v>0.03</v>
      </c>
      <c r="J139" s="168">
        <v>0.36</v>
      </c>
      <c r="K139" s="169">
        <f t="shared" si="136"/>
        <v>6.76</v>
      </c>
      <c r="L139" s="97">
        <v>1.5</v>
      </c>
      <c r="M139" s="97" t="s">
        <v>63</v>
      </c>
      <c r="N139" s="98">
        <v>13</v>
      </c>
      <c r="O139" s="137">
        <v>9.5</v>
      </c>
      <c r="P139" s="143">
        <v>0.17</v>
      </c>
      <c r="Q139" s="35"/>
      <c r="R139" s="35"/>
      <c r="S139" s="35">
        <f t="shared" ref="S139:S151" si="142">G139*N139*0.02</f>
        <v>0.26</v>
      </c>
      <c r="T139" s="35">
        <f t="shared" si="137"/>
        <v>2.2999999999999998</v>
      </c>
      <c r="U139" s="35">
        <f t="shared" si="139"/>
        <v>1.6223999999999998</v>
      </c>
      <c r="V139" s="35"/>
      <c r="W139" s="35">
        <f>G139*N139*0.3</f>
        <v>3.9</v>
      </c>
      <c r="X139" s="35">
        <f t="shared" si="138"/>
        <v>64.22</v>
      </c>
      <c r="Y139" s="35">
        <f t="shared" si="140"/>
        <v>60.459904054941887</v>
      </c>
      <c r="Z139" s="83">
        <f t="shared" si="141"/>
        <v>60.459904054941887</v>
      </c>
      <c r="AA139" s="100">
        <f t="shared" si="107"/>
        <v>13.52</v>
      </c>
      <c r="AB139" s="100">
        <f t="shared" si="108"/>
        <v>58.78240000000001</v>
      </c>
      <c r="AC139" s="100">
        <f t="shared" si="109"/>
        <v>358.45707053687596</v>
      </c>
      <c r="AD139" s="100">
        <f t="shared" si="110"/>
        <v>417.23947053687596</v>
      </c>
      <c r="AE139" s="100">
        <f t="shared" si="111"/>
        <v>4.1523299999999992</v>
      </c>
      <c r="AG139" s="26">
        <f t="shared" si="112"/>
        <v>64.22</v>
      </c>
    </row>
    <row r="140" spans="1:33" s="26" customFormat="1" ht="27.6">
      <c r="A140" s="94">
        <v>5</v>
      </c>
      <c r="B140" s="96" t="s">
        <v>283</v>
      </c>
      <c r="C140" s="93" t="s">
        <v>284</v>
      </c>
      <c r="D140" s="93">
        <v>148436</v>
      </c>
      <c r="E140" s="93">
        <v>106</v>
      </c>
      <c r="F140" s="93" t="s">
        <v>285</v>
      </c>
      <c r="G140" s="95">
        <v>1</v>
      </c>
      <c r="H140" s="168">
        <v>19.21</v>
      </c>
      <c r="I140" s="168">
        <v>1.29</v>
      </c>
      <c r="J140" s="168">
        <v>0.65</v>
      </c>
      <c r="K140" s="169">
        <f t="shared" si="136"/>
        <v>17.270000000000003</v>
      </c>
      <c r="L140" s="97">
        <v>2.2999999999999998</v>
      </c>
      <c r="M140" s="97" t="s">
        <v>63</v>
      </c>
      <c r="N140" s="98">
        <v>138</v>
      </c>
      <c r="O140" s="137">
        <v>10.5</v>
      </c>
      <c r="P140" s="143">
        <v>6.46</v>
      </c>
      <c r="Q140" s="35"/>
      <c r="R140" s="35"/>
      <c r="S140" s="35">
        <f>G140*N140*0.02</f>
        <v>2.7600000000000002</v>
      </c>
      <c r="T140" s="35">
        <f t="shared" ref="T140:T145" si="143">4.6*G140</f>
        <v>4.5999999999999996</v>
      </c>
      <c r="U140" s="35">
        <f t="shared" si="139"/>
        <v>7.1448000000000009</v>
      </c>
      <c r="V140" s="35"/>
      <c r="W140" s="35">
        <f t="shared" ref="W140:W151" si="144">G140*N140*0.3</f>
        <v>41.4</v>
      </c>
      <c r="X140" s="35">
        <f t="shared" si="138"/>
        <v>181.33500000000004</v>
      </c>
      <c r="Y140" s="35">
        <f t="shared" si="140"/>
        <v>154.45895606935602</v>
      </c>
      <c r="Z140" s="83">
        <f t="shared" si="141"/>
        <v>154.45895606935602</v>
      </c>
      <c r="AA140" s="100">
        <f t="shared" si="107"/>
        <v>34.540000000000006</v>
      </c>
      <c r="AB140" s="100">
        <f t="shared" si="108"/>
        <v>202.69980000000004</v>
      </c>
      <c r="AC140" s="100">
        <f t="shared" si="109"/>
        <v>3024.3768204012886</v>
      </c>
      <c r="AD140" s="100">
        <f t="shared" si="110"/>
        <v>3227.0766204012884</v>
      </c>
      <c r="AE140" s="100">
        <f t="shared" si="111"/>
        <v>10.608097500000001</v>
      </c>
      <c r="AG140" s="26">
        <f t="shared" si="112"/>
        <v>181.33500000000004</v>
      </c>
    </row>
    <row r="141" spans="1:33" s="26" customFormat="1" ht="27.6">
      <c r="A141" s="94">
        <v>8</v>
      </c>
      <c r="B141" s="93" t="s">
        <v>211</v>
      </c>
      <c r="C141" s="93" t="s">
        <v>286</v>
      </c>
      <c r="D141" s="93">
        <v>148436</v>
      </c>
      <c r="E141" s="93">
        <v>109</v>
      </c>
      <c r="F141" s="93" t="s">
        <v>285</v>
      </c>
      <c r="G141" s="95">
        <v>1</v>
      </c>
      <c r="H141" s="168">
        <v>13.37</v>
      </c>
      <c r="I141" s="168">
        <v>0.79</v>
      </c>
      <c r="J141" s="168">
        <v>0.65</v>
      </c>
      <c r="K141" s="169">
        <f t="shared" si="136"/>
        <v>11.929999999999998</v>
      </c>
      <c r="L141" s="97">
        <v>1.95</v>
      </c>
      <c r="M141" s="97" t="s">
        <v>63</v>
      </c>
      <c r="N141" s="98">
        <v>145</v>
      </c>
      <c r="O141" s="137">
        <v>8.5</v>
      </c>
      <c r="P141" s="143">
        <v>3.96</v>
      </c>
      <c r="Q141" s="35"/>
      <c r="R141" s="35"/>
      <c r="S141" s="35">
        <f t="shared" si="142"/>
        <v>2.9</v>
      </c>
      <c r="T141" s="35">
        <f t="shared" si="143"/>
        <v>4.5999999999999996</v>
      </c>
      <c r="U141" s="35">
        <f t="shared" si="139"/>
        <v>5.8631999999999991</v>
      </c>
      <c r="V141" s="35"/>
      <c r="W141" s="35">
        <f>G141*N141*0.3</f>
        <v>43.5</v>
      </c>
      <c r="X141" s="35">
        <f t="shared" si="138"/>
        <v>101.40499999999999</v>
      </c>
      <c r="Y141" s="35">
        <f t="shared" si="140"/>
        <v>106.69920937506755</v>
      </c>
      <c r="Z141" s="83">
        <f t="shared" si="141"/>
        <v>106.69920937506755</v>
      </c>
      <c r="AA141" s="100">
        <f t="shared" si="107"/>
        <v>23.859999999999996</v>
      </c>
      <c r="AB141" s="100">
        <f t="shared" si="108"/>
        <v>134.40819999999999</v>
      </c>
      <c r="AC141" s="100">
        <f t="shared" si="109"/>
        <v>1913.3671783884056</v>
      </c>
      <c r="AD141" s="100">
        <f t="shared" si="110"/>
        <v>2047.7753783884057</v>
      </c>
      <c r="AE141" s="100">
        <f t="shared" si="111"/>
        <v>7.3280024999999984</v>
      </c>
      <c r="AG141" s="26">
        <f t="shared" si="112"/>
        <v>101.40499999999999</v>
      </c>
    </row>
    <row r="142" spans="1:33" s="26" customFormat="1" ht="27.6">
      <c r="A142" s="94">
        <v>9</v>
      </c>
      <c r="B142" s="96" t="s">
        <v>287</v>
      </c>
      <c r="C142" s="93" t="s">
        <v>288</v>
      </c>
      <c r="D142" s="93">
        <v>148436</v>
      </c>
      <c r="E142" s="93">
        <v>111</v>
      </c>
      <c r="F142" s="93" t="s">
        <v>73</v>
      </c>
      <c r="G142" s="95">
        <v>1</v>
      </c>
      <c r="H142" s="168">
        <v>10.83</v>
      </c>
      <c r="I142" s="168">
        <v>0.56999999999999995</v>
      </c>
      <c r="J142" s="168">
        <v>0.67</v>
      </c>
      <c r="K142" s="169">
        <f t="shared" si="136"/>
        <v>9.59</v>
      </c>
      <c r="L142" s="97">
        <v>1.6</v>
      </c>
      <c r="M142" s="97" t="s">
        <v>63</v>
      </c>
      <c r="N142" s="98">
        <v>192</v>
      </c>
      <c r="O142" s="137">
        <v>8.5</v>
      </c>
      <c r="P142" s="143">
        <v>2.86</v>
      </c>
      <c r="Q142" s="35"/>
      <c r="R142" s="35"/>
      <c r="S142" s="35">
        <f t="shared" si="142"/>
        <v>3.84</v>
      </c>
      <c r="T142" s="35">
        <f t="shared" si="143"/>
        <v>4.5999999999999996</v>
      </c>
      <c r="U142" s="35">
        <f t="shared" si="139"/>
        <v>2.3016000000000001</v>
      </c>
      <c r="V142" s="35"/>
      <c r="W142" s="35">
        <f t="shared" si="144"/>
        <v>57.599999999999994</v>
      </c>
      <c r="X142" s="35">
        <f t="shared" si="138"/>
        <v>81.515000000000001</v>
      </c>
      <c r="Y142" s="35">
        <f t="shared" si="140"/>
        <v>85.770781048356909</v>
      </c>
      <c r="Z142" s="83">
        <f t="shared" si="141"/>
        <v>85.770781048356909</v>
      </c>
      <c r="AA142" s="100">
        <f t="shared" si="107"/>
        <v>19.18</v>
      </c>
      <c r="AB142" s="100">
        <f t="shared" si="108"/>
        <v>130.67660000000001</v>
      </c>
      <c r="AC142" s="100">
        <f t="shared" si="109"/>
        <v>1424.9475055027374</v>
      </c>
      <c r="AD142" s="100">
        <f t="shared" si="110"/>
        <v>1555.6241055027374</v>
      </c>
      <c r="AE142" s="100">
        <f t="shared" si="111"/>
        <v>5.8906574999999997</v>
      </c>
      <c r="AG142" s="26">
        <f t="shared" si="112"/>
        <v>81.515000000000001</v>
      </c>
    </row>
    <row r="143" spans="1:33" s="26" customFormat="1" ht="27.6">
      <c r="A143" s="94">
        <v>9</v>
      </c>
      <c r="B143" s="96" t="s">
        <v>287</v>
      </c>
      <c r="C143" s="93" t="s">
        <v>289</v>
      </c>
      <c r="D143" s="93">
        <v>148436</v>
      </c>
      <c r="E143" s="93">
        <v>112</v>
      </c>
      <c r="F143" s="93" t="s">
        <v>74</v>
      </c>
      <c r="G143" s="95">
        <v>2</v>
      </c>
      <c r="H143" s="168">
        <v>22.55</v>
      </c>
      <c r="I143" s="168">
        <v>1.1399999999999999</v>
      </c>
      <c r="J143" s="168">
        <v>1.34</v>
      </c>
      <c r="K143" s="169">
        <f t="shared" si="136"/>
        <v>20.07</v>
      </c>
      <c r="L143" s="97">
        <v>1.6</v>
      </c>
      <c r="M143" s="97" t="s">
        <v>63</v>
      </c>
      <c r="N143" s="98">
        <v>192</v>
      </c>
      <c r="O143" s="137">
        <v>8.5</v>
      </c>
      <c r="P143" s="143">
        <v>5.7</v>
      </c>
      <c r="Q143" s="35"/>
      <c r="R143" s="35"/>
      <c r="S143" s="35">
        <f t="shared" si="142"/>
        <v>7.68</v>
      </c>
      <c r="T143" s="35">
        <f t="shared" si="143"/>
        <v>9.1999999999999993</v>
      </c>
      <c r="U143" s="35"/>
      <c r="V143" s="35"/>
      <c r="W143" s="35">
        <f t="shared" si="144"/>
        <v>115.19999999999999</v>
      </c>
      <c r="X143" s="35">
        <f t="shared" si="138"/>
        <v>170.595</v>
      </c>
      <c r="Y143" s="35">
        <f t="shared" si="140"/>
        <v>179.50151987909521</v>
      </c>
      <c r="Z143" s="83">
        <f t="shared" si="141"/>
        <v>179.50151987909521</v>
      </c>
      <c r="AA143" s="100">
        <f t="shared" si="107"/>
        <v>40.14</v>
      </c>
      <c r="AB143" s="100">
        <f t="shared" si="108"/>
        <v>262.53499999999997</v>
      </c>
      <c r="AC143" s="100">
        <f t="shared" si="109"/>
        <v>2882.2574085893721</v>
      </c>
      <c r="AD143" s="100">
        <f t="shared" si="110"/>
        <v>3144.7924085893719</v>
      </c>
      <c r="AE143" s="100">
        <f t="shared" si="111"/>
        <v>12.327997499999999</v>
      </c>
      <c r="AG143" s="26">
        <f t="shared" si="112"/>
        <v>170.595</v>
      </c>
    </row>
    <row r="144" spans="1:33" s="26" customFormat="1" ht="27.6">
      <c r="A144" s="94">
        <v>10</v>
      </c>
      <c r="B144" s="96" t="s">
        <v>290</v>
      </c>
      <c r="C144" s="93" t="s">
        <v>291</v>
      </c>
      <c r="D144" s="93">
        <v>148436</v>
      </c>
      <c r="E144" s="93">
        <v>114</v>
      </c>
      <c r="F144" s="93" t="s">
        <v>74</v>
      </c>
      <c r="G144" s="95">
        <v>1</v>
      </c>
      <c r="H144" s="168">
        <v>13.42</v>
      </c>
      <c r="I144" s="168">
        <v>0.31</v>
      </c>
      <c r="J144" s="168">
        <v>0.64</v>
      </c>
      <c r="K144" s="169">
        <f t="shared" si="136"/>
        <v>12.469999999999999</v>
      </c>
      <c r="L144" s="97">
        <v>1.4</v>
      </c>
      <c r="M144" s="97" t="s">
        <v>63</v>
      </c>
      <c r="N144" s="98">
        <v>150</v>
      </c>
      <c r="O144" s="137">
        <v>8.5</v>
      </c>
      <c r="P144" s="143">
        <v>1.53</v>
      </c>
      <c r="Q144" s="35"/>
      <c r="R144" s="35"/>
      <c r="S144" s="35">
        <f>G144*N144*0.02</f>
        <v>3</v>
      </c>
      <c r="T144" s="35">
        <f t="shared" si="143"/>
        <v>4.5999999999999996</v>
      </c>
      <c r="U144" s="35"/>
      <c r="V144" s="35"/>
      <c r="W144" s="35">
        <f t="shared" si="144"/>
        <v>45</v>
      </c>
      <c r="X144" s="35">
        <f t="shared" si="138"/>
        <v>105.99499999999999</v>
      </c>
      <c r="Y144" s="35">
        <f t="shared" si="140"/>
        <v>111.52884668123156</v>
      </c>
      <c r="Z144" s="83">
        <f t="shared" si="141"/>
        <v>111.52884668123156</v>
      </c>
      <c r="AA144" s="100">
        <f t="shared" si="107"/>
        <v>24.939999999999998</v>
      </c>
      <c r="AB144" s="100">
        <f t="shared" si="108"/>
        <v>133.655</v>
      </c>
      <c r="AC144" s="100">
        <f t="shared" si="109"/>
        <v>1086.9020148318841</v>
      </c>
      <c r="AD144" s="100">
        <f t="shared" si="110"/>
        <v>1220.5570148318841</v>
      </c>
      <c r="AE144" s="100">
        <f t="shared" si="111"/>
        <v>7.6596974999999992</v>
      </c>
      <c r="AG144" s="26">
        <f t="shared" si="112"/>
        <v>105.99499999999999</v>
      </c>
    </row>
    <row r="145" spans="1:33" s="26" customFormat="1" ht="27.6">
      <c r="A145" s="94">
        <v>10</v>
      </c>
      <c r="B145" s="96" t="s">
        <v>290</v>
      </c>
      <c r="C145" s="93" t="s">
        <v>292</v>
      </c>
      <c r="D145" s="93">
        <v>148436</v>
      </c>
      <c r="E145" s="93">
        <v>113</v>
      </c>
      <c r="F145" s="93" t="s">
        <v>159</v>
      </c>
      <c r="G145" s="95">
        <v>4</v>
      </c>
      <c r="H145" s="168">
        <v>52.6</v>
      </c>
      <c r="I145" s="168">
        <v>1.23</v>
      </c>
      <c r="J145" s="168">
        <v>2.56</v>
      </c>
      <c r="K145" s="169">
        <f t="shared" si="136"/>
        <v>48.81</v>
      </c>
      <c r="L145" s="97">
        <v>1.4</v>
      </c>
      <c r="M145" s="97" t="s">
        <v>63</v>
      </c>
      <c r="N145" s="98">
        <v>150</v>
      </c>
      <c r="O145" s="137">
        <v>8.5</v>
      </c>
      <c r="P145" s="143">
        <v>6.13</v>
      </c>
      <c r="Q145" s="35"/>
      <c r="R145" s="35"/>
      <c r="S145" s="35">
        <f>G145*N145*0.02</f>
        <v>12</v>
      </c>
      <c r="T145" s="35">
        <f t="shared" si="143"/>
        <v>18.399999999999999</v>
      </c>
      <c r="U145" s="35"/>
      <c r="V145" s="35"/>
      <c r="W145" s="35">
        <f t="shared" si="144"/>
        <v>180</v>
      </c>
      <c r="X145" s="35">
        <f t="shared" si="138"/>
        <v>414.88499999999999</v>
      </c>
      <c r="Y145" s="35">
        <f t="shared" si="140"/>
        <v>436.5455498404902</v>
      </c>
      <c r="Z145" s="83">
        <f t="shared" si="141"/>
        <v>436.5455498404902</v>
      </c>
      <c r="AA145" s="100">
        <f t="shared" si="107"/>
        <v>97.62</v>
      </c>
      <c r="AB145" s="100">
        <f t="shared" si="108"/>
        <v>527.66499999999996</v>
      </c>
      <c r="AC145" s="100">
        <f t="shared" si="109"/>
        <v>4303.7856105355877</v>
      </c>
      <c r="AD145" s="100">
        <f t="shared" si="110"/>
        <v>4831.4506105355877</v>
      </c>
      <c r="AE145" s="100">
        <f t="shared" si="111"/>
        <v>29.9815425</v>
      </c>
      <c r="AG145" s="26">
        <f t="shared" si="112"/>
        <v>414.88499999999999</v>
      </c>
    </row>
    <row r="146" spans="1:33" s="26" customFormat="1" ht="124.2">
      <c r="A146" s="94">
        <v>11</v>
      </c>
      <c r="B146" s="96" t="s">
        <v>214</v>
      </c>
      <c r="C146" s="93" t="s">
        <v>293</v>
      </c>
      <c r="D146" s="93">
        <v>148436</v>
      </c>
      <c r="E146" s="93">
        <v>115</v>
      </c>
      <c r="F146" s="93" t="s">
        <v>74</v>
      </c>
      <c r="G146" s="95">
        <v>1</v>
      </c>
      <c r="H146" s="168">
        <v>6.86</v>
      </c>
      <c r="I146" s="168">
        <v>0.18</v>
      </c>
      <c r="J146" s="168">
        <v>0.32</v>
      </c>
      <c r="K146" s="169">
        <f t="shared" si="136"/>
        <v>6.36</v>
      </c>
      <c r="L146" s="97" t="s">
        <v>183</v>
      </c>
      <c r="M146" s="97" t="s">
        <v>184</v>
      </c>
      <c r="N146" s="98" t="s">
        <v>185</v>
      </c>
      <c r="O146" s="137">
        <v>8.5</v>
      </c>
      <c r="P146" s="143">
        <v>0.88</v>
      </c>
      <c r="Q146" s="35"/>
      <c r="R146" s="35"/>
      <c r="S146" s="35">
        <f>G146*(4+2+2+2+2+2+2+2+1)*0.02</f>
        <v>0.38</v>
      </c>
      <c r="T146" s="35">
        <f>2.3*G146</f>
        <v>2.2999999999999998</v>
      </c>
      <c r="U146" s="35"/>
      <c r="V146" s="35"/>
      <c r="W146" s="35">
        <f>G146*9.6</f>
        <v>9.6</v>
      </c>
      <c r="X146" s="35">
        <f t="shared" si="138"/>
        <v>54.06</v>
      </c>
      <c r="Y146" s="35">
        <f t="shared" si="140"/>
        <v>56.882394939264856</v>
      </c>
      <c r="Z146" s="83">
        <f t="shared" si="141"/>
        <v>56.882394939264856</v>
      </c>
      <c r="AA146" s="100">
        <f t="shared" si="107"/>
        <v>12.72</v>
      </c>
      <c r="AB146" s="100">
        <f t="shared" si="108"/>
        <v>53.620000000000005</v>
      </c>
      <c r="AC146" s="100">
        <f t="shared" si="109"/>
        <v>589.22202630853462</v>
      </c>
      <c r="AD146" s="100">
        <f t="shared" si="110"/>
        <v>642.84202630853463</v>
      </c>
      <c r="AE146" s="100">
        <f t="shared" si="111"/>
        <v>3.9066299999999998</v>
      </c>
      <c r="AG146" s="26">
        <f t="shared" si="112"/>
        <v>54.06</v>
      </c>
    </row>
    <row r="147" spans="1:33" s="26" customFormat="1" ht="27.6">
      <c r="A147" s="94">
        <v>13</v>
      </c>
      <c r="B147" s="93" t="s">
        <v>97</v>
      </c>
      <c r="C147" s="93" t="s">
        <v>294</v>
      </c>
      <c r="D147" s="93">
        <v>148436</v>
      </c>
      <c r="E147" s="93">
        <v>117</v>
      </c>
      <c r="F147" s="93" t="s">
        <v>73</v>
      </c>
      <c r="G147" s="95">
        <v>1</v>
      </c>
      <c r="H147" s="168">
        <v>6.68</v>
      </c>
      <c r="I147" s="168">
        <v>0.03</v>
      </c>
      <c r="J147" s="168">
        <v>0.32</v>
      </c>
      <c r="K147" s="169">
        <f t="shared" si="136"/>
        <v>6.3299999999999992</v>
      </c>
      <c r="L147" s="97">
        <v>1.5</v>
      </c>
      <c r="M147" s="97" t="s">
        <v>63</v>
      </c>
      <c r="N147" s="98">
        <v>13</v>
      </c>
      <c r="O147" s="137">
        <v>9.5</v>
      </c>
      <c r="P147" s="143">
        <v>0.17</v>
      </c>
      <c r="Q147" s="35"/>
      <c r="R147" s="35"/>
      <c r="S147" s="35">
        <f t="shared" si="142"/>
        <v>0.26</v>
      </c>
      <c r="T147" s="35">
        <f>2.3*G147</f>
        <v>2.2999999999999998</v>
      </c>
      <c r="U147" s="35">
        <f t="shared" si="139"/>
        <v>1.5191999999999997</v>
      </c>
      <c r="V147" s="35"/>
      <c r="W147" s="35">
        <f t="shared" si="144"/>
        <v>3.9</v>
      </c>
      <c r="X147" s="35">
        <f t="shared" si="138"/>
        <v>60.134999999999991</v>
      </c>
      <c r="Y147" s="35">
        <f t="shared" si="140"/>
        <v>56.614081755589076</v>
      </c>
      <c r="Z147" s="83">
        <f t="shared" si="141"/>
        <v>56.614081755589076</v>
      </c>
      <c r="AA147" s="100">
        <f t="shared" si="107"/>
        <v>12.659999999999998</v>
      </c>
      <c r="AB147" s="100">
        <f t="shared" si="108"/>
        <v>55.454199999999986</v>
      </c>
      <c r="AC147" s="100">
        <f t="shared" si="109"/>
        <v>339.43989053687596</v>
      </c>
      <c r="AD147" s="100">
        <f t="shared" si="110"/>
        <v>394.89409053687598</v>
      </c>
      <c r="AE147" s="100">
        <f t="shared" si="111"/>
        <v>3.8882024999999993</v>
      </c>
      <c r="AG147" s="26">
        <f t="shared" si="112"/>
        <v>60.134999999999991</v>
      </c>
    </row>
    <row r="148" spans="1:33" s="26" customFormat="1" ht="27.6">
      <c r="A148" s="94">
        <v>13</v>
      </c>
      <c r="B148" s="93" t="s">
        <v>97</v>
      </c>
      <c r="C148" s="93" t="s">
        <v>98</v>
      </c>
      <c r="D148" s="93">
        <v>148436</v>
      </c>
      <c r="E148" s="93">
        <v>122</v>
      </c>
      <c r="F148" s="93" t="s">
        <v>74</v>
      </c>
      <c r="G148" s="95">
        <v>1</v>
      </c>
      <c r="H148" s="168">
        <v>6.3</v>
      </c>
      <c r="I148" s="168">
        <v>0.03</v>
      </c>
      <c r="J148" s="168">
        <v>0.32</v>
      </c>
      <c r="K148" s="169">
        <f t="shared" si="136"/>
        <v>5.9499999999999993</v>
      </c>
      <c r="L148" s="97">
        <v>1.5</v>
      </c>
      <c r="M148" s="97" t="s">
        <v>63</v>
      </c>
      <c r="N148" s="98">
        <v>13</v>
      </c>
      <c r="O148" s="137">
        <v>9.5</v>
      </c>
      <c r="P148" s="143">
        <v>0.17</v>
      </c>
      <c r="Q148" s="35"/>
      <c r="R148" s="35"/>
      <c r="S148" s="35">
        <f t="shared" si="142"/>
        <v>0.26</v>
      </c>
      <c r="T148" s="35">
        <f>2.3*G148</f>
        <v>2.2999999999999998</v>
      </c>
      <c r="U148" s="35"/>
      <c r="V148" s="35"/>
      <c r="W148" s="35">
        <f t="shared" si="144"/>
        <v>3.9</v>
      </c>
      <c r="X148" s="35">
        <f t="shared" si="138"/>
        <v>56.524999999999991</v>
      </c>
      <c r="Y148" s="35">
        <f t="shared" si="140"/>
        <v>53.215448095695891</v>
      </c>
      <c r="Z148" s="83">
        <f t="shared" si="141"/>
        <v>53.215448095695891</v>
      </c>
      <c r="AA148" s="100">
        <f t="shared" si="107"/>
        <v>11.899999999999999</v>
      </c>
      <c r="AB148" s="100">
        <f t="shared" si="108"/>
        <v>51.084999999999994</v>
      </c>
      <c r="AC148" s="100">
        <f t="shared" si="109"/>
        <v>322.63401053687596</v>
      </c>
      <c r="AD148" s="100">
        <f t="shared" si="110"/>
        <v>373.71901053687594</v>
      </c>
      <c r="AE148" s="100">
        <f t="shared" si="111"/>
        <v>3.6547874999999994</v>
      </c>
      <c r="AG148" s="26">
        <f t="shared" si="112"/>
        <v>56.524999999999991</v>
      </c>
    </row>
    <row r="149" spans="1:33" s="26" customFormat="1" ht="41.4">
      <c r="A149" s="94">
        <v>14</v>
      </c>
      <c r="B149" s="93" t="s">
        <v>295</v>
      </c>
      <c r="C149" s="93" t="s">
        <v>296</v>
      </c>
      <c r="D149" s="93">
        <v>148436</v>
      </c>
      <c r="E149" s="93">
        <v>118</v>
      </c>
      <c r="F149" s="93" t="s">
        <v>74</v>
      </c>
      <c r="G149" s="95">
        <v>2</v>
      </c>
      <c r="H149" s="168">
        <v>8.379999999999999</v>
      </c>
      <c r="I149" s="168">
        <v>0.32</v>
      </c>
      <c r="J149" s="168">
        <v>0</v>
      </c>
      <c r="K149" s="169">
        <f t="shared" si="136"/>
        <v>8.0599999999999987</v>
      </c>
      <c r="L149" s="97">
        <v>1.3</v>
      </c>
      <c r="M149" s="97" t="s">
        <v>63</v>
      </c>
      <c r="N149" s="98">
        <v>86</v>
      </c>
      <c r="O149" s="137">
        <v>11</v>
      </c>
      <c r="P149" s="143">
        <v>1.64</v>
      </c>
      <c r="Q149" s="35"/>
      <c r="R149" s="35"/>
      <c r="S149" s="35">
        <f t="shared" si="142"/>
        <v>3.44</v>
      </c>
      <c r="T149" s="35"/>
      <c r="U149" s="35"/>
      <c r="V149" s="35"/>
      <c r="W149" s="35">
        <f>G149*N149*0.3</f>
        <v>51.6</v>
      </c>
      <c r="X149" s="35">
        <f t="shared" si="138"/>
        <v>88.659999999999982</v>
      </c>
      <c r="Y149" s="35">
        <f t="shared" si="140"/>
        <v>72.086808680892247</v>
      </c>
      <c r="Z149" s="83">
        <f t="shared" si="141"/>
        <v>72.086808680892247</v>
      </c>
      <c r="AA149" s="100">
        <f t="shared" si="107"/>
        <v>16.119999999999997</v>
      </c>
      <c r="AB149" s="100">
        <f t="shared" si="108"/>
        <v>127.57999999999998</v>
      </c>
      <c r="AC149" s="100">
        <f t="shared" si="109"/>
        <v>930.35843812045073</v>
      </c>
      <c r="AD149" s="100">
        <f t="shared" si="110"/>
        <v>1057.9384381204507</v>
      </c>
      <c r="AE149" s="100">
        <f t="shared" si="111"/>
        <v>4.9508549999999989</v>
      </c>
      <c r="AG149" s="26">
        <f t="shared" si="112"/>
        <v>88.659999999999982</v>
      </c>
    </row>
    <row r="150" spans="1:33" s="26" customFormat="1" ht="27.6">
      <c r="A150" s="94">
        <v>15</v>
      </c>
      <c r="B150" s="96" t="s">
        <v>297</v>
      </c>
      <c r="C150" s="93" t="s">
        <v>298</v>
      </c>
      <c r="D150" s="93">
        <v>148436</v>
      </c>
      <c r="E150" s="93">
        <v>119</v>
      </c>
      <c r="F150" s="93" t="s">
        <v>74</v>
      </c>
      <c r="G150" s="95">
        <v>2</v>
      </c>
      <c r="H150" s="168">
        <v>12.32</v>
      </c>
      <c r="I150" s="168">
        <v>0.57999999999999996</v>
      </c>
      <c r="J150" s="168">
        <v>0.64</v>
      </c>
      <c r="K150" s="169">
        <f t="shared" si="136"/>
        <v>11.1</v>
      </c>
      <c r="L150" s="97">
        <v>1.65</v>
      </c>
      <c r="M150" s="97" t="s">
        <v>63</v>
      </c>
      <c r="N150" s="98">
        <v>85</v>
      </c>
      <c r="O150" s="137">
        <v>8.5</v>
      </c>
      <c r="P150" s="143">
        <v>2.8899999999999997</v>
      </c>
      <c r="Q150" s="35"/>
      <c r="R150" s="35"/>
      <c r="S150" s="35">
        <f t="shared" si="142"/>
        <v>3.4</v>
      </c>
      <c r="T150" s="35">
        <f>2.3*G150</f>
        <v>4.5999999999999996</v>
      </c>
      <c r="U150" s="35"/>
      <c r="V150" s="35"/>
      <c r="W150" s="35">
        <f>G150*N150*0.3</f>
        <v>51</v>
      </c>
      <c r="X150" s="35">
        <f t="shared" si="138"/>
        <v>94.35</v>
      </c>
      <c r="Y150" s="35">
        <f t="shared" si="140"/>
        <v>99.275877960037718</v>
      </c>
      <c r="Z150" s="83">
        <f t="shared" si="141"/>
        <v>99.275877960037718</v>
      </c>
      <c r="AA150" s="100">
        <f t="shared" si="107"/>
        <v>22.2</v>
      </c>
      <c r="AB150" s="100">
        <f t="shared" si="108"/>
        <v>131.15</v>
      </c>
      <c r="AC150" s="100">
        <f t="shared" si="109"/>
        <v>1502.2268791268918</v>
      </c>
      <c r="AD150" s="100">
        <f t="shared" si="110"/>
        <v>1633.3768791268919</v>
      </c>
      <c r="AE150" s="100">
        <f t="shared" si="111"/>
        <v>6.8181749999999992</v>
      </c>
      <c r="AG150" s="26">
        <f t="shared" si="112"/>
        <v>94.35</v>
      </c>
    </row>
    <row r="151" spans="1:33" s="26" customFormat="1" ht="28.2" thickBot="1">
      <c r="A151" s="94">
        <v>17</v>
      </c>
      <c r="B151" s="96" t="s">
        <v>146</v>
      </c>
      <c r="C151" s="93" t="s">
        <v>231</v>
      </c>
      <c r="D151" s="93">
        <v>148436</v>
      </c>
      <c r="E151" s="93">
        <v>121</v>
      </c>
      <c r="F151" s="93" t="s">
        <v>74</v>
      </c>
      <c r="G151" s="95">
        <v>3</v>
      </c>
      <c r="H151" s="168">
        <v>28.16</v>
      </c>
      <c r="I151" s="168">
        <v>0.85000000000000009</v>
      </c>
      <c r="J151" s="168">
        <v>0.96</v>
      </c>
      <c r="K151" s="169">
        <f t="shared" si="136"/>
        <v>26.349999999999998</v>
      </c>
      <c r="L151" s="97">
        <v>2.25</v>
      </c>
      <c r="M151" s="97" t="s">
        <v>63</v>
      </c>
      <c r="N151" s="98">
        <v>32</v>
      </c>
      <c r="O151" s="137">
        <v>8.5</v>
      </c>
      <c r="P151" s="143">
        <v>4.2099999999999991</v>
      </c>
      <c r="Q151" s="35"/>
      <c r="R151" s="35"/>
      <c r="S151" s="35">
        <f t="shared" si="142"/>
        <v>1.92</v>
      </c>
      <c r="T151" s="35">
        <f>2.3*G151</f>
        <v>6.8999999999999995</v>
      </c>
      <c r="U151" s="35"/>
      <c r="V151" s="35"/>
      <c r="W151" s="35">
        <f t="shared" si="144"/>
        <v>28.799999999999997</v>
      </c>
      <c r="X151" s="35">
        <f t="shared" si="138"/>
        <v>223.97499999999999</v>
      </c>
      <c r="Y151" s="35">
        <f t="shared" si="140"/>
        <v>235.66841299522466</v>
      </c>
      <c r="Z151" s="83">
        <f t="shared" si="141"/>
        <v>235.66841299522466</v>
      </c>
      <c r="AA151" s="100">
        <f t="shared" ref="AA151:AA177" si="145">2*K151</f>
        <v>52.699999999999996</v>
      </c>
      <c r="AB151" s="100">
        <f t="shared" ref="AB151:AB177" si="146">(SUM(Q151:W151)+AG151)-AA151</f>
        <v>208.89499999999998</v>
      </c>
      <c r="AC151" s="100">
        <f t="shared" ref="AC151:AC177" si="147">AE151*$AC$13+P151*$AC$14</f>
        <v>2638.5903785896935</v>
      </c>
      <c r="AD151" s="100">
        <f t="shared" ref="AD151:AD177" si="148">SUM(AB151:AC151)</f>
        <v>2847.4853785896935</v>
      </c>
      <c r="AE151" s="100">
        <f t="shared" ref="AE151:AE177" si="149">IF(LEFT(F151,3)="10K",(0.417*1.07*K151),IF(LEFT(F151,3)="14K",(0.585*1.05*K151),IF(LEFT(F151,3)="18K",(0.75*1.05*K151),0)))</f>
        <v>16.185487499999997</v>
      </c>
      <c r="AG151" s="26">
        <f t="shared" ref="AG151:AG177" si="150">IF(AF151&gt;0,AF151*K151,X151)</f>
        <v>223.97499999999999</v>
      </c>
    </row>
    <row r="152" spans="1:33" s="27" customFormat="1" ht="16.05" customHeight="1">
      <c r="A152" s="86" t="s">
        <v>66</v>
      </c>
      <c r="B152" s="63"/>
      <c r="C152" s="63"/>
      <c r="D152" s="63"/>
      <c r="E152" s="63"/>
      <c r="F152" s="63"/>
      <c r="G152" s="64">
        <f>SUM(G136:G151)</f>
        <v>24</v>
      </c>
      <c r="H152" s="171"/>
      <c r="I152" s="171"/>
      <c r="J152" s="171"/>
      <c r="K152" s="171">
        <f>SUM(K136:K151)</f>
        <v>210.95000000000002</v>
      </c>
      <c r="L152" s="65"/>
      <c r="M152" s="65"/>
      <c r="N152" s="65"/>
      <c r="O152" s="138"/>
      <c r="P152" s="101">
        <f t="shared" ref="P152:Z152" si="151">SUM(P136:P151)</f>
        <v>38.910000000000004</v>
      </c>
      <c r="Q152" s="66">
        <f t="shared" si="151"/>
        <v>0</v>
      </c>
      <c r="R152" s="66">
        <f t="shared" si="151"/>
        <v>0</v>
      </c>
      <c r="S152" s="66">
        <f t="shared" si="151"/>
        <v>43.8</v>
      </c>
      <c r="T152" s="66">
        <f t="shared" si="151"/>
        <v>73.599999999999994</v>
      </c>
      <c r="U152" s="66">
        <f t="shared" si="151"/>
        <v>19.706400000000002</v>
      </c>
      <c r="V152" s="66">
        <f t="shared" si="151"/>
        <v>0</v>
      </c>
      <c r="W152" s="66">
        <f t="shared" si="151"/>
        <v>675.3</v>
      </c>
      <c r="X152" s="66">
        <f t="shared" si="151"/>
        <v>1869.42</v>
      </c>
      <c r="Y152" s="66">
        <f t="shared" si="151"/>
        <v>1886.6888698801761</v>
      </c>
      <c r="Z152" s="84">
        <f t="shared" si="151"/>
        <v>1886.6888698801761</v>
      </c>
      <c r="AA152" s="100"/>
      <c r="AB152" s="100"/>
      <c r="AC152" s="100"/>
      <c r="AD152" s="100"/>
      <c r="AE152" s="100"/>
      <c r="AF152" s="26"/>
      <c r="AG152" s="26"/>
    </row>
    <row r="153" spans="1:33" ht="15.9" customHeight="1">
      <c r="A153" s="52" t="s">
        <v>64</v>
      </c>
      <c r="K153" s="115"/>
      <c r="L153" s="48"/>
      <c r="M153" s="48"/>
      <c r="N153" s="48"/>
      <c r="W153" s="49"/>
      <c r="X153" s="80" t="s">
        <v>299</v>
      </c>
      <c r="Y153" s="92">
        <f>2999.85*1.02</f>
        <v>3059.8469999999998</v>
      </c>
      <c r="Z153" s="92">
        <f>2999.85*1.02</f>
        <v>3059.8469999999998</v>
      </c>
      <c r="AA153" s="100"/>
      <c r="AB153" s="100"/>
      <c r="AC153" s="100"/>
      <c r="AD153" s="100"/>
      <c r="AE153" s="100"/>
      <c r="AF153" s="26"/>
      <c r="AG153" s="26"/>
    </row>
    <row r="154" spans="1:33" s="91" customFormat="1" ht="27.6">
      <c r="A154" s="87" t="s">
        <v>4</v>
      </c>
      <c r="B154" s="88" t="s">
        <v>5</v>
      </c>
      <c r="C154" s="88" t="s">
        <v>24</v>
      </c>
      <c r="D154" s="88" t="s">
        <v>46</v>
      </c>
      <c r="E154" s="88" t="s">
        <v>67</v>
      </c>
      <c r="F154" s="88" t="s">
        <v>6</v>
      </c>
      <c r="G154" s="88" t="s">
        <v>7</v>
      </c>
      <c r="H154" s="116" t="s">
        <v>8</v>
      </c>
      <c r="I154" s="116" t="s">
        <v>47</v>
      </c>
      <c r="J154" s="116" t="s">
        <v>9</v>
      </c>
      <c r="K154" s="116" t="s">
        <v>14</v>
      </c>
      <c r="L154" s="89" t="s">
        <v>20</v>
      </c>
      <c r="M154" s="89" t="s">
        <v>23</v>
      </c>
      <c r="N154" s="89" t="s">
        <v>21</v>
      </c>
      <c r="O154" s="136" t="s">
        <v>10</v>
      </c>
      <c r="P154" s="90" t="s">
        <v>49</v>
      </c>
      <c r="Q154" s="45" t="s">
        <v>50</v>
      </c>
      <c r="R154" s="45" t="s">
        <v>55</v>
      </c>
      <c r="S154" s="45" t="s">
        <v>70</v>
      </c>
      <c r="T154" s="45" t="s">
        <v>13</v>
      </c>
      <c r="U154" s="45" t="s">
        <v>52</v>
      </c>
      <c r="V154" s="45" t="s">
        <v>48</v>
      </c>
      <c r="W154" s="45" t="s">
        <v>15</v>
      </c>
      <c r="X154" s="50" t="s">
        <v>12</v>
      </c>
      <c r="Y154" s="160" t="s">
        <v>22</v>
      </c>
      <c r="Z154" s="50" t="s">
        <v>68</v>
      </c>
      <c r="AA154" s="100"/>
      <c r="AB154" s="100"/>
      <c r="AC154" s="100"/>
      <c r="AD154" s="100"/>
      <c r="AE154" s="100"/>
      <c r="AF154" s="26"/>
      <c r="AG154" s="26"/>
    </row>
    <row r="155" spans="1:33" s="26" customFormat="1" ht="27.6">
      <c r="A155" s="165" t="s">
        <v>300</v>
      </c>
      <c r="B155" s="96" t="s">
        <v>301</v>
      </c>
      <c r="C155" s="93" t="s">
        <v>302</v>
      </c>
      <c r="D155" s="93">
        <v>148256</v>
      </c>
      <c r="E155" s="93">
        <v>107</v>
      </c>
      <c r="F155" s="93" t="s">
        <v>73</v>
      </c>
      <c r="G155" s="95">
        <v>1</v>
      </c>
      <c r="H155" s="117">
        <v>5.44</v>
      </c>
      <c r="I155" s="117">
        <v>0.25</v>
      </c>
      <c r="J155" s="117">
        <v>0.28000000000000003</v>
      </c>
      <c r="K155" s="118">
        <f t="shared" ref="K155:K157" si="152">H155-I155-J155</f>
        <v>4.91</v>
      </c>
      <c r="L155" s="97">
        <v>1.65</v>
      </c>
      <c r="M155" s="97" t="s">
        <v>63</v>
      </c>
      <c r="N155" s="98">
        <v>75</v>
      </c>
      <c r="O155" s="137">
        <v>8.5</v>
      </c>
      <c r="P155" s="143">
        <v>1.26</v>
      </c>
      <c r="Q155" s="35"/>
      <c r="R155" s="35"/>
      <c r="S155" s="35">
        <f t="shared" ref="S155:S157" si="153">0.02*N155*G155</f>
        <v>1.5</v>
      </c>
      <c r="T155" s="35">
        <f t="shared" ref="T155:T158" si="154">2*G155</f>
        <v>2</v>
      </c>
      <c r="U155" s="35">
        <f t="shared" ref="U155:U158" si="155">IF(RIGHT(F155,2)="WG",K155*$AB$4,IF(RIGHT(F155,3)="WRG",K155*$AB$4+3*G155,IF(RIGHT(F155,3)="WYG",K155*$AB$4+3*G155,IF(RIGHT(F155,3)="WYR",K155*$AB$4+3*G155,0))))</f>
        <v>1.1783999999999999</v>
      </c>
      <c r="V155" s="35"/>
      <c r="W155" s="35">
        <f t="shared" ref="W155:W157" si="156">G155*N155*0.3</f>
        <v>22.5</v>
      </c>
      <c r="X155" s="35">
        <f t="shared" ref="X155:X158" si="157">K155*O155</f>
        <v>41.734999999999999</v>
      </c>
      <c r="Y155" s="35">
        <f t="shared" ref="Y155:Y157" si="158">($Y$14/31.1035*IF(LEFT(F155,3)="10K",(0.417*1.07*K155),IF(LEFT(F155,3)="14K",(0.585*1.05*K155),IF(LEFT(F155,3)="18K",(0.75*1.05*K155),0))))*0.5</f>
        <v>148.49078921174464</v>
      </c>
      <c r="Z155" s="83">
        <f t="shared" ref="Z155:Z157" si="159">($Z$14/31.1035*IF(LEFT(F155,3)="10K",(0.417*1.07*K155),IF(LEFT(F155,3)="14K",(0.585*1.05*K155),IF(LEFT(F155,3)="18K",(0.75*1.05*K155),0))))*0.5</f>
        <v>148.49078921174464</v>
      </c>
      <c r="AA155" s="100">
        <f t="shared" si="145"/>
        <v>9.82</v>
      </c>
      <c r="AB155" s="100">
        <f t="shared" si="146"/>
        <v>59.093399999999995</v>
      </c>
      <c r="AC155" s="100">
        <f t="shared" si="147"/>
        <v>658.07043221449271</v>
      </c>
      <c r="AD155" s="100">
        <f t="shared" si="148"/>
        <v>717.16383221449269</v>
      </c>
      <c r="AE155" s="100">
        <f t="shared" si="149"/>
        <v>3.0159674999999999</v>
      </c>
      <c r="AG155" s="26">
        <f t="shared" si="150"/>
        <v>41.734999999999999</v>
      </c>
    </row>
    <row r="156" spans="1:33" s="26" customFormat="1" ht="27.6">
      <c r="A156" s="94"/>
      <c r="B156" s="96" t="s">
        <v>301</v>
      </c>
      <c r="C156" s="93" t="s">
        <v>303</v>
      </c>
      <c r="D156" s="93">
        <v>148256</v>
      </c>
      <c r="E156" s="93">
        <v>102</v>
      </c>
      <c r="F156" s="93" t="s">
        <v>159</v>
      </c>
      <c r="G156" s="95">
        <v>1</v>
      </c>
      <c r="H156" s="117">
        <v>5.75</v>
      </c>
      <c r="I156" s="117">
        <v>0.25</v>
      </c>
      <c r="J156" s="117">
        <v>0.28000000000000003</v>
      </c>
      <c r="K156" s="118">
        <f t="shared" si="152"/>
        <v>5.22</v>
      </c>
      <c r="L156" s="97">
        <v>1.65</v>
      </c>
      <c r="M156" s="97" t="s">
        <v>63</v>
      </c>
      <c r="N156" s="98">
        <v>75</v>
      </c>
      <c r="O156" s="137">
        <v>8.5</v>
      </c>
      <c r="P156" s="143">
        <v>1.28</v>
      </c>
      <c r="Q156" s="35"/>
      <c r="R156" s="35"/>
      <c r="S156" s="35">
        <f t="shared" si="153"/>
        <v>1.5</v>
      </c>
      <c r="T156" s="35">
        <f t="shared" si="154"/>
        <v>2</v>
      </c>
      <c r="U156" s="35">
        <f t="shared" si="155"/>
        <v>0</v>
      </c>
      <c r="V156" s="35"/>
      <c r="W156" s="35">
        <f t="shared" si="156"/>
        <v>22.5</v>
      </c>
      <c r="X156" s="35">
        <f t="shared" si="157"/>
        <v>44.37</v>
      </c>
      <c r="Y156" s="35">
        <f t="shared" si="158"/>
        <v>157.86597142266945</v>
      </c>
      <c r="Z156" s="83">
        <f t="shared" si="159"/>
        <v>157.86597142266945</v>
      </c>
      <c r="AA156" s="100">
        <f t="shared" si="145"/>
        <v>10.44</v>
      </c>
      <c r="AB156" s="100">
        <f t="shared" si="146"/>
        <v>59.930000000000007</v>
      </c>
      <c r="AC156" s="100">
        <f t="shared" si="147"/>
        <v>678.77923463059574</v>
      </c>
      <c r="AD156" s="100">
        <f t="shared" si="148"/>
        <v>738.7092346305958</v>
      </c>
      <c r="AE156" s="100">
        <f t="shared" si="149"/>
        <v>3.2063849999999996</v>
      </c>
      <c r="AG156" s="26">
        <f t="shared" si="150"/>
        <v>44.37</v>
      </c>
    </row>
    <row r="157" spans="1:33" s="26" customFormat="1" ht="27.6">
      <c r="A157" s="94">
        <v>3</v>
      </c>
      <c r="B157" s="96" t="s">
        <v>304</v>
      </c>
      <c r="C157" s="93" t="s">
        <v>305</v>
      </c>
      <c r="D157" s="93">
        <v>148256</v>
      </c>
      <c r="E157" s="93">
        <v>103</v>
      </c>
      <c r="F157" s="93" t="s">
        <v>73</v>
      </c>
      <c r="G157" s="95">
        <v>1</v>
      </c>
      <c r="H157" s="117">
        <v>6.78</v>
      </c>
      <c r="I157" s="117">
        <v>0.33</v>
      </c>
      <c r="J157" s="117">
        <v>0.36</v>
      </c>
      <c r="K157" s="118">
        <f t="shared" si="152"/>
        <v>6.09</v>
      </c>
      <c r="L157" s="97">
        <v>1.65</v>
      </c>
      <c r="M157" s="97" t="s">
        <v>63</v>
      </c>
      <c r="N157" s="98">
        <v>95</v>
      </c>
      <c r="O157" s="137">
        <v>8.5</v>
      </c>
      <c r="P157" s="143">
        <v>1.67</v>
      </c>
      <c r="Q157" s="35"/>
      <c r="R157" s="35"/>
      <c r="S157" s="35">
        <f t="shared" si="153"/>
        <v>1.9000000000000001</v>
      </c>
      <c r="T157" s="35">
        <f t="shared" si="154"/>
        <v>2</v>
      </c>
      <c r="U157" s="35">
        <f t="shared" si="155"/>
        <v>1.4616</v>
      </c>
      <c r="V157" s="35"/>
      <c r="W157" s="35">
        <f t="shared" si="156"/>
        <v>28.5</v>
      </c>
      <c r="X157" s="35">
        <f t="shared" si="157"/>
        <v>51.765000000000001</v>
      </c>
      <c r="Y157" s="35">
        <f t="shared" si="158"/>
        <v>184.17696665978104</v>
      </c>
      <c r="Z157" s="83">
        <f t="shared" si="159"/>
        <v>184.17696665978104</v>
      </c>
      <c r="AA157" s="100">
        <f t="shared" si="145"/>
        <v>12.18</v>
      </c>
      <c r="AB157" s="100">
        <f t="shared" si="146"/>
        <v>73.446599999999989</v>
      </c>
      <c r="AC157" s="100">
        <f t="shared" si="147"/>
        <v>853.73133174460554</v>
      </c>
      <c r="AD157" s="100">
        <f t="shared" si="148"/>
        <v>927.17793174460553</v>
      </c>
      <c r="AE157" s="100">
        <f t="shared" si="149"/>
        <v>3.7407824999999999</v>
      </c>
      <c r="AG157" s="26">
        <f t="shared" si="150"/>
        <v>51.765000000000001</v>
      </c>
    </row>
    <row r="158" spans="1:33" s="26" customFormat="1" ht="28.2" thickBot="1">
      <c r="A158" s="94">
        <v>5</v>
      </c>
      <c r="B158" s="93" t="s">
        <v>306</v>
      </c>
      <c r="C158" s="93" t="s">
        <v>115</v>
      </c>
      <c r="D158" s="93">
        <v>148256</v>
      </c>
      <c r="E158" s="93">
        <v>106</v>
      </c>
      <c r="F158" s="93" t="s">
        <v>73</v>
      </c>
      <c r="G158" s="95">
        <v>1</v>
      </c>
      <c r="H158" s="117">
        <v>6.41</v>
      </c>
      <c r="I158" s="117">
        <v>0.04</v>
      </c>
      <c r="J158" s="117">
        <v>0.36</v>
      </c>
      <c r="K158" s="118">
        <f>H158-I158-J158</f>
        <v>6.01</v>
      </c>
      <c r="L158" s="97">
        <v>1.5</v>
      </c>
      <c r="M158" s="97" t="s">
        <v>63</v>
      </c>
      <c r="N158" s="98">
        <v>13</v>
      </c>
      <c r="O158" s="137">
        <v>8.5</v>
      </c>
      <c r="P158" s="143">
        <v>0.19</v>
      </c>
      <c r="Q158" s="35"/>
      <c r="R158" s="35"/>
      <c r="S158" s="35">
        <f>0.02*N158*G158</f>
        <v>0.26</v>
      </c>
      <c r="T158" s="35">
        <f t="shared" si="154"/>
        <v>2</v>
      </c>
      <c r="U158" s="35">
        <f t="shared" si="155"/>
        <v>1.4423999999999999</v>
      </c>
      <c r="V158" s="35"/>
      <c r="W158" s="35">
        <f>G158*N158*0.3</f>
        <v>3.9</v>
      </c>
      <c r="X158" s="35">
        <f t="shared" si="157"/>
        <v>51.085000000000001</v>
      </c>
      <c r="Y158" s="35">
        <f>($Y$14/31.1035*IF(LEFT(F158,3)="10K",(0.417*1.07*K158),IF(LEFT(F158,3)="14K",(0.585*1.05*K158),IF(LEFT(F158,3)="18K",(0.75*1.05*K158),0))))*0.5</f>
        <v>181.75756479889719</v>
      </c>
      <c r="Z158" s="83">
        <f>($Z$14/31.1035*IF(LEFT(F158,3)="10K",(0.417*1.07*K158),IF(LEFT(F158,3)="14K",(0.585*1.05*K158),IF(LEFT(F158,3)="18K",(0.75*1.05*K158),0))))*0.5</f>
        <v>181.75756479889719</v>
      </c>
      <c r="AA158" s="100">
        <f t="shared" si="145"/>
        <v>12.02</v>
      </c>
      <c r="AB158" s="100">
        <f t="shared" si="146"/>
        <v>46.667400000000001</v>
      </c>
      <c r="AC158" s="100">
        <f t="shared" si="147"/>
        <v>332.28631295297902</v>
      </c>
      <c r="AD158" s="100">
        <f t="shared" si="148"/>
        <v>378.953712952979</v>
      </c>
      <c r="AE158" s="100">
        <f t="shared" si="149"/>
        <v>3.6916424999999995</v>
      </c>
      <c r="AG158" s="26">
        <f t="shared" si="150"/>
        <v>51.085000000000001</v>
      </c>
    </row>
    <row r="159" spans="1:33" s="27" customFormat="1" ht="15.9" customHeight="1">
      <c r="A159" s="86" t="s">
        <v>66</v>
      </c>
      <c r="B159" s="63"/>
      <c r="C159" s="63"/>
      <c r="D159" s="63"/>
      <c r="E159" s="63"/>
      <c r="F159" s="63"/>
      <c r="G159" s="64">
        <f>SUM(G155:G158)</f>
        <v>4</v>
      </c>
      <c r="H159" s="119"/>
      <c r="I159" s="119"/>
      <c r="J159" s="119"/>
      <c r="K159" s="119">
        <f>SUM(K155:K158)</f>
        <v>22.229999999999997</v>
      </c>
      <c r="L159" s="65"/>
      <c r="M159" s="65"/>
      <c r="N159" s="65"/>
      <c r="O159" s="138"/>
      <c r="P159" s="101">
        <f>SUM(P155:P158)</f>
        <v>4.4000000000000004</v>
      </c>
      <c r="Q159" s="66">
        <f>SUM(Q155:Q158)</f>
        <v>0</v>
      </c>
      <c r="R159" s="66">
        <f>SUM(R155:R158)</f>
        <v>0</v>
      </c>
      <c r="S159" s="66">
        <f>SUM(S155:S158)</f>
        <v>5.16</v>
      </c>
      <c r="T159" s="66">
        <f>SUM(T155:T158)</f>
        <v>8</v>
      </c>
      <c r="U159" s="66">
        <f>SUM(U155:U158)</f>
        <v>4.0823999999999998</v>
      </c>
      <c r="V159" s="66">
        <f>SUM(V155:V158)</f>
        <v>0</v>
      </c>
      <c r="W159" s="66">
        <f>SUM(W155:W158)</f>
        <v>77.400000000000006</v>
      </c>
      <c r="X159" s="66">
        <f>SUM(X155:X158)</f>
        <v>188.95500000000001</v>
      </c>
      <c r="Y159" s="66">
        <f>SUM(Y155:Y158)</f>
        <v>672.29129209309235</v>
      </c>
      <c r="Z159" s="84">
        <f>SUM(Z155:Z158)</f>
        <v>672.29129209309235</v>
      </c>
      <c r="AA159" s="100"/>
      <c r="AB159" s="100"/>
      <c r="AC159" s="100"/>
      <c r="AD159" s="100"/>
      <c r="AE159" s="100"/>
      <c r="AF159" s="26"/>
      <c r="AG159" s="26"/>
    </row>
    <row r="160" spans="1:33" ht="15.9" customHeight="1">
      <c r="A160" s="52" t="s">
        <v>64</v>
      </c>
      <c r="K160" s="115"/>
      <c r="L160" s="48"/>
      <c r="M160" s="48"/>
      <c r="N160" s="48"/>
      <c r="W160" s="49"/>
      <c r="X160" s="80" t="s">
        <v>222</v>
      </c>
      <c r="Y160" s="92">
        <f>1.02*3031.3</f>
        <v>3091.9260000000004</v>
      </c>
      <c r="Z160" s="92">
        <f>1.02*3031.3</f>
        <v>3091.9260000000004</v>
      </c>
      <c r="AA160" s="100"/>
      <c r="AB160" s="100"/>
      <c r="AC160" s="100"/>
      <c r="AD160" s="100"/>
      <c r="AE160" s="100"/>
      <c r="AF160" s="26"/>
      <c r="AG160" s="26"/>
    </row>
    <row r="161" spans="1:33" s="91" customFormat="1" ht="27.6">
      <c r="A161" s="87" t="s">
        <v>4</v>
      </c>
      <c r="B161" s="88" t="s">
        <v>5</v>
      </c>
      <c r="C161" s="88" t="s">
        <v>24</v>
      </c>
      <c r="D161" s="88" t="s">
        <v>46</v>
      </c>
      <c r="E161" s="88" t="s">
        <v>67</v>
      </c>
      <c r="F161" s="88" t="s">
        <v>6</v>
      </c>
      <c r="G161" s="88" t="s">
        <v>7</v>
      </c>
      <c r="H161" s="116" t="s">
        <v>8</v>
      </c>
      <c r="I161" s="116" t="s">
        <v>47</v>
      </c>
      <c r="J161" s="116" t="s">
        <v>9</v>
      </c>
      <c r="K161" s="116" t="s">
        <v>14</v>
      </c>
      <c r="L161" s="89" t="s">
        <v>20</v>
      </c>
      <c r="M161" s="89" t="s">
        <v>23</v>
      </c>
      <c r="N161" s="89" t="s">
        <v>21</v>
      </c>
      <c r="O161" s="136" t="s">
        <v>10</v>
      </c>
      <c r="P161" s="90" t="s">
        <v>49</v>
      </c>
      <c r="Q161" s="45" t="s">
        <v>50</v>
      </c>
      <c r="R161" s="45" t="s">
        <v>55</v>
      </c>
      <c r="S161" s="45" t="s">
        <v>70</v>
      </c>
      <c r="T161" s="45" t="s">
        <v>13</v>
      </c>
      <c r="U161" s="45" t="s">
        <v>52</v>
      </c>
      <c r="V161" s="45" t="s">
        <v>48</v>
      </c>
      <c r="W161" s="45" t="s">
        <v>15</v>
      </c>
      <c r="X161" s="50" t="s">
        <v>12</v>
      </c>
      <c r="Y161" s="160" t="s">
        <v>22</v>
      </c>
      <c r="Z161" s="50" t="s">
        <v>68</v>
      </c>
      <c r="AA161" s="100"/>
      <c r="AB161" s="100"/>
      <c r="AC161" s="100"/>
      <c r="AD161" s="100"/>
      <c r="AE161" s="100"/>
      <c r="AF161" s="26"/>
      <c r="AG161" s="26"/>
    </row>
    <row r="162" spans="1:33" s="26" customFormat="1" ht="55.2">
      <c r="A162" s="165" t="s">
        <v>309</v>
      </c>
      <c r="B162" s="93" t="s">
        <v>310</v>
      </c>
      <c r="C162" s="93" t="s">
        <v>311</v>
      </c>
      <c r="D162" s="93">
        <v>148259</v>
      </c>
      <c r="E162" s="93">
        <v>107</v>
      </c>
      <c r="F162" s="93" t="s">
        <v>73</v>
      </c>
      <c r="G162" s="167">
        <v>2</v>
      </c>
      <c r="H162" s="168">
        <v>14.469999999999999</v>
      </c>
      <c r="I162" s="168">
        <v>0.3</v>
      </c>
      <c r="J162" s="168">
        <v>0.62</v>
      </c>
      <c r="K162" s="169">
        <f t="shared" ref="K162:K170" si="160">H162-I162-J162</f>
        <v>13.549999999999999</v>
      </c>
      <c r="L162" s="97" t="s">
        <v>312</v>
      </c>
      <c r="M162" s="97" t="s">
        <v>174</v>
      </c>
      <c r="N162" s="98" t="s">
        <v>313</v>
      </c>
      <c r="O162" s="137">
        <v>9.5</v>
      </c>
      <c r="P162" s="143">
        <v>1.49</v>
      </c>
      <c r="Q162" s="35"/>
      <c r="R162" s="35"/>
      <c r="S162" s="35">
        <f>0.02*(24+4+18+3)*G162</f>
        <v>1.96</v>
      </c>
      <c r="T162" s="35">
        <f t="shared" ref="T162:T170" si="161">2*G162</f>
        <v>4</v>
      </c>
      <c r="U162" s="35">
        <f t="shared" ref="U162:U170" si="162">IF(RIGHT(F162,2)="WG",K162*$AB$4,IF(RIGHT(F162,3)="WRG",K162*$AB$4+3*G162,IF(RIGHT(F162,3)="WYG",K162*$AB$4+3*G162,IF(RIGHT(F162,3)="WYR",K162*$AB$4+3*G162,0))))</f>
        <v>3.2519999999999998</v>
      </c>
      <c r="V162" s="35"/>
      <c r="W162" s="35">
        <f>((24+18)*0.6+(4+3)*0.5)*G162</f>
        <v>57.4</v>
      </c>
      <c r="X162" s="35">
        <f t="shared" ref="X162:X170" si="163">K162*O162</f>
        <v>128.72499999999999</v>
      </c>
      <c r="Y162" s="35">
        <f>($Y$160/31.1035*IF(LEFT(F162,3)="10K",(0.417*1.07*K162),IF(LEFT(F162,3)="14K",(0.585*1.05*K162),IF(LEFT(F162,3)="18K",(0.75*1.05*K162),0))))*0.5</f>
        <v>413.68930572966065</v>
      </c>
      <c r="Z162" s="83">
        <f>($Z$160/31.1035*IF(LEFT(F162,3)="10K",(0.417*1.07*K162),IF(LEFT(F162,3)="14K",(0.585*1.05*K162),IF(LEFT(F162,3)="18K",(0.75*1.05*K162),0))))*0.5</f>
        <v>413.68930572966065</v>
      </c>
      <c r="AA162" s="100">
        <f t="shared" si="145"/>
        <v>27.099999999999998</v>
      </c>
      <c r="AB162" s="100">
        <f t="shared" si="146"/>
        <v>168.23699999999999</v>
      </c>
      <c r="AC162" s="100">
        <f t="shared" si="147"/>
        <v>1120.6686099996778</v>
      </c>
      <c r="AD162" s="100">
        <f t="shared" si="148"/>
        <v>1288.9056099996778</v>
      </c>
      <c r="AE162" s="100">
        <f t="shared" si="149"/>
        <v>8.323087499999998</v>
      </c>
      <c r="AG162" s="26">
        <f t="shared" si="150"/>
        <v>128.72499999999999</v>
      </c>
    </row>
    <row r="163" spans="1:33" s="26" customFormat="1" ht="55.2">
      <c r="A163" s="94"/>
      <c r="B163" s="93" t="s">
        <v>310</v>
      </c>
      <c r="C163" s="93" t="s">
        <v>314</v>
      </c>
      <c r="D163" s="93">
        <v>148259</v>
      </c>
      <c r="E163" s="96">
        <v>101</v>
      </c>
      <c r="F163" s="93" t="s">
        <v>74</v>
      </c>
      <c r="G163" s="167">
        <v>2</v>
      </c>
      <c r="H163" s="168">
        <v>14.690000000000001</v>
      </c>
      <c r="I163" s="168">
        <v>0.3</v>
      </c>
      <c r="J163" s="168">
        <v>0.62</v>
      </c>
      <c r="K163" s="169">
        <f t="shared" si="160"/>
        <v>13.770000000000001</v>
      </c>
      <c r="L163" s="97" t="s">
        <v>312</v>
      </c>
      <c r="M163" s="97" t="s">
        <v>174</v>
      </c>
      <c r="N163" s="98" t="s">
        <v>313</v>
      </c>
      <c r="O163" s="137">
        <v>9.5</v>
      </c>
      <c r="P163" s="143">
        <v>1.49</v>
      </c>
      <c r="Q163" s="35"/>
      <c r="R163" s="35"/>
      <c r="S163" s="35">
        <f>0.02*(24+4+18+3)*G163</f>
        <v>1.96</v>
      </c>
      <c r="T163" s="35">
        <f t="shared" si="161"/>
        <v>4</v>
      </c>
      <c r="U163" s="35">
        <f t="shared" si="162"/>
        <v>0</v>
      </c>
      <c r="V163" s="35"/>
      <c r="W163" s="35">
        <f>((24+18)*0.6+(4+3)*0.5)*G163</f>
        <v>57.4</v>
      </c>
      <c r="X163" s="35">
        <f t="shared" si="163"/>
        <v>130.81500000000003</v>
      </c>
      <c r="Y163" s="35">
        <f t="shared" ref="Y163:Y170" si="164">($Y$160/31.1035*IF(LEFT(F163,3)="10K",(0.417*1.07*K163),IF(LEFT(F163,3)="14K",(0.585*1.05*K163),IF(LEFT(F163,3)="18K",(0.75*1.05*K163),0))))*0.5</f>
        <v>420.40603246475484</v>
      </c>
      <c r="Z163" s="83">
        <f t="shared" ref="Z163:Z170" si="165">($Z$160/31.1035*IF(LEFT(F163,3)="10K",(0.417*1.07*K163),IF(LEFT(F163,3)="14K",(0.585*1.05*K163),IF(LEFT(F163,3)="18K",(0.75*1.05*K163),0))))*0.5</f>
        <v>420.40603246475484</v>
      </c>
      <c r="AA163" s="100">
        <f t="shared" si="145"/>
        <v>27.540000000000003</v>
      </c>
      <c r="AB163" s="100">
        <f t="shared" si="146"/>
        <v>166.63500000000002</v>
      </c>
      <c r="AC163" s="100">
        <f t="shared" si="147"/>
        <v>1130.398329999678</v>
      </c>
      <c r="AD163" s="100">
        <f t="shared" si="148"/>
        <v>1297.033329999678</v>
      </c>
      <c r="AE163" s="100">
        <f t="shared" si="149"/>
        <v>8.4582224999999998</v>
      </c>
      <c r="AG163" s="26">
        <f t="shared" si="150"/>
        <v>130.81500000000003</v>
      </c>
    </row>
    <row r="164" spans="1:33" s="26" customFormat="1" ht="27.6">
      <c r="A164" s="94">
        <v>2</v>
      </c>
      <c r="B164" s="93" t="s">
        <v>315</v>
      </c>
      <c r="C164" s="93" t="s">
        <v>316</v>
      </c>
      <c r="D164" s="93">
        <v>148259</v>
      </c>
      <c r="E164" s="93">
        <v>102</v>
      </c>
      <c r="F164" s="93" t="s">
        <v>159</v>
      </c>
      <c r="G164" s="167">
        <v>1</v>
      </c>
      <c r="H164" s="168">
        <v>5.95</v>
      </c>
      <c r="I164" s="168">
        <v>0.1</v>
      </c>
      <c r="J164" s="168">
        <v>0.31</v>
      </c>
      <c r="K164" s="169">
        <f t="shared" si="160"/>
        <v>5.5400000000000009</v>
      </c>
      <c r="L164" s="97">
        <v>2</v>
      </c>
      <c r="M164" s="97" t="s">
        <v>63</v>
      </c>
      <c r="N164" s="98">
        <v>15</v>
      </c>
      <c r="O164" s="137">
        <v>9.5</v>
      </c>
      <c r="P164" s="143">
        <v>0.5</v>
      </c>
      <c r="Q164" s="35"/>
      <c r="R164" s="35"/>
      <c r="S164" s="35">
        <f t="shared" ref="S164:S167" si="166">0.02*N164*G164</f>
        <v>0.3</v>
      </c>
      <c r="T164" s="35">
        <f t="shared" si="161"/>
        <v>2</v>
      </c>
      <c r="U164" s="35">
        <f t="shared" si="162"/>
        <v>0</v>
      </c>
      <c r="V164" s="35"/>
      <c r="W164" s="35">
        <f>G164*N164*1</f>
        <v>15</v>
      </c>
      <c r="X164" s="35">
        <f t="shared" si="163"/>
        <v>52.63000000000001</v>
      </c>
      <c r="Y164" s="35">
        <f t="shared" si="164"/>
        <v>169.13939142009747</v>
      </c>
      <c r="Z164" s="83">
        <f t="shared" si="165"/>
        <v>169.13939142009747</v>
      </c>
      <c r="AA164" s="100">
        <f t="shared" si="145"/>
        <v>11.080000000000002</v>
      </c>
      <c r="AB164" s="100">
        <f t="shared" si="146"/>
        <v>58.850000000000009</v>
      </c>
      <c r="AC164" s="100">
        <f t="shared" si="147"/>
        <v>419.9806004025765</v>
      </c>
      <c r="AD164" s="100">
        <f t="shared" si="148"/>
        <v>478.83060040257652</v>
      </c>
      <c r="AE164" s="100">
        <f t="shared" si="149"/>
        <v>3.4029450000000003</v>
      </c>
      <c r="AG164" s="26">
        <f t="shared" si="150"/>
        <v>52.63000000000001</v>
      </c>
    </row>
    <row r="165" spans="1:33" s="26" customFormat="1" ht="55.2">
      <c r="A165" s="94">
        <v>4</v>
      </c>
      <c r="B165" s="93" t="s">
        <v>317</v>
      </c>
      <c r="C165" s="93" t="s">
        <v>318</v>
      </c>
      <c r="D165" s="93">
        <v>148259</v>
      </c>
      <c r="E165" s="93">
        <v>110</v>
      </c>
      <c r="F165" s="93" t="s">
        <v>73</v>
      </c>
      <c r="G165" s="167">
        <v>1</v>
      </c>
      <c r="H165" s="168">
        <v>7.83</v>
      </c>
      <c r="I165" s="168">
        <v>0.15</v>
      </c>
      <c r="J165" s="168">
        <v>0.36</v>
      </c>
      <c r="K165" s="169">
        <f t="shared" si="160"/>
        <v>7.3199999999999994</v>
      </c>
      <c r="L165" s="97" t="s">
        <v>312</v>
      </c>
      <c r="M165" s="97" t="s">
        <v>174</v>
      </c>
      <c r="N165" s="98" t="s">
        <v>313</v>
      </c>
      <c r="O165" s="137">
        <v>9.5</v>
      </c>
      <c r="P165" s="143">
        <v>0.74</v>
      </c>
      <c r="Q165" s="35"/>
      <c r="R165" s="35"/>
      <c r="S165" s="35">
        <f>0.02*(24+4+18+3)*G165</f>
        <v>0.98</v>
      </c>
      <c r="T165" s="35">
        <f t="shared" si="161"/>
        <v>2</v>
      </c>
      <c r="U165" s="35">
        <f t="shared" si="162"/>
        <v>1.7567999999999997</v>
      </c>
      <c r="V165" s="35"/>
      <c r="W165" s="35">
        <f>((24+18)*0.6+(4+3)*0.5)*G165</f>
        <v>28.7</v>
      </c>
      <c r="X165" s="35">
        <f t="shared" si="163"/>
        <v>69.539999999999992</v>
      </c>
      <c r="Y165" s="35">
        <f t="shared" si="164"/>
        <v>223.48381682222259</v>
      </c>
      <c r="Z165" s="83">
        <f t="shared" si="165"/>
        <v>223.48381682222259</v>
      </c>
      <c r="AA165" s="100">
        <f t="shared" si="145"/>
        <v>14.639999999999999</v>
      </c>
      <c r="AB165" s="100">
        <f t="shared" si="146"/>
        <v>88.336799999999997</v>
      </c>
      <c r="AC165" s="100">
        <f t="shared" si="147"/>
        <v>582.68778939581318</v>
      </c>
      <c r="AD165" s="100">
        <f t="shared" si="148"/>
        <v>671.02458939581322</v>
      </c>
      <c r="AE165" s="100">
        <f t="shared" si="149"/>
        <v>4.4963099999999994</v>
      </c>
      <c r="AG165" s="26">
        <f t="shared" si="150"/>
        <v>69.539999999999992</v>
      </c>
    </row>
    <row r="166" spans="1:33" s="26" customFormat="1" ht="55.2">
      <c r="A166" s="94"/>
      <c r="B166" s="93" t="s">
        <v>317</v>
      </c>
      <c r="C166" s="93" t="s">
        <v>319</v>
      </c>
      <c r="D166" s="93">
        <v>148259</v>
      </c>
      <c r="E166" s="93">
        <v>104</v>
      </c>
      <c r="F166" s="93" t="s">
        <v>159</v>
      </c>
      <c r="G166" s="167">
        <v>1</v>
      </c>
      <c r="H166" s="168">
        <v>7.77</v>
      </c>
      <c r="I166" s="168">
        <v>0.15</v>
      </c>
      <c r="J166" s="168">
        <v>0.36</v>
      </c>
      <c r="K166" s="169">
        <f t="shared" si="160"/>
        <v>7.2599999999999989</v>
      </c>
      <c r="L166" s="97" t="s">
        <v>312</v>
      </c>
      <c r="M166" s="97" t="s">
        <v>174</v>
      </c>
      <c r="N166" s="98" t="s">
        <v>313</v>
      </c>
      <c r="O166" s="137">
        <v>9.5</v>
      </c>
      <c r="P166" s="143">
        <v>0.75</v>
      </c>
      <c r="Q166" s="35"/>
      <c r="R166" s="35"/>
      <c r="S166" s="35">
        <f t="shared" ref="S166" si="167">0.02*(24+4+18+3)*G166</f>
        <v>0.98</v>
      </c>
      <c r="T166" s="35">
        <f t="shared" si="161"/>
        <v>2</v>
      </c>
      <c r="U166" s="35">
        <f t="shared" si="162"/>
        <v>0</v>
      </c>
      <c r="V166" s="35"/>
      <c r="W166" s="35">
        <f t="shared" ref="W166" si="168">((24+18)*0.6+(4+3)*0.5)*G166</f>
        <v>28.7</v>
      </c>
      <c r="X166" s="35">
        <f t="shared" si="163"/>
        <v>68.969999999999985</v>
      </c>
      <c r="Y166" s="35">
        <f t="shared" si="164"/>
        <v>221.65198225810602</v>
      </c>
      <c r="Z166" s="83">
        <f t="shared" si="165"/>
        <v>221.65198225810602</v>
      </c>
      <c r="AA166" s="100">
        <f t="shared" si="145"/>
        <v>14.519999999999998</v>
      </c>
      <c r="AB166" s="100">
        <f t="shared" si="146"/>
        <v>86.129999999999981</v>
      </c>
      <c r="AC166" s="100">
        <f t="shared" si="147"/>
        <v>583.53360060386467</v>
      </c>
      <c r="AD166" s="100">
        <f t="shared" si="148"/>
        <v>669.66360060386467</v>
      </c>
      <c r="AE166" s="100">
        <f t="shared" si="149"/>
        <v>4.4594549999999993</v>
      </c>
      <c r="AG166" s="26">
        <f t="shared" si="150"/>
        <v>68.969999999999985</v>
      </c>
    </row>
    <row r="167" spans="1:33" s="26" customFormat="1" ht="28.8" customHeight="1">
      <c r="A167" s="94">
        <v>8</v>
      </c>
      <c r="B167" s="96" t="s">
        <v>320</v>
      </c>
      <c r="C167" s="93" t="s">
        <v>321</v>
      </c>
      <c r="D167" s="93">
        <v>148259</v>
      </c>
      <c r="E167" s="93">
        <v>113</v>
      </c>
      <c r="F167" s="93" t="s">
        <v>74</v>
      </c>
      <c r="G167" s="167">
        <v>1</v>
      </c>
      <c r="H167" s="168">
        <v>5.81</v>
      </c>
      <c r="I167" s="168">
        <v>0.31</v>
      </c>
      <c r="J167" s="168">
        <v>0.32</v>
      </c>
      <c r="K167" s="169">
        <f t="shared" si="160"/>
        <v>5.18</v>
      </c>
      <c r="L167" s="97" t="s">
        <v>322</v>
      </c>
      <c r="M167" s="97" t="s">
        <v>63</v>
      </c>
      <c r="N167" s="98">
        <v>5</v>
      </c>
      <c r="O167" s="137">
        <v>11.5</v>
      </c>
      <c r="P167" s="143">
        <v>1.55</v>
      </c>
      <c r="Q167" s="35"/>
      <c r="R167" s="35"/>
      <c r="S167" s="35">
        <f t="shared" si="166"/>
        <v>0.1</v>
      </c>
      <c r="T167" s="35">
        <f t="shared" si="161"/>
        <v>2</v>
      </c>
      <c r="U167" s="35">
        <f t="shared" si="162"/>
        <v>0</v>
      </c>
      <c r="V167" s="35"/>
      <c r="W167" s="35">
        <f>G167*N167*1.5</f>
        <v>7.5</v>
      </c>
      <c r="X167" s="35">
        <f t="shared" si="163"/>
        <v>59.569999999999993</v>
      </c>
      <c r="Y167" s="35">
        <f t="shared" si="164"/>
        <v>158.14838403539795</v>
      </c>
      <c r="Z167" s="83">
        <f t="shared" si="165"/>
        <v>158.14838403539795</v>
      </c>
      <c r="AA167" s="100">
        <f t="shared" si="145"/>
        <v>10.36</v>
      </c>
      <c r="AB167" s="100">
        <f t="shared" si="146"/>
        <v>58.809999999999988</v>
      </c>
      <c r="AC167" s="100">
        <f t="shared" si="147"/>
        <v>771.4932172479871</v>
      </c>
      <c r="AD167" s="100">
        <f t="shared" si="148"/>
        <v>830.30321724798705</v>
      </c>
      <c r="AE167" s="100">
        <f t="shared" si="149"/>
        <v>3.1818149999999998</v>
      </c>
      <c r="AG167" s="26">
        <f t="shared" si="150"/>
        <v>59.569999999999993</v>
      </c>
    </row>
    <row r="168" spans="1:33" s="26" customFormat="1" ht="55.2">
      <c r="A168" s="94">
        <v>10</v>
      </c>
      <c r="B168" s="93" t="s">
        <v>326</v>
      </c>
      <c r="C168" s="93" t="s">
        <v>327</v>
      </c>
      <c r="D168" s="93">
        <v>148259</v>
      </c>
      <c r="E168" s="93">
        <v>116</v>
      </c>
      <c r="F168" s="93" t="s">
        <v>74</v>
      </c>
      <c r="G168" s="167">
        <v>1</v>
      </c>
      <c r="H168" s="168">
        <v>7.53</v>
      </c>
      <c r="I168" s="168">
        <v>0.15</v>
      </c>
      <c r="J168" s="168">
        <v>0.32</v>
      </c>
      <c r="K168" s="169">
        <f t="shared" si="160"/>
        <v>7.06</v>
      </c>
      <c r="L168" s="97" t="s">
        <v>312</v>
      </c>
      <c r="M168" s="97" t="s">
        <v>174</v>
      </c>
      <c r="N168" s="98" t="s">
        <v>313</v>
      </c>
      <c r="O168" s="137">
        <v>9.5</v>
      </c>
      <c r="P168" s="143">
        <v>0.75</v>
      </c>
      <c r="Q168" s="35"/>
      <c r="R168" s="35"/>
      <c r="S168" s="35">
        <f>0.02*(24+4+18+3)*G168</f>
        <v>0.98</v>
      </c>
      <c r="T168" s="35">
        <f t="shared" si="161"/>
        <v>2</v>
      </c>
      <c r="U168" s="35">
        <f t="shared" si="162"/>
        <v>0</v>
      </c>
      <c r="V168" s="35"/>
      <c r="W168" s="35">
        <f>((24+18)*0.6+(4+3)*0.5)*G168</f>
        <v>28.7</v>
      </c>
      <c r="X168" s="35">
        <f t="shared" si="163"/>
        <v>67.069999999999993</v>
      </c>
      <c r="Y168" s="35">
        <f t="shared" si="164"/>
        <v>215.5458670443841</v>
      </c>
      <c r="Z168" s="83">
        <f t="shared" si="165"/>
        <v>215.5458670443841</v>
      </c>
      <c r="AA168" s="100">
        <f t="shared" si="145"/>
        <v>14.12</v>
      </c>
      <c r="AB168" s="100">
        <f t="shared" si="146"/>
        <v>84.63</v>
      </c>
      <c r="AC168" s="100">
        <f t="shared" si="147"/>
        <v>574.68840060386469</v>
      </c>
      <c r="AD168" s="100">
        <f t="shared" si="148"/>
        <v>659.31840060386469</v>
      </c>
      <c r="AE168" s="100">
        <f t="shared" si="149"/>
        <v>4.3366049999999996</v>
      </c>
      <c r="AG168" s="26">
        <f t="shared" si="150"/>
        <v>67.069999999999993</v>
      </c>
    </row>
    <row r="169" spans="1:33" s="26" customFormat="1" ht="27.6">
      <c r="A169" s="94">
        <v>12</v>
      </c>
      <c r="B169" s="93" t="s">
        <v>323</v>
      </c>
      <c r="C169" s="93" t="s">
        <v>328</v>
      </c>
      <c r="D169" s="93">
        <v>148259</v>
      </c>
      <c r="E169" s="93">
        <v>118</v>
      </c>
      <c r="F169" s="93" t="s">
        <v>110</v>
      </c>
      <c r="G169" s="167">
        <v>1</v>
      </c>
      <c r="H169" s="168">
        <v>7.24</v>
      </c>
      <c r="I169" s="168">
        <v>0.43</v>
      </c>
      <c r="J169" s="168">
        <v>0.32</v>
      </c>
      <c r="K169" s="169">
        <f t="shared" si="160"/>
        <v>6.49</v>
      </c>
      <c r="L169" s="97" t="s">
        <v>324</v>
      </c>
      <c r="M169" s="97" t="s">
        <v>75</v>
      </c>
      <c r="N169" s="98" t="s">
        <v>325</v>
      </c>
      <c r="O169" s="137">
        <v>9</v>
      </c>
      <c r="P169" s="143">
        <v>2.16</v>
      </c>
      <c r="Q169" s="35"/>
      <c r="R169" s="35"/>
      <c r="S169" s="35">
        <f>0.02*(62+13)*G169</f>
        <v>1.5</v>
      </c>
      <c r="T169" s="35">
        <f t="shared" ref="T169" si="169">2*G169</f>
        <v>2</v>
      </c>
      <c r="U169" s="35">
        <f t="shared" si="162"/>
        <v>4.5575999999999999</v>
      </c>
      <c r="V169" s="35"/>
      <c r="W169" s="35">
        <f>(0.3*62+1*13)*G169</f>
        <v>31.599999999999998</v>
      </c>
      <c r="X169" s="35">
        <f t="shared" si="163"/>
        <v>58.410000000000004</v>
      </c>
      <c r="Y169" s="35">
        <f t="shared" si="164"/>
        <v>198.14343868527661</v>
      </c>
      <c r="Z169" s="83">
        <f t="shared" si="165"/>
        <v>198.14343868527661</v>
      </c>
      <c r="AA169" s="100">
        <f t="shared" si="145"/>
        <v>12.98</v>
      </c>
      <c r="AB169" s="100">
        <f t="shared" si="146"/>
        <v>85.087599999999995</v>
      </c>
      <c r="AC169" s="100">
        <f t="shared" si="147"/>
        <v>1042.8909209391304</v>
      </c>
      <c r="AD169" s="100">
        <f t="shared" si="148"/>
        <v>1127.9785209391305</v>
      </c>
      <c r="AE169" s="100">
        <f t="shared" si="149"/>
        <v>3.9864824999999997</v>
      </c>
      <c r="AG169" s="26">
        <f t="shared" si="150"/>
        <v>58.410000000000004</v>
      </c>
    </row>
    <row r="170" spans="1:33" s="26" customFormat="1" ht="28.2" thickBot="1">
      <c r="A170" s="94">
        <v>14</v>
      </c>
      <c r="B170" s="93" t="s">
        <v>329</v>
      </c>
      <c r="C170" s="93" t="s">
        <v>330</v>
      </c>
      <c r="D170" s="93">
        <v>148259</v>
      </c>
      <c r="E170" s="93">
        <v>121</v>
      </c>
      <c r="F170" s="93" t="s">
        <v>74</v>
      </c>
      <c r="G170" s="167">
        <v>1</v>
      </c>
      <c r="H170" s="168">
        <v>8.69</v>
      </c>
      <c r="I170" s="168">
        <v>0.52</v>
      </c>
      <c r="J170" s="168">
        <v>0.32</v>
      </c>
      <c r="K170" s="169">
        <f t="shared" si="160"/>
        <v>7.85</v>
      </c>
      <c r="L170" s="97" t="s">
        <v>331</v>
      </c>
      <c r="M170" s="97" t="s">
        <v>75</v>
      </c>
      <c r="N170" s="98" t="s">
        <v>332</v>
      </c>
      <c r="O170" s="137">
        <v>10.5</v>
      </c>
      <c r="P170" s="143">
        <v>2.61</v>
      </c>
      <c r="Q170" s="35"/>
      <c r="R170" s="35"/>
      <c r="S170" s="35">
        <f>0.02*(14+15)*G170</f>
        <v>0.57999999999999996</v>
      </c>
      <c r="T170" s="35">
        <f t="shared" si="161"/>
        <v>2</v>
      </c>
      <c r="U170" s="35">
        <f t="shared" si="162"/>
        <v>0</v>
      </c>
      <c r="V170" s="35"/>
      <c r="W170" s="35">
        <f>(0.3*14+0.75*15)*G170</f>
        <v>15.45</v>
      </c>
      <c r="X170" s="35">
        <f t="shared" si="163"/>
        <v>82.424999999999997</v>
      </c>
      <c r="Y170" s="35">
        <f t="shared" si="164"/>
        <v>239.6650221385857</v>
      </c>
      <c r="Z170" s="83">
        <f t="shared" si="165"/>
        <v>239.6650221385857</v>
      </c>
      <c r="AA170" s="100">
        <f t="shared" si="145"/>
        <v>15.7</v>
      </c>
      <c r="AB170" s="100">
        <f t="shared" si="146"/>
        <v>84.754999999999995</v>
      </c>
      <c r="AC170" s="100">
        <f t="shared" si="147"/>
        <v>1260.5099853014492</v>
      </c>
      <c r="AD170" s="100">
        <f t="shared" si="148"/>
        <v>1345.2649853014491</v>
      </c>
      <c r="AE170" s="100">
        <f t="shared" si="149"/>
        <v>4.8218624999999991</v>
      </c>
      <c r="AG170" s="26">
        <f t="shared" si="150"/>
        <v>82.424999999999997</v>
      </c>
    </row>
    <row r="171" spans="1:33" s="27" customFormat="1" ht="15.9" customHeight="1">
      <c r="A171" s="86" t="s">
        <v>66</v>
      </c>
      <c r="B171" s="63"/>
      <c r="C171" s="63"/>
      <c r="D171" s="63"/>
      <c r="E171" s="63"/>
      <c r="F171" s="63"/>
      <c r="G171" s="170">
        <f>SUM(G162:G170)</f>
        <v>11</v>
      </c>
      <c r="H171" s="171"/>
      <c r="I171" s="171"/>
      <c r="J171" s="171"/>
      <c r="K171" s="171">
        <f>SUM(K162:K170)</f>
        <v>74.02</v>
      </c>
      <c r="L171" s="65"/>
      <c r="M171" s="65"/>
      <c r="N171" s="65"/>
      <c r="O171" s="138"/>
      <c r="P171" s="101">
        <f t="shared" ref="P171:Z171" si="170">SUM(P162:P170)</f>
        <v>12.04</v>
      </c>
      <c r="Q171" s="66">
        <f t="shared" si="170"/>
        <v>0</v>
      </c>
      <c r="R171" s="66">
        <f t="shared" si="170"/>
        <v>0</v>
      </c>
      <c r="S171" s="66">
        <f t="shared" si="170"/>
        <v>9.34</v>
      </c>
      <c r="T171" s="66">
        <f t="shared" si="170"/>
        <v>22</v>
      </c>
      <c r="U171" s="66">
        <f t="shared" si="170"/>
        <v>9.566399999999998</v>
      </c>
      <c r="V171" s="66">
        <f t="shared" si="170"/>
        <v>0</v>
      </c>
      <c r="W171" s="66">
        <f t="shared" si="170"/>
        <v>270.45</v>
      </c>
      <c r="X171" s="66">
        <f t="shared" si="170"/>
        <v>718.15499999999986</v>
      </c>
      <c r="Y171" s="66">
        <f t="shared" si="170"/>
        <v>2259.8732405984861</v>
      </c>
      <c r="Z171" s="84">
        <f t="shared" si="170"/>
        <v>2259.8732405984861</v>
      </c>
      <c r="AA171" s="100"/>
      <c r="AB171" s="100"/>
      <c r="AC171" s="100"/>
      <c r="AD171" s="100"/>
      <c r="AE171" s="100"/>
      <c r="AF171" s="26"/>
      <c r="AG171" s="26"/>
    </row>
    <row r="172" spans="1:33" ht="15.9" customHeight="1">
      <c r="A172" s="52" t="s">
        <v>64</v>
      </c>
      <c r="K172" s="115"/>
      <c r="L172" s="48"/>
      <c r="M172" s="48"/>
      <c r="N172" s="48"/>
      <c r="W172" s="49"/>
      <c r="X172" s="80" t="s">
        <v>180</v>
      </c>
      <c r="Y172" s="92">
        <f>3021.7*1.02</f>
        <v>3082.134</v>
      </c>
      <c r="Z172" s="92">
        <f>3021.7*1.02</f>
        <v>3082.134</v>
      </c>
      <c r="AA172" s="100"/>
      <c r="AB172" s="100"/>
      <c r="AC172" s="100"/>
      <c r="AD172" s="100"/>
      <c r="AE172" s="100"/>
      <c r="AF172" s="26"/>
      <c r="AG172" s="26"/>
    </row>
    <row r="173" spans="1:33" s="91" customFormat="1" ht="27.6">
      <c r="A173" s="87" t="s">
        <v>4</v>
      </c>
      <c r="B173" s="88" t="s">
        <v>5</v>
      </c>
      <c r="C173" s="88" t="s">
        <v>24</v>
      </c>
      <c r="D173" s="88" t="s">
        <v>46</v>
      </c>
      <c r="E173" s="88" t="s">
        <v>67</v>
      </c>
      <c r="F173" s="88" t="s">
        <v>6</v>
      </c>
      <c r="G173" s="88" t="s">
        <v>7</v>
      </c>
      <c r="H173" s="116" t="s">
        <v>8</v>
      </c>
      <c r="I173" s="116" t="s">
        <v>47</v>
      </c>
      <c r="J173" s="116" t="s">
        <v>9</v>
      </c>
      <c r="K173" s="116" t="s">
        <v>14</v>
      </c>
      <c r="L173" s="89" t="s">
        <v>20</v>
      </c>
      <c r="M173" s="89" t="s">
        <v>23</v>
      </c>
      <c r="N173" s="89" t="s">
        <v>21</v>
      </c>
      <c r="O173" s="136" t="s">
        <v>10</v>
      </c>
      <c r="P173" s="90" t="s">
        <v>49</v>
      </c>
      <c r="Q173" s="45" t="s">
        <v>50</v>
      </c>
      <c r="R173" s="45" t="s">
        <v>55</v>
      </c>
      <c r="S173" s="45" t="s">
        <v>70</v>
      </c>
      <c r="T173" s="45" t="s">
        <v>13</v>
      </c>
      <c r="U173" s="45" t="s">
        <v>52</v>
      </c>
      <c r="V173" s="45" t="s">
        <v>48</v>
      </c>
      <c r="W173" s="45" t="s">
        <v>15</v>
      </c>
      <c r="X173" s="50" t="s">
        <v>12</v>
      </c>
      <c r="Y173" s="160" t="s">
        <v>22</v>
      </c>
      <c r="Z173" s="50" t="s">
        <v>68</v>
      </c>
      <c r="AA173" s="100"/>
      <c r="AB173" s="100"/>
      <c r="AC173" s="100"/>
      <c r="AD173" s="100"/>
      <c r="AE173" s="100"/>
      <c r="AF173" s="26"/>
      <c r="AG173" s="26"/>
    </row>
    <row r="174" spans="1:33" s="26" customFormat="1" ht="27.6">
      <c r="A174" s="165" t="s">
        <v>333</v>
      </c>
      <c r="B174" s="93" t="s">
        <v>334</v>
      </c>
      <c r="C174" s="93" t="s">
        <v>335</v>
      </c>
      <c r="D174" s="93">
        <v>148260</v>
      </c>
      <c r="E174" s="93">
        <v>102</v>
      </c>
      <c r="F174" s="93" t="s">
        <v>159</v>
      </c>
      <c r="G174" s="95">
        <v>1</v>
      </c>
      <c r="H174" s="117">
        <v>4.3</v>
      </c>
      <c r="I174" s="117">
        <v>0.03</v>
      </c>
      <c r="J174" s="117">
        <v>0.31</v>
      </c>
      <c r="K174" s="118">
        <f t="shared" ref="K174:K180" si="171">H174-I174-J174</f>
        <v>3.9599999999999995</v>
      </c>
      <c r="L174" s="97">
        <v>2.2000000000000002</v>
      </c>
      <c r="M174" s="97" t="s">
        <v>63</v>
      </c>
      <c r="N174" s="98">
        <v>4</v>
      </c>
      <c r="O174" s="137">
        <v>9.5</v>
      </c>
      <c r="P174" s="143">
        <v>0.16</v>
      </c>
      <c r="Q174" s="35"/>
      <c r="R174" s="35"/>
      <c r="S174" s="35">
        <f t="shared" ref="S174:S178" si="172">0.02*N174*G174</f>
        <v>0.08</v>
      </c>
      <c r="T174" s="35">
        <f t="shared" ref="T174:T180" si="173">2*G174</f>
        <v>2</v>
      </c>
      <c r="U174" s="35">
        <f t="shared" ref="U174:U180" si="174">IF(RIGHT(F174,2)="WG",K174*$AB$4,IF(RIGHT(F174,3)="WRG",K174*$AB$4+3*G174,IF(RIGHT(F174,3)="WYG",K174*$AB$4+3*G174,IF(RIGHT(F174,3)="WYR",K174*$AB$4+3*G174,0))))</f>
        <v>0</v>
      </c>
      <c r="V174" s="35"/>
      <c r="W174" s="35">
        <f t="shared" ref="W174" si="175">G174*N174*0.3</f>
        <v>1.2</v>
      </c>
      <c r="X174" s="35">
        <f t="shared" ref="X174:X180" si="176">K174*O174</f>
        <v>37.619999999999997</v>
      </c>
      <c r="Y174" s="35">
        <f t="shared" ref="Y174:Y180" si="177">($Y$62/31.1035*IF(LEFT(F174,3)="10K",(0.417*1.07*K174),IF(LEFT(F174,3)="14K",(0.585*1.05*K174),IF(LEFT(F174,3)="18K",(0.75*1.05*K174),0))))*0.5</f>
        <v>35.417340245202645</v>
      </c>
      <c r="Z174" s="83">
        <f t="shared" ref="Z174:Z180" si="178">($Z$62/31.1035*IF(LEFT(F174,3)="10K",(0.417*1.07*K174),IF(LEFT(F174,3)="14K",(0.585*1.05*K174),IF(LEFT(F174,3)="18K",(0.75*1.05*K174),0))))*0.5</f>
        <v>35.417340245202645</v>
      </c>
      <c r="AA174" s="100">
        <f t="shared" si="145"/>
        <v>7.919999999999999</v>
      </c>
      <c r="AB174" s="100">
        <f t="shared" si="146"/>
        <v>32.979999999999997</v>
      </c>
      <c r="AC174" s="100">
        <f t="shared" si="147"/>
        <v>231.12489932882445</v>
      </c>
      <c r="AD174" s="100">
        <f t="shared" si="148"/>
        <v>264.10489932882444</v>
      </c>
      <c r="AE174" s="100">
        <f t="shared" si="149"/>
        <v>2.4324299999999996</v>
      </c>
      <c r="AG174" s="26">
        <f t="shared" si="150"/>
        <v>37.619999999999997</v>
      </c>
    </row>
    <row r="175" spans="1:33" s="26" customFormat="1" ht="27.6">
      <c r="A175" s="94">
        <v>2</v>
      </c>
      <c r="B175" s="96" t="s">
        <v>336</v>
      </c>
      <c r="C175" s="93" t="s">
        <v>337</v>
      </c>
      <c r="D175" s="93">
        <v>148260</v>
      </c>
      <c r="E175" s="93">
        <v>103</v>
      </c>
      <c r="F175" s="93" t="s">
        <v>73</v>
      </c>
      <c r="G175" s="95">
        <v>1</v>
      </c>
      <c r="H175" s="117">
        <v>6.97</v>
      </c>
      <c r="I175" s="117">
        <v>0.19</v>
      </c>
      <c r="J175" s="117">
        <v>0.31</v>
      </c>
      <c r="K175" s="118">
        <f t="shared" si="171"/>
        <v>6.47</v>
      </c>
      <c r="L175" s="97">
        <v>2.7</v>
      </c>
      <c r="M175" s="97" t="s">
        <v>63</v>
      </c>
      <c r="N175" s="98">
        <v>12</v>
      </c>
      <c r="O175" s="137">
        <v>11.5</v>
      </c>
      <c r="P175" s="143">
        <v>0.96</v>
      </c>
      <c r="Q175" s="35"/>
      <c r="R175" s="35"/>
      <c r="S175" s="35">
        <f t="shared" si="172"/>
        <v>0.24</v>
      </c>
      <c r="T175" s="35">
        <f t="shared" si="173"/>
        <v>2</v>
      </c>
      <c r="U175" s="35">
        <f t="shared" si="174"/>
        <v>1.5528</v>
      </c>
      <c r="V175" s="35"/>
      <c r="W175" s="35">
        <f>G175*N175*1</f>
        <v>12</v>
      </c>
      <c r="X175" s="35">
        <f t="shared" si="176"/>
        <v>74.405000000000001</v>
      </c>
      <c r="Y175" s="35">
        <f t="shared" si="177"/>
        <v>57.86620994607604</v>
      </c>
      <c r="Z175" s="83">
        <f t="shared" si="178"/>
        <v>57.86620994607604</v>
      </c>
      <c r="AA175" s="100">
        <f t="shared" si="145"/>
        <v>12.94</v>
      </c>
      <c r="AB175" s="100">
        <f t="shared" si="146"/>
        <v>77.257800000000003</v>
      </c>
      <c r="AC175" s="100">
        <f t="shared" si="147"/>
        <v>622.08185597294687</v>
      </c>
      <c r="AD175" s="100">
        <f t="shared" si="148"/>
        <v>699.33965597294684</v>
      </c>
      <c r="AE175" s="100">
        <f t="shared" si="149"/>
        <v>3.9741974999999998</v>
      </c>
      <c r="AG175" s="26">
        <f t="shared" si="150"/>
        <v>74.405000000000001</v>
      </c>
    </row>
    <row r="176" spans="1:33" s="26" customFormat="1" ht="27.6">
      <c r="A176" s="94">
        <v>3</v>
      </c>
      <c r="B176" s="93" t="s">
        <v>338</v>
      </c>
      <c r="C176" s="93" t="s">
        <v>339</v>
      </c>
      <c r="D176" s="93">
        <v>148260</v>
      </c>
      <c r="E176" s="93">
        <v>106</v>
      </c>
      <c r="F176" s="93" t="s">
        <v>110</v>
      </c>
      <c r="G176" s="95">
        <v>1</v>
      </c>
      <c r="H176" s="117">
        <v>16.09</v>
      </c>
      <c r="I176" s="117">
        <v>0.1</v>
      </c>
      <c r="J176" s="117">
        <v>0.93</v>
      </c>
      <c r="K176" s="118">
        <f t="shared" si="171"/>
        <v>15.06</v>
      </c>
      <c r="L176" s="97">
        <v>1.75</v>
      </c>
      <c r="M176" s="97" t="s">
        <v>63</v>
      </c>
      <c r="N176" s="98">
        <v>24</v>
      </c>
      <c r="O176" s="137">
        <v>11.5</v>
      </c>
      <c r="P176" s="143">
        <v>0.5</v>
      </c>
      <c r="Q176" s="35"/>
      <c r="R176" s="35"/>
      <c r="S176" s="35">
        <f t="shared" si="172"/>
        <v>0.48</v>
      </c>
      <c r="T176" s="35">
        <f>6*G176</f>
        <v>6</v>
      </c>
      <c r="U176" s="35">
        <f t="shared" si="174"/>
        <v>6.6143999999999998</v>
      </c>
      <c r="V176" s="35"/>
      <c r="W176" s="35">
        <f t="shared" ref="W176:W178" si="179">G176*N176*0.3</f>
        <v>7.1999999999999993</v>
      </c>
      <c r="X176" s="35">
        <f t="shared" si="176"/>
        <v>173.19</v>
      </c>
      <c r="Y176" s="35">
        <f t="shared" si="177"/>
        <v>134.69321820524038</v>
      </c>
      <c r="Z176" s="83">
        <f t="shared" si="178"/>
        <v>134.69321820524038</v>
      </c>
      <c r="AA176" s="100">
        <f t="shared" si="145"/>
        <v>30.12</v>
      </c>
      <c r="AB176" s="100">
        <f t="shared" si="146"/>
        <v>163.36439999999999</v>
      </c>
      <c r="AC176" s="100">
        <f t="shared" si="147"/>
        <v>841.01212040257656</v>
      </c>
      <c r="AD176" s="100">
        <f t="shared" si="148"/>
        <v>1004.3765204025765</v>
      </c>
      <c r="AE176" s="100">
        <f t="shared" si="149"/>
        <v>9.2506050000000002</v>
      </c>
      <c r="AG176" s="26">
        <f t="shared" si="150"/>
        <v>173.19</v>
      </c>
    </row>
    <row r="177" spans="1:33" s="26" customFormat="1" ht="27.6">
      <c r="A177" s="94">
        <v>5</v>
      </c>
      <c r="B177" s="96" t="s">
        <v>224</v>
      </c>
      <c r="C177" s="93" t="s">
        <v>225</v>
      </c>
      <c r="D177" s="93">
        <v>148260</v>
      </c>
      <c r="E177" s="93">
        <v>117</v>
      </c>
      <c r="F177" s="93" t="s">
        <v>74</v>
      </c>
      <c r="G177" s="95">
        <v>1</v>
      </c>
      <c r="H177" s="117">
        <v>4.8899999999999997</v>
      </c>
      <c r="I177" s="117">
        <v>7.0000000000000007E-2</v>
      </c>
      <c r="J177" s="117">
        <v>0.32</v>
      </c>
      <c r="K177" s="118">
        <f t="shared" si="171"/>
        <v>4.4999999999999991</v>
      </c>
      <c r="L177" s="97">
        <v>1.9</v>
      </c>
      <c r="M177" s="97" t="s">
        <v>63</v>
      </c>
      <c r="N177" s="98">
        <v>12</v>
      </c>
      <c r="O177" s="137">
        <v>9.5</v>
      </c>
      <c r="P177" s="143">
        <v>0.37</v>
      </c>
      <c r="Q177" s="35"/>
      <c r="R177" s="35"/>
      <c r="S177" s="35">
        <f t="shared" si="172"/>
        <v>0.24</v>
      </c>
      <c r="T177" s="35">
        <f t="shared" si="173"/>
        <v>2</v>
      </c>
      <c r="U177" s="35">
        <f t="shared" si="174"/>
        <v>0</v>
      </c>
      <c r="V177" s="35"/>
      <c r="W177" s="35">
        <f t="shared" si="179"/>
        <v>3.5999999999999996</v>
      </c>
      <c r="X177" s="35">
        <f t="shared" si="176"/>
        <v>42.749999999999993</v>
      </c>
      <c r="Y177" s="35">
        <f t="shared" si="177"/>
        <v>40.246977551366641</v>
      </c>
      <c r="Z177" s="83">
        <f t="shared" si="178"/>
        <v>40.246977551366641</v>
      </c>
      <c r="AA177" s="100">
        <f t="shared" si="145"/>
        <v>8.9999999999999982</v>
      </c>
      <c r="AB177" s="100">
        <f t="shared" si="146"/>
        <v>39.589999999999989</v>
      </c>
      <c r="AC177" s="100">
        <f t="shared" si="147"/>
        <v>328.49373469790658</v>
      </c>
      <c r="AD177" s="100">
        <f t="shared" si="148"/>
        <v>368.08373469790655</v>
      </c>
      <c r="AE177" s="100">
        <f t="shared" si="149"/>
        <v>2.7641249999999995</v>
      </c>
      <c r="AG177" s="26">
        <f t="shared" si="150"/>
        <v>42.749999999999993</v>
      </c>
    </row>
    <row r="178" spans="1:33" s="26" customFormat="1" ht="27.6">
      <c r="A178" s="94"/>
      <c r="B178" s="96" t="s">
        <v>224</v>
      </c>
      <c r="C178" s="93" t="s">
        <v>266</v>
      </c>
      <c r="D178" s="93">
        <v>148260</v>
      </c>
      <c r="E178" s="93">
        <v>110</v>
      </c>
      <c r="F178" s="93" t="s">
        <v>159</v>
      </c>
      <c r="G178" s="95">
        <v>2</v>
      </c>
      <c r="H178" s="117">
        <v>10.41</v>
      </c>
      <c r="I178" s="117">
        <v>0.14000000000000001</v>
      </c>
      <c r="J178" s="117">
        <v>0.64</v>
      </c>
      <c r="K178" s="118">
        <f t="shared" si="171"/>
        <v>9.629999999999999</v>
      </c>
      <c r="L178" s="97">
        <v>1.9</v>
      </c>
      <c r="M178" s="97" t="s">
        <v>63</v>
      </c>
      <c r="N178" s="98">
        <v>12</v>
      </c>
      <c r="O178" s="137">
        <v>9.5</v>
      </c>
      <c r="P178" s="143">
        <v>0.72</v>
      </c>
      <c r="Q178" s="35"/>
      <c r="R178" s="35"/>
      <c r="S178" s="35">
        <f t="shared" si="172"/>
        <v>0.48</v>
      </c>
      <c r="T178" s="35">
        <f t="shared" si="173"/>
        <v>4</v>
      </c>
      <c r="U178" s="35">
        <f t="shared" si="174"/>
        <v>0</v>
      </c>
      <c r="V178" s="35"/>
      <c r="W178" s="35">
        <f t="shared" si="179"/>
        <v>7.1999999999999993</v>
      </c>
      <c r="X178" s="35">
        <f t="shared" si="176"/>
        <v>91.484999999999985</v>
      </c>
      <c r="Y178" s="35">
        <f t="shared" si="177"/>
        <v>86.128531959924615</v>
      </c>
      <c r="Z178" s="83">
        <f t="shared" si="178"/>
        <v>86.128531959924615</v>
      </c>
      <c r="AA178" s="100">
        <f t="shared" ref="AA178:AA205" si="180">2*K178</f>
        <v>19.259999999999998</v>
      </c>
      <c r="AB178" s="100">
        <f t="shared" ref="AB178:AB205" si="181">(SUM(Q178:W178)+AG178)-AA178</f>
        <v>83.905000000000001</v>
      </c>
      <c r="AC178" s="100">
        <f t="shared" ref="AC178:AC205" si="182">AE178*$AC$13+P178*$AC$14</f>
        <v>677.85110697971004</v>
      </c>
      <c r="AD178" s="100">
        <f t="shared" ref="AD178:AD205" si="183">SUM(AB178:AC178)</f>
        <v>761.75610697971001</v>
      </c>
      <c r="AE178" s="100">
        <f t="shared" ref="AE178:AE205" si="184">IF(LEFT(F178,3)="10K",(0.417*1.07*K178),IF(LEFT(F178,3)="14K",(0.585*1.05*K178),IF(LEFT(F178,3)="18K",(0.75*1.05*K178),0)))</f>
        <v>5.9152274999999994</v>
      </c>
      <c r="AG178" s="26">
        <f t="shared" ref="AG178:AG205" si="185">IF(AF178&gt;0,AF178*K178,X178)</f>
        <v>91.484999999999985</v>
      </c>
    </row>
    <row r="179" spans="1:33" s="26" customFormat="1" ht="27.6">
      <c r="A179" s="94">
        <v>8</v>
      </c>
      <c r="B179" s="93" t="s">
        <v>340</v>
      </c>
      <c r="C179" s="93" t="s">
        <v>341</v>
      </c>
      <c r="D179" s="93">
        <v>148260</v>
      </c>
      <c r="E179" s="93">
        <v>113</v>
      </c>
      <c r="F179" s="93" t="s">
        <v>73</v>
      </c>
      <c r="G179" s="95">
        <v>2</v>
      </c>
      <c r="H179" s="117">
        <v>16.350000000000001</v>
      </c>
      <c r="I179" s="117">
        <v>0.86</v>
      </c>
      <c r="J179" s="117">
        <v>0.62</v>
      </c>
      <c r="K179" s="118">
        <f t="shared" si="171"/>
        <v>14.870000000000003</v>
      </c>
      <c r="L179" s="97" t="s">
        <v>106</v>
      </c>
      <c r="M179" s="97" t="s">
        <v>75</v>
      </c>
      <c r="N179" s="98" t="s">
        <v>107</v>
      </c>
      <c r="O179" s="137">
        <v>8.5</v>
      </c>
      <c r="P179" s="143">
        <v>4.32</v>
      </c>
      <c r="Q179" s="35"/>
      <c r="R179" s="35"/>
      <c r="S179" s="35">
        <f>0.02*(28+4)*G179</f>
        <v>1.28</v>
      </c>
      <c r="T179" s="35">
        <f t="shared" si="173"/>
        <v>4</v>
      </c>
      <c r="U179" s="35">
        <f t="shared" si="174"/>
        <v>3.5688000000000004</v>
      </c>
      <c r="V179" s="35"/>
      <c r="W179" s="35">
        <f>(0.3*28+0.75*4)*G179</f>
        <v>22.8</v>
      </c>
      <c r="X179" s="35">
        <f t="shared" si="176"/>
        <v>126.39500000000002</v>
      </c>
      <c r="Y179" s="35">
        <f t="shared" si="177"/>
        <v>132.9939013752938</v>
      </c>
      <c r="Z179" s="83">
        <f t="shared" si="178"/>
        <v>132.9939013752938</v>
      </c>
      <c r="AA179" s="100">
        <f t="shared" si="180"/>
        <v>29.740000000000006</v>
      </c>
      <c r="AB179" s="100">
        <f t="shared" si="181"/>
        <v>128.30380000000002</v>
      </c>
      <c r="AC179" s="100">
        <f t="shared" si="182"/>
        <v>2169.3689818782614</v>
      </c>
      <c r="AD179" s="100">
        <f t="shared" si="183"/>
        <v>2297.6727818782615</v>
      </c>
      <c r="AE179" s="100">
        <f t="shared" si="184"/>
        <v>9.1338975000000016</v>
      </c>
      <c r="AG179" s="26">
        <f t="shared" si="185"/>
        <v>126.39500000000002</v>
      </c>
    </row>
    <row r="180" spans="1:33" s="26" customFormat="1" ht="42" thickBot="1">
      <c r="A180" s="94">
        <v>10</v>
      </c>
      <c r="B180" s="93" t="s">
        <v>343</v>
      </c>
      <c r="C180" s="93" t="s">
        <v>344</v>
      </c>
      <c r="D180" s="93">
        <v>148260</v>
      </c>
      <c r="E180" s="93">
        <v>115</v>
      </c>
      <c r="F180" s="93" t="s">
        <v>74</v>
      </c>
      <c r="G180" s="95">
        <v>1</v>
      </c>
      <c r="H180" s="117">
        <v>4.91</v>
      </c>
      <c r="I180" s="117">
        <v>0.05</v>
      </c>
      <c r="J180" s="117">
        <v>0.32</v>
      </c>
      <c r="K180" s="118">
        <f t="shared" si="171"/>
        <v>4.54</v>
      </c>
      <c r="L180" s="97" t="s">
        <v>345</v>
      </c>
      <c r="M180" s="97" t="s">
        <v>91</v>
      </c>
      <c r="N180" s="98" t="s">
        <v>346</v>
      </c>
      <c r="O180" s="137">
        <v>11.5</v>
      </c>
      <c r="P180" s="143">
        <v>0.24</v>
      </c>
      <c r="Q180" s="35"/>
      <c r="R180" s="35"/>
      <c r="S180" s="35">
        <f>0.02*(4+2+1)*G180</f>
        <v>0.14000000000000001</v>
      </c>
      <c r="T180" s="35">
        <f t="shared" si="173"/>
        <v>2</v>
      </c>
      <c r="U180" s="35">
        <f t="shared" si="174"/>
        <v>0</v>
      </c>
      <c r="V180" s="35"/>
      <c r="W180" s="35">
        <f>((0.3*4)+(2+1)*0.5)*G180</f>
        <v>2.7</v>
      </c>
      <c r="X180" s="35">
        <f t="shared" si="176"/>
        <v>52.21</v>
      </c>
      <c r="Y180" s="35">
        <f t="shared" si="177"/>
        <v>40.604728462934347</v>
      </c>
      <c r="Z180" s="83">
        <f t="shared" si="178"/>
        <v>40.604728462934347</v>
      </c>
      <c r="AA180" s="100">
        <f t="shared" si="180"/>
        <v>9.08</v>
      </c>
      <c r="AB180" s="100">
        <f t="shared" si="181"/>
        <v>47.97</v>
      </c>
      <c r="AC180" s="100">
        <f t="shared" si="182"/>
        <v>284.77094899323669</v>
      </c>
      <c r="AD180" s="100">
        <f t="shared" si="183"/>
        <v>332.74094899323666</v>
      </c>
      <c r="AE180" s="100">
        <f t="shared" si="184"/>
        <v>2.7886949999999997</v>
      </c>
      <c r="AG180" s="26">
        <f t="shared" si="185"/>
        <v>52.21</v>
      </c>
    </row>
    <row r="181" spans="1:33" s="27" customFormat="1" ht="15.9" customHeight="1">
      <c r="A181" s="86" t="s">
        <v>66</v>
      </c>
      <c r="B181" s="63"/>
      <c r="C181" s="63"/>
      <c r="D181" s="63"/>
      <c r="E181" s="63"/>
      <c r="F181" s="63"/>
      <c r="G181" s="64">
        <f>SUM(G174:G180)</f>
        <v>9</v>
      </c>
      <c r="H181" s="119"/>
      <c r="I181" s="119"/>
      <c r="J181" s="119"/>
      <c r="K181" s="119">
        <f>SUM(K174:K180)</f>
        <v>59.030000000000008</v>
      </c>
      <c r="L181" s="65"/>
      <c r="M181" s="65"/>
      <c r="N181" s="65"/>
      <c r="O181" s="138"/>
      <c r="P181" s="101">
        <f>SUM(P174:P180)</f>
        <v>7.2700000000000005</v>
      </c>
      <c r="Q181" s="66">
        <f>SUM(Q174:Q180)</f>
        <v>0</v>
      </c>
      <c r="R181" s="66">
        <f>SUM(R174:R180)</f>
        <v>0</v>
      </c>
      <c r="S181" s="66">
        <f>SUM(S174:S180)</f>
        <v>2.94</v>
      </c>
      <c r="T181" s="66">
        <f>SUM(T174:T180)</f>
        <v>22</v>
      </c>
      <c r="U181" s="66">
        <f>SUM(U174:U180)</f>
        <v>11.736000000000001</v>
      </c>
      <c r="V181" s="66">
        <f>SUM(V174:V180)</f>
        <v>0</v>
      </c>
      <c r="W181" s="66">
        <f>SUM(W174:W180)</f>
        <v>56.7</v>
      </c>
      <c r="X181" s="66">
        <f>SUM(X174:X180)</f>
        <v>598.05500000000006</v>
      </c>
      <c r="Y181" s="66">
        <f>SUM(Y174:Y180)</f>
        <v>527.95090774603841</v>
      </c>
      <c r="Z181" s="84">
        <f>SUM(Z174:Z180)</f>
        <v>527.95090774603841</v>
      </c>
      <c r="AA181" s="100"/>
      <c r="AB181" s="100"/>
      <c r="AC181" s="100"/>
      <c r="AD181" s="100"/>
      <c r="AE181" s="100"/>
      <c r="AF181" s="26"/>
      <c r="AG181" s="26"/>
    </row>
    <row r="182" spans="1:33" ht="15.9" customHeight="1">
      <c r="A182" s="52" t="s">
        <v>64</v>
      </c>
      <c r="K182" s="115"/>
      <c r="L182" s="48"/>
      <c r="M182" s="48"/>
      <c r="N182" s="48"/>
      <c r="W182" s="49"/>
      <c r="X182" s="80" t="s">
        <v>347</v>
      </c>
      <c r="Y182" s="92">
        <f>3034*1.02</f>
        <v>3094.68</v>
      </c>
      <c r="Z182" s="92">
        <f>3034*1.02</f>
        <v>3094.68</v>
      </c>
      <c r="AA182" s="100"/>
      <c r="AB182" s="100"/>
      <c r="AC182" s="100"/>
      <c r="AD182" s="100"/>
      <c r="AE182" s="100"/>
      <c r="AF182" s="26"/>
      <c r="AG182" s="26"/>
    </row>
    <row r="183" spans="1:33" s="91" customFormat="1" ht="27.6">
      <c r="A183" s="87" t="s">
        <v>4</v>
      </c>
      <c r="B183" s="88" t="s">
        <v>5</v>
      </c>
      <c r="C183" s="88" t="s">
        <v>24</v>
      </c>
      <c r="D183" s="88" t="s">
        <v>46</v>
      </c>
      <c r="E183" s="88" t="s">
        <v>67</v>
      </c>
      <c r="F183" s="88" t="s">
        <v>6</v>
      </c>
      <c r="G183" s="88" t="s">
        <v>7</v>
      </c>
      <c r="H183" s="116" t="s">
        <v>8</v>
      </c>
      <c r="I183" s="116" t="s">
        <v>47</v>
      </c>
      <c r="J183" s="116" t="s">
        <v>9</v>
      </c>
      <c r="K183" s="116" t="s">
        <v>14</v>
      </c>
      <c r="L183" s="89" t="s">
        <v>20</v>
      </c>
      <c r="M183" s="89" t="s">
        <v>23</v>
      </c>
      <c r="N183" s="89" t="s">
        <v>21</v>
      </c>
      <c r="O183" s="136" t="s">
        <v>10</v>
      </c>
      <c r="P183" s="90" t="s">
        <v>49</v>
      </c>
      <c r="Q183" s="45" t="s">
        <v>50</v>
      </c>
      <c r="R183" s="45" t="s">
        <v>55</v>
      </c>
      <c r="S183" s="45" t="s">
        <v>70</v>
      </c>
      <c r="T183" s="45" t="s">
        <v>13</v>
      </c>
      <c r="U183" s="45" t="s">
        <v>52</v>
      </c>
      <c r="V183" s="45" t="s">
        <v>48</v>
      </c>
      <c r="W183" s="45" t="s">
        <v>15</v>
      </c>
      <c r="X183" s="50" t="s">
        <v>12</v>
      </c>
      <c r="Y183" s="160" t="s">
        <v>22</v>
      </c>
      <c r="Z183" s="50" t="s">
        <v>68</v>
      </c>
      <c r="AA183" s="100"/>
      <c r="AB183" s="100"/>
      <c r="AC183" s="100"/>
      <c r="AD183" s="100"/>
      <c r="AE183" s="100"/>
      <c r="AF183" s="26"/>
      <c r="AG183" s="26"/>
    </row>
    <row r="184" spans="1:33" s="26" customFormat="1" ht="55.2">
      <c r="A184" s="165" t="s">
        <v>348</v>
      </c>
      <c r="B184" s="96" t="s">
        <v>352</v>
      </c>
      <c r="C184" s="93" t="s">
        <v>353</v>
      </c>
      <c r="D184" s="93">
        <v>148261</v>
      </c>
      <c r="E184" s="93">
        <v>109</v>
      </c>
      <c r="F184" s="93" t="s">
        <v>73</v>
      </c>
      <c r="G184" s="95">
        <v>5</v>
      </c>
      <c r="H184" s="117">
        <v>23.740000000000002</v>
      </c>
      <c r="I184" s="117">
        <v>2.02</v>
      </c>
      <c r="J184" s="117">
        <v>0.89999999999999991</v>
      </c>
      <c r="K184" s="118">
        <f t="shared" ref="K184:K188" si="186">H184-I184-J184</f>
        <v>20.820000000000004</v>
      </c>
      <c r="L184" s="97" t="s">
        <v>354</v>
      </c>
      <c r="M184" s="97" t="s">
        <v>174</v>
      </c>
      <c r="N184" s="98" t="s">
        <v>355</v>
      </c>
      <c r="O184" s="137">
        <v>10</v>
      </c>
      <c r="P184" s="143">
        <v>10.115</v>
      </c>
      <c r="Q184" s="35"/>
      <c r="R184" s="35"/>
      <c r="S184" s="35">
        <f>0.02*(8+2+2+41)*G184</f>
        <v>5.3000000000000007</v>
      </c>
      <c r="T184" s="35">
        <f>3*G184</f>
        <v>15</v>
      </c>
      <c r="U184" s="35">
        <f t="shared" ref="U184:U188" si="187">IF(RIGHT(F184,2)="WG",K184*$AB$4,IF(RIGHT(F184,3)="WRG",K184*$AB$4+3*G184,IF(RIGHT(F184,3)="WYG",K184*$AB$4+3*G184,IF(RIGHT(F184,3)="WYR",K184*$AB$4+3*G184,0))))</f>
        <v>4.9968000000000004</v>
      </c>
      <c r="V184" s="35"/>
      <c r="W184" s="35">
        <f>((0.75*8)+(0.5*2)+(2+41)*0.3)*G184</f>
        <v>99.5</v>
      </c>
      <c r="X184" s="35">
        <f t="shared" ref="X184:X188" si="188">K184*O184</f>
        <v>208.20000000000005</v>
      </c>
      <c r="Y184" s="35">
        <f>($Y$182/31.1035*IF(LEFT(F184,3)="10K",(0.417*1.07*K184),IF(LEFT(F184,3)="14K",(0.585*1.05*K184),IF(LEFT(F184,3)="18K",(0.75*1.05*K184),0))))*0.5</f>
        <v>636.21276859195916</v>
      </c>
      <c r="Z184" s="83">
        <f>($Z$182/31.1035*IF(LEFT(F184,3)="10K",(0.417*1.07*K184),IF(LEFT(F184,3)="14K",(0.585*1.05*K184),IF(LEFT(F184,3)="18K",(0.75*1.05*K184),0))))*0.5</f>
        <v>636.21276859195916</v>
      </c>
      <c r="AA184" s="100">
        <f t="shared" si="180"/>
        <v>41.640000000000008</v>
      </c>
      <c r="AB184" s="100">
        <f t="shared" si="181"/>
        <v>291.35680000000008</v>
      </c>
      <c r="AC184" s="100">
        <f t="shared" si="182"/>
        <v>4460.3992969441224</v>
      </c>
      <c r="AD184" s="100">
        <f t="shared" si="183"/>
        <v>4751.7560969441229</v>
      </c>
      <c r="AE184" s="100">
        <f t="shared" si="184"/>
        <v>12.788685000000001</v>
      </c>
      <c r="AG184" s="26">
        <f t="shared" si="185"/>
        <v>208.20000000000005</v>
      </c>
    </row>
    <row r="185" spans="1:33" s="26" customFormat="1" ht="55.2">
      <c r="A185" s="94"/>
      <c r="B185" s="96" t="s">
        <v>352</v>
      </c>
      <c r="C185" s="93" t="s">
        <v>356</v>
      </c>
      <c r="D185" s="93">
        <v>148261</v>
      </c>
      <c r="E185" s="93">
        <v>110</v>
      </c>
      <c r="F185" s="93" t="s">
        <v>74</v>
      </c>
      <c r="G185" s="95">
        <v>2</v>
      </c>
      <c r="H185" s="117">
        <v>9.35</v>
      </c>
      <c r="I185" s="117">
        <v>0.8</v>
      </c>
      <c r="J185" s="117">
        <v>0.36</v>
      </c>
      <c r="K185" s="118">
        <f t="shared" si="186"/>
        <v>8.19</v>
      </c>
      <c r="L185" s="97" t="s">
        <v>354</v>
      </c>
      <c r="M185" s="97" t="s">
        <v>174</v>
      </c>
      <c r="N185" s="98" t="s">
        <v>355</v>
      </c>
      <c r="O185" s="137">
        <v>10</v>
      </c>
      <c r="P185" s="143">
        <v>4.0199999999999996</v>
      </c>
      <c r="Q185" s="35"/>
      <c r="R185" s="35"/>
      <c r="S185" s="35">
        <f t="shared" ref="S185:S186" si="189">0.02*(8+2+2+41)*G185</f>
        <v>2.12</v>
      </c>
      <c r="T185" s="35">
        <f t="shared" ref="T185:T186" si="190">3*G185</f>
        <v>6</v>
      </c>
      <c r="U185" s="35">
        <f t="shared" si="187"/>
        <v>0</v>
      </c>
      <c r="V185" s="35"/>
      <c r="W185" s="35">
        <f t="shared" ref="W185:W186" si="191">((0.75*8)+(0.5*2)+(2+41)*0.3)*G185</f>
        <v>39.799999999999997</v>
      </c>
      <c r="X185" s="35">
        <f t="shared" si="188"/>
        <v>81.899999999999991</v>
      </c>
      <c r="Y185" s="35">
        <f t="shared" ref="Y185:Y188" si="192">($Y$182/31.1035*IF(LEFT(F185,3)="10K",(0.417*1.07*K185),IF(LEFT(F185,3)="14K",(0.585*1.05*K185),IF(LEFT(F185,3)="18K",(0.75*1.05*K185),0))))*0.5</f>
        <v>250.26813519539596</v>
      </c>
      <c r="Z185" s="83">
        <f t="shared" ref="Z185:Z188" si="193">($Z$182/31.1035*IF(LEFT(F185,3)="10K",(0.417*1.07*K185),IF(LEFT(F185,3)="14K",(0.585*1.05*K185),IF(LEFT(F185,3)="18K",(0.75*1.05*K185),0))))*0.5</f>
        <v>250.26813519539596</v>
      </c>
      <c r="AA185" s="100">
        <f t="shared" si="180"/>
        <v>16.38</v>
      </c>
      <c r="AB185" s="100">
        <f t="shared" si="181"/>
        <v>113.44</v>
      </c>
      <c r="AC185" s="100">
        <f t="shared" si="182"/>
        <v>1768.9581656367147</v>
      </c>
      <c r="AD185" s="100">
        <f t="shared" si="183"/>
        <v>1882.3981656367148</v>
      </c>
      <c r="AE185" s="100">
        <f t="shared" si="184"/>
        <v>5.0307074999999992</v>
      </c>
      <c r="AG185" s="26">
        <f t="shared" si="185"/>
        <v>81.899999999999991</v>
      </c>
    </row>
    <row r="186" spans="1:33" s="26" customFormat="1" ht="55.2">
      <c r="A186" s="94"/>
      <c r="B186" s="96" t="s">
        <v>352</v>
      </c>
      <c r="C186" s="93" t="s">
        <v>357</v>
      </c>
      <c r="D186" s="93">
        <v>148261</v>
      </c>
      <c r="E186" s="93">
        <v>104</v>
      </c>
      <c r="F186" s="93" t="s">
        <v>159</v>
      </c>
      <c r="G186" s="95">
        <v>1</v>
      </c>
      <c r="H186" s="117">
        <v>4.38</v>
      </c>
      <c r="I186" s="117">
        <v>0.4</v>
      </c>
      <c r="J186" s="117">
        <v>0.18</v>
      </c>
      <c r="K186" s="118">
        <f t="shared" si="186"/>
        <v>3.8</v>
      </c>
      <c r="L186" s="97" t="s">
        <v>354</v>
      </c>
      <c r="M186" s="97" t="s">
        <v>174</v>
      </c>
      <c r="N186" s="98" t="s">
        <v>355</v>
      </c>
      <c r="O186" s="137">
        <v>10</v>
      </c>
      <c r="P186" s="143">
        <v>2</v>
      </c>
      <c r="Q186" s="35"/>
      <c r="R186" s="35"/>
      <c r="S186" s="35">
        <f t="shared" si="189"/>
        <v>1.06</v>
      </c>
      <c r="T186" s="35">
        <f t="shared" si="190"/>
        <v>3</v>
      </c>
      <c r="U186" s="35">
        <f t="shared" si="187"/>
        <v>0</v>
      </c>
      <c r="V186" s="35"/>
      <c r="W186" s="35">
        <f t="shared" si="191"/>
        <v>19.899999999999999</v>
      </c>
      <c r="X186" s="35">
        <f t="shared" si="188"/>
        <v>38</v>
      </c>
      <c r="Y186" s="35">
        <f t="shared" si="192"/>
        <v>116.11952548748532</v>
      </c>
      <c r="Z186" s="83">
        <f t="shared" si="193"/>
        <v>116.11952548748532</v>
      </c>
      <c r="AA186" s="100">
        <f t="shared" si="180"/>
        <v>7.6</v>
      </c>
      <c r="AB186" s="100">
        <f t="shared" si="181"/>
        <v>54.36</v>
      </c>
      <c r="AC186" s="100">
        <f t="shared" si="182"/>
        <v>867.93304161030596</v>
      </c>
      <c r="AD186" s="100">
        <f t="shared" si="183"/>
        <v>922.29304161030598</v>
      </c>
      <c r="AE186" s="100">
        <f t="shared" si="184"/>
        <v>2.3341499999999997</v>
      </c>
      <c r="AG186" s="26">
        <f t="shared" si="185"/>
        <v>38</v>
      </c>
    </row>
    <row r="187" spans="1:33" s="26" customFormat="1" ht="27.6">
      <c r="A187" s="94">
        <v>10</v>
      </c>
      <c r="B187" s="96" t="s">
        <v>358</v>
      </c>
      <c r="C187" s="93" t="s">
        <v>359</v>
      </c>
      <c r="D187" s="93">
        <v>148261</v>
      </c>
      <c r="E187" s="93">
        <v>118</v>
      </c>
      <c r="F187" s="93" t="s">
        <v>73</v>
      </c>
      <c r="G187" s="95">
        <v>3</v>
      </c>
      <c r="H187" s="117">
        <v>59.86</v>
      </c>
      <c r="I187" s="117">
        <v>2.33</v>
      </c>
      <c r="J187" s="117">
        <v>0.46</v>
      </c>
      <c r="K187" s="118">
        <f t="shared" si="186"/>
        <v>57.07</v>
      </c>
      <c r="L187" s="97">
        <v>2.5499999999999998</v>
      </c>
      <c r="M187" s="97" t="s">
        <v>63</v>
      </c>
      <c r="N187" s="98">
        <v>64</v>
      </c>
      <c r="O187" s="137">
        <v>11</v>
      </c>
      <c r="P187" s="143">
        <v>11.67</v>
      </c>
      <c r="Q187" s="35"/>
      <c r="R187" s="35"/>
      <c r="S187" s="35">
        <f t="shared" ref="S187" si="194">0.02*N187*G187</f>
        <v>3.84</v>
      </c>
      <c r="T187" s="35">
        <f>8*G187</f>
        <v>24</v>
      </c>
      <c r="U187" s="35">
        <f t="shared" si="187"/>
        <v>13.6968</v>
      </c>
      <c r="V187" s="35"/>
      <c r="W187" s="35">
        <f>G187*N187*0.5</f>
        <v>96</v>
      </c>
      <c r="X187" s="35">
        <f t="shared" si="188"/>
        <v>627.77</v>
      </c>
      <c r="Y187" s="35">
        <f t="shared" si="192"/>
        <v>1743.9319262028389</v>
      </c>
      <c r="Z187" s="83">
        <f t="shared" si="193"/>
        <v>1743.9319262028389</v>
      </c>
      <c r="AA187" s="100">
        <f t="shared" si="180"/>
        <v>114.14</v>
      </c>
      <c r="AB187" s="100">
        <f t="shared" si="181"/>
        <v>651.16679999999997</v>
      </c>
      <c r="AC187" s="100">
        <f t="shared" si="182"/>
        <v>6607.744019796135</v>
      </c>
      <c r="AD187" s="100">
        <f t="shared" si="183"/>
        <v>7258.910819796135</v>
      </c>
      <c r="AE187" s="100">
        <f t="shared" si="184"/>
        <v>35.0552475</v>
      </c>
      <c r="AG187" s="26">
        <f t="shared" si="185"/>
        <v>627.77</v>
      </c>
    </row>
    <row r="188" spans="1:33" s="26" customFormat="1" ht="28.2" thickBot="1">
      <c r="A188" s="94">
        <v>11</v>
      </c>
      <c r="B188" s="93" t="s">
        <v>360</v>
      </c>
      <c r="C188" s="93" t="s">
        <v>361</v>
      </c>
      <c r="D188" s="93">
        <v>148261</v>
      </c>
      <c r="E188" s="93">
        <v>119</v>
      </c>
      <c r="F188" s="93" t="s">
        <v>73</v>
      </c>
      <c r="G188" s="95">
        <v>1</v>
      </c>
      <c r="H188" s="117">
        <v>3.55</v>
      </c>
      <c r="I188" s="117">
        <v>0.09</v>
      </c>
      <c r="J188" s="117">
        <v>0.18</v>
      </c>
      <c r="K188" s="118">
        <f t="shared" si="186"/>
        <v>3.28</v>
      </c>
      <c r="L188" s="97" t="s">
        <v>362</v>
      </c>
      <c r="M188" s="97" t="s">
        <v>75</v>
      </c>
      <c r="N188" s="98" t="s">
        <v>363</v>
      </c>
      <c r="O188" s="137">
        <v>12</v>
      </c>
      <c r="P188" s="143">
        <v>0.45</v>
      </c>
      <c r="Q188" s="35"/>
      <c r="R188" s="35"/>
      <c r="S188" s="35">
        <f>0.02*(9+71)*G188</f>
        <v>1.6</v>
      </c>
      <c r="T188" s="35"/>
      <c r="U188" s="35">
        <f t="shared" si="187"/>
        <v>0.7871999999999999</v>
      </c>
      <c r="V188" s="35"/>
      <c r="W188" s="35">
        <f>G188*(9+71)*0.3</f>
        <v>24</v>
      </c>
      <c r="X188" s="35">
        <f t="shared" si="188"/>
        <v>39.36</v>
      </c>
      <c r="Y188" s="35">
        <f t="shared" si="192"/>
        <v>100.2294851576189</v>
      </c>
      <c r="Z188" s="83">
        <f t="shared" si="193"/>
        <v>100.2294851576189</v>
      </c>
      <c r="AA188" s="100">
        <f t="shared" si="180"/>
        <v>6.56</v>
      </c>
      <c r="AB188" s="100">
        <f t="shared" si="181"/>
        <v>59.18719999999999</v>
      </c>
      <c r="AC188" s="100">
        <f t="shared" si="182"/>
        <v>302.53298436231881</v>
      </c>
      <c r="AD188" s="100">
        <f t="shared" si="183"/>
        <v>361.72018436231883</v>
      </c>
      <c r="AE188" s="100">
        <f t="shared" si="184"/>
        <v>2.0147399999999998</v>
      </c>
      <c r="AG188" s="26">
        <f t="shared" si="185"/>
        <v>39.36</v>
      </c>
    </row>
    <row r="189" spans="1:33" s="27" customFormat="1" ht="15.9" customHeight="1">
      <c r="A189" s="86" t="s">
        <v>66</v>
      </c>
      <c r="B189" s="63"/>
      <c r="C189" s="63"/>
      <c r="D189" s="63"/>
      <c r="E189" s="63"/>
      <c r="F189" s="63"/>
      <c r="G189" s="64">
        <f>SUM(G184:G188)</f>
        <v>12</v>
      </c>
      <c r="H189" s="119"/>
      <c r="I189" s="119"/>
      <c r="J189" s="119"/>
      <c r="K189" s="119">
        <f>SUM(K184:K188)</f>
        <v>93.16</v>
      </c>
      <c r="L189" s="65"/>
      <c r="M189" s="65"/>
      <c r="N189" s="65"/>
      <c r="O189" s="138"/>
      <c r="P189" s="101">
        <f>SUM(P184:P188)</f>
        <v>28.254999999999999</v>
      </c>
      <c r="Q189" s="66">
        <f>SUM(Q184:Q188)</f>
        <v>0</v>
      </c>
      <c r="R189" s="66">
        <f>SUM(R184:R188)</f>
        <v>0</v>
      </c>
      <c r="S189" s="66">
        <f>SUM(S184:S188)</f>
        <v>13.92</v>
      </c>
      <c r="T189" s="66">
        <f>SUM(T184:T188)</f>
        <v>48</v>
      </c>
      <c r="U189" s="66">
        <f>SUM(U184:U188)</f>
        <v>19.480799999999999</v>
      </c>
      <c r="V189" s="66">
        <f>SUM(V184:V188)</f>
        <v>0</v>
      </c>
      <c r="W189" s="66">
        <f>SUM(W184:W188)</f>
        <v>279.20000000000005</v>
      </c>
      <c r="X189" s="66">
        <f>SUM(X184:X188)</f>
        <v>995.23</v>
      </c>
      <c r="Y189" s="66">
        <f>SUM(Y184:Y188)</f>
        <v>2846.7618406352985</v>
      </c>
      <c r="Z189" s="84">
        <f>SUM(Z184:Z188)</f>
        <v>2846.7618406352985</v>
      </c>
      <c r="AA189" s="100"/>
      <c r="AB189" s="100"/>
      <c r="AC189" s="100"/>
      <c r="AD189" s="100"/>
      <c r="AE189" s="100"/>
      <c r="AF189" s="26"/>
      <c r="AG189" s="26"/>
    </row>
    <row r="190" spans="1:33" ht="15.9" customHeight="1">
      <c r="A190" s="52" t="s">
        <v>64</v>
      </c>
      <c r="K190" s="115"/>
      <c r="L190" s="48"/>
      <c r="M190" s="48"/>
      <c r="N190" s="48"/>
      <c r="W190" s="49"/>
      <c r="X190" s="80" t="s">
        <v>347</v>
      </c>
      <c r="Y190" s="92">
        <f>3034*1.02</f>
        <v>3094.68</v>
      </c>
      <c r="Z190" s="92">
        <f>3034*1.02</f>
        <v>3094.68</v>
      </c>
      <c r="AA190" s="100"/>
      <c r="AB190" s="100"/>
      <c r="AC190" s="100"/>
      <c r="AD190" s="100"/>
      <c r="AE190" s="100"/>
      <c r="AF190" s="26"/>
      <c r="AG190" s="26"/>
    </row>
    <row r="191" spans="1:33" s="91" customFormat="1" ht="27.6">
      <c r="A191" s="87" t="s">
        <v>4</v>
      </c>
      <c r="B191" s="88" t="s">
        <v>5</v>
      </c>
      <c r="C191" s="88" t="s">
        <v>24</v>
      </c>
      <c r="D191" s="88" t="s">
        <v>46</v>
      </c>
      <c r="E191" s="88" t="s">
        <v>67</v>
      </c>
      <c r="F191" s="88" t="s">
        <v>6</v>
      </c>
      <c r="G191" s="88" t="s">
        <v>7</v>
      </c>
      <c r="H191" s="116" t="s">
        <v>8</v>
      </c>
      <c r="I191" s="116" t="s">
        <v>47</v>
      </c>
      <c r="J191" s="116" t="s">
        <v>9</v>
      </c>
      <c r="K191" s="116" t="s">
        <v>14</v>
      </c>
      <c r="L191" s="89" t="s">
        <v>20</v>
      </c>
      <c r="M191" s="89" t="s">
        <v>23</v>
      </c>
      <c r="N191" s="89" t="s">
        <v>21</v>
      </c>
      <c r="O191" s="136" t="s">
        <v>10</v>
      </c>
      <c r="P191" s="90" t="s">
        <v>49</v>
      </c>
      <c r="Q191" s="45" t="s">
        <v>50</v>
      </c>
      <c r="R191" s="45" t="s">
        <v>55</v>
      </c>
      <c r="S191" s="45" t="s">
        <v>70</v>
      </c>
      <c r="T191" s="45" t="s">
        <v>13</v>
      </c>
      <c r="U191" s="45" t="s">
        <v>52</v>
      </c>
      <c r="V191" s="45" t="s">
        <v>48</v>
      </c>
      <c r="W191" s="45" t="s">
        <v>15</v>
      </c>
      <c r="X191" s="50" t="s">
        <v>12</v>
      </c>
      <c r="Y191" s="160" t="s">
        <v>22</v>
      </c>
      <c r="Z191" s="50" t="s">
        <v>68</v>
      </c>
      <c r="AA191" s="100"/>
      <c r="AB191" s="100"/>
      <c r="AC191" s="100"/>
      <c r="AD191" s="100"/>
      <c r="AE191" s="100"/>
      <c r="AF191" s="26"/>
      <c r="AG191" s="26"/>
    </row>
    <row r="192" spans="1:33" s="26" customFormat="1" ht="110.4">
      <c r="A192" s="165" t="s">
        <v>366</v>
      </c>
      <c r="B192" s="93" t="s">
        <v>368</v>
      </c>
      <c r="C192" s="93" t="s">
        <v>369</v>
      </c>
      <c r="D192" s="93">
        <v>148261</v>
      </c>
      <c r="E192" s="93">
        <v>115</v>
      </c>
      <c r="F192" s="93" t="s">
        <v>74</v>
      </c>
      <c r="G192" s="95">
        <v>5</v>
      </c>
      <c r="H192" s="117">
        <v>26.61</v>
      </c>
      <c r="I192" s="117">
        <v>2.74</v>
      </c>
      <c r="J192" s="117">
        <v>0</v>
      </c>
      <c r="K192" s="118">
        <f t="shared" ref="K192:K193" si="195">H192-I192-J192</f>
        <v>23.869999999999997</v>
      </c>
      <c r="L192" s="97" t="s">
        <v>370</v>
      </c>
      <c r="M192" s="97" t="s">
        <v>371</v>
      </c>
      <c r="N192" s="98" t="s">
        <v>372</v>
      </c>
      <c r="O192" s="137" t="s">
        <v>373</v>
      </c>
      <c r="P192" s="143">
        <v>1.53</v>
      </c>
      <c r="Q192" s="35">
        <f>(30+5)*G192</f>
        <v>175</v>
      </c>
      <c r="R192" s="35"/>
      <c r="S192" s="35">
        <f>0.02*(36+4+8)*G192</f>
        <v>4.8</v>
      </c>
      <c r="T192" s="35"/>
      <c r="U192" s="35"/>
      <c r="V192" s="35">
        <f>13*G192</f>
        <v>65</v>
      </c>
      <c r="W192" s="35">
        <f>G192*(36+4+8)*0.3</f>
        <v>72</v>
      </c>
      <c r="X192" s="35">
        <f>7.5*K192+2*4*G192</f>
        <v>219.02499999999998</v>
      </c>
      <c r="Y192" s="35">
        <f t="shared" ref="Y192:Y193" si="196">($Y$190/31.1035*IF(LEFT(F192,3)="10K",(0.417*1.07*K192),IF(LEFT(F192,3)="14K",(0.585*1.05*K192),IF(LEFT(F192,3)="18K",(0.75*1.05*K192),0))))*0.5</f>
        <v>729.41396668059849</v>
      </c>
      <c r="Z192" s="83">
        <f t="shared" ref="Z192:Z193" si="197">($Z$190/31.1035*IF(LEFT(F192,3)="10K",(0.417*1.07*K192),IF(LEFT(F192,3)="14K",(0.585*1.05*K192),IF(LEFT(F192,3)="18K",(0.75*1.05*K192),0))))*0.5</f>
        <v>729.41396668059849</v>
      </c>
      <c r="AA192" s="100">
        <f t="shared" si="180"/>
        <v>47.739999999999995</v>
      </c>
      <c r="AB192" s="100">
        <f t="shared" si="181"/>
        <v>488.08500000000004</v>
      </c>
      <c r="AC192" s="100">
        <f t="shared" si="182"/>
        <v>1591.0784148318839</v>
      </c>
      <c r="AD192" s="100">
        <f t="shared" si="183"/>
        <v>2079.163414831884</v>
      </c>
      <c r="AE192" s="100">
        <f t="shared" si="184"/>
        <v>14.662147499999998</v>
      </c>
      <c r="AG192" s="26">
        <f t="shared" si="185"/>
        <v>219.02499999999998</v>
      </c>
    </row>
    <row r="193" spans="1:33" s="26" customFormat="1" ht="124.8" thickBot="1">
      <c r="A193" s="94">
        <v>3</v>
      </c>
      <c r="B193" s="96" t="s">
        <v>77</v>
      </c>
      <c r="C193" s="93" t="s">
        <v>78</v>
      </c>
      <c r="D193" s="93">
        <v>148261</v>
      </c>
      <c r="E193" s="93">
        <v>122</v>
      </c>
      <c r="F193" s="93" t="s">
        <v>74</v>
      </c>
      <c r="G193" s="95">
        <v>1</v>
      </c>
      <c r="H193" s="117">
        <v>4.6100000000000003</v>
      </c>
      <c r="I193" s="117">
        <v>0.16</v>
      </c>
      <c r="J193" s="117">
        <v>0.26</v>
      </c>
      <c r="K193" s="118">
        <f t="shared" si="195"/>
        <v>4.1900000000000004</v>
      </c>
      <c r="L193" s="97" t="s">
        <v>123</v>
      </c>
      <c r="M193" s="97" t="s">
        <v>80</v>
      </c>
      <c r="N193" s="98" t="s">
        <v>81</v>
      </c>
      <c r="O193" s="137">
        <v>14</v>
      </c>
      <c r="P193" s="143">
        <v>0.2</v>
      </c>
      <c r="Q193" s="35"/>
      <c r="R193" s="35"/>
      <c r="S193" s="35">
        <f>0.02*(18+8+10)*G193</f>
        <v>0.72</v>
      </c>
      <c r="T193" s="35">
        <f>3*G193</f>
        <v>3</v>
      </c>
      <c r="U193" s="35"/>
      <c r="V193" s="35">
        <f>50*1+70*1</f>
        <v>120</v>
      </c>
      <c r="W193" s="35">
        <f>G193*(18+8+10)*0.3</f>
        <v>10.799999999999999</v>
      </c>
      <c r="X193" s="35">
        <f t="shared" ref="X193" si="198">K193*O193</f>
        <v>58.660000000000004</v>
      </c>
      <c r="Y193" s="35">
        <f t="shared" si="196"/>
        <v>128.03705573488514</v>
      </c>
      <c r="Z193" s="83">
        <f t="shared" si="197"/>
        <v>128.03705573488514</v>
      </c>
      <c r="AA193" s="100">
        <f t="shared" si="180"/>
        <v>8.3800000000000008</v>
      </c>
      <c r="AB193" s="100">
        <f t="shared" si="181"/>
        <v>184.8</v>
      </c>
      <c r="AC193" s="100">
        <f t="shared" si="182"/>
        <v>255.29436416103061</v>
      </c>
      <c r="AD193" s="100">
        <f t="shared" si="183"/>
        <v>440.09436416103063</v>
      </c>
      <c r="AE193" s="100">
        <f t="shared" si="184"/>
        <v>2.5737075000000003</v>
      </c>
      <c r="AG193" s="26">
        <f t="shared" si="185"/>
        <v>58.660000000000004</v>
      </c>
    </row>
    <row r="194" spans="1:33" s="27" customFormat="1" ht="15.9" customHeight="1">
      <c r="A194" s="86" t="s">
        <v>66</v>
      </c>
      <c r="B194" s="63"/>
      <c r="C194" s="63"/>
      <c r="D194" s="63"/>
      <c r="E194" s="63"/>
      <c r="F194" s="63"/>
      <c r="G194" s="64">
        <f>SUM(G192:G193)</f>
        <v>6</v>
      </c>
      <c r="H194" s="119"/>
      <c r="I194" s="119"/>
      <c r="J194" s="119"/>
      <c r="K194" s="119">
        <f>SUM(K192:K193)</f>
        <v>28.06</v>
      </c>
      <c r="L194" s="65"/>
      <c r="M194" s="65"/>
      <c r="N194" s="65"/>
      <c r="O194" s="138"/>
      <c r="P194" s="101">
        <f>SUM(P192:P193)</f>
        <v>1.73</v>
      </c>
      <c r="Q194" s="66">
        <f>SUM(Q192:Q193)</f>
        <v>175</v>
      </c>
      <c r="R194" s="66">
        <f>SUM(R192:R193)</f>
        <v>0</v>
      </c>
      <c r="S194" s="66">
        <f>SUM(S192:S193)</f>
        <v>5.52</v>
      </c>
      <c r="T194" s="66">
        <f>SUM(T192:T193)</f>
        <v>3</v>
      </c>
      <c r="U194" s="66">
        <f>SUM(U192:U193)</f>
        <v>0</v>
      </c>
      <c r="V194" s="66">
        <f>SUM(V192:V193)</f>
        <v>185</v>
      </c>
      <c r="W194" s="66">
        <f>SUM(W192:W193)</f>
        <v>82.8</v>
      </c>
      <c r="X194" s="66">
        <f>SUM(X192:X193)</f>
        <v>277.685</v>
      </c>
      <c r="Y194" s="66">
        <f>SUM(Y192:Y193)</f>
        <v>857.45102241548364</v>
      </c>
      <c r="Z194" s="84">
        <f>SUM(Z192:Z193)</f>
        <v>857.45102241548364</v>
      </c>
      <c r="AA194" s="100"/>
      <c r="AB194" s="100"/>
      <c r="AC194" s="100"/>
      <c r="AD194" s="100"/>
      <c r="AE194" s="100"/>
      <c r="AF194" s="26"/>
      <c r="AG194" s="26"/>
    </row>
    <row r="195" spans="1:33" ht="15.9" customHeight="1">
      <c r="A195" s="52" t="s">
        <v>64</v>
      </c>
      <c r="K195" s="115"/>
      <c r="L195" s="48"/>
      <c r="M195" s="48"/>
      <c r="N195" s="48"/>
      <c r="W195" s="49"/>
      <c r="X195" s="80" t="s">
        <v>180</v>
      </c>
      <c r="Y195" s="92">
        <f>3021.7*1.02</f>
        <v>3082.134</v>
      </c>
      <c r="Z195" s="92">
        <f>3021.7*1.02</f>
        <v>3082.134</v>
      </c>
      <c r="AA195" s="100"/>
      <c r="AB195" s="100"/>
      <c r="AC195" s="100"/>
      <c r="AD195" s="100"/>
      <c r="AE195" s="100"/>
      <c r="AF195" s="26"/>
      <c r="AG195" s="26"/>
    </row>
    <row r="196" spans="1:33" s="91" customFormat="1" ht="27.6">
      <c r="A196" s="87" t="s">
        <v>4</v>
      </c>
      <c r="B196" s="88" t="s">
        <v>5</v>
      </c>
      <c r="C196" s="88" t="s">
        <v>24</v>
      </c>
      <c r="D196" s="88" t="s">
        <v>46</v>
      </c>
      <c r="E196" s="88" t="s">
        <v>67</v>
      </c>
      <c r="F196" s="88" t="s">
        <v>6</v>
      </c>
      <c r="G196" s="88" t="s">
        <v>7</v>
      </c>
      <c r="H196" s="116" t="s">
        <v>8</v>
      </c>
      <c r="I196" s="116" t="s">
        <v>47</v>
      </c>
      <c r="J196" s="116" t="s">
        <v>9</v>
      </c>
      <c r="K196" s="116" t="s">
        <v>14</v>
      </c>
      <c r="L196" s="89" t="s">
        <v>20</v>
      </c>
      <c r="M196" s="89" t="s">
        <v>23</v>
      </c>
      <c r="N196" s="89" t="s">
        <v>21</v>
      </c>
      <c r="O196" s="136" t="s">
        <v>10</v>
      </c>
      <c r="P196" s="90" t="s">
        <v>49</v>
      </c>
      <c r="Q196" s="45" t="s">
        <v>50</v>
      </c>
      <c r="R196" s="45" t="s">
        <v>55</v>
      </c>
      <c r="S196" s="45" t="s">
        <v>70</v>
      </c>
      <c r="T196" s="45" t="s">
        <v>13</v>
      </c>
      <c r="U196" s="45" t="s">
        <v>52</v>
      </c>
      <c r="V196" s="45" t="s">
        <v>48</v>
      </c>
      <c r="W196" s="45" t="s">
        <v>15</v>
      </c>
      <c r="X196" s="50" t="s">
        <v>12</v>
      </c>
      <c r="Y196" s="160" t="s">
        <v>22</v>
      </c>
      <c r="Z196" s="50" t="s">
        <v>68</v>
      </c>
      <c r="AA196" s="100"/>
      <c r="AB196" s="100"/>
      <c r="AC196" s="100"/>
      <c r="AD196" s="100"/>
      <c r="AE196" s="100"/>
      <c r="AF196" s="26"/>
      <c r="AG196" s="26"/>
    </row>
    <row r="197" spans="1:33" s="26" customFormat="1" ht="27.6">
      <c r="A197" s="165" t="s">
        <v>374</v>
      </c>
      <c r="B197" s="93" t="s">
        <v>375</v>
      </c>
      <c r="C197" s="93" t="s">
        <v>376</v>
      </c>
      <c r="D197" s="93">
        <v>148262</v>
      </c>
      <c r="E197" s="93">
        <v>103</v>
      </c>
      <c r="F197" s="93" t="s">
        <v>73</v>
      </c>
      <c r="G197" s="95">
        <v>2</v>
      </c>
      <c r="H197" s="117">
        <v>19.41</v>
      </c>
      <c r="I197" s="117">
        <v>0.38</v>
      </c>
      <c r="J197" s="117">
        <v>0.62</v>
      </c>
      <c r="K197" s="118">
        <f t="shared" ref="K197:K205" si="199">H197-I197-J197</f>
        <v>18.41</v>
      </c>
      <c r="L197" s="97">
        <v>2</v>
      </c>
      <c r="M197" s="97" t="s">
        <v>63</v>
      </c>
      <c r="N197" s="98">
        <v>29</v>
      </c>
      <c r="O197" s="137">
        <v>10</v>
      </c>
      <c r="P197" s="143">
        <v>1.89</v>
      </c>
      <c r="Q197" s="35"/>
      <c r="R197" s="35"/>
      <c r="S197" s="35">
        <f t="shared" ref="S197:S202" si="200">0.02*N197*G197</f>
        <v>1.1599999999999999</v>
      </c>
      <c r="T197" s="35">
        <f t="shared" ref="T197:T205" si="201">2*G197</f>
        <v>4</v>
      </c>
      <c r="U197" s="35">
        <f t="shared" ref="U197:U205" si="202">IF(RIGHT(F197,2)="WG",K197*$AB$4,IF(RIGHT(F197,3)="WRG",K197*$AB$4+3*G197,IF(RIGHT(F197,3)="WYG",K197*$AB$4+3*G197,IF(RIGHT(F197,3)="WYR",K197*$AB$4+3*G197,0))))</f>
        <v>4.4184000000000001</v>
      </c>
      <c r="V197" s="35"/>
      <c r="W197" s="35">
        <f>G197*N197*1</f>
        <v>58</v>
      </c>
      <c r="X197" s="35">
        <f t="shared" ref="X197:X205" si="203">K197*O197</f>
        <v>184.1</v>
      </c>
      <c r="Y197" s="35">
        <f>($Y$195/31.1035*IF(LEFT(F197,3)="10K",(0.417*1.07*K197),IF(LEFT(F197,3)="14K",(0.585*1.05*K197),IF(LEFT(F197,3)="18K",(0.75*1.05*K197),0))))*0.5</f>
        <v>560.28785993368922</v>
      </c>
      <c r="Z197" s="83">
        <f>($Z$195/31.1035*IF(LEFT(F197,3)="10K",(0.417*1.07*K197),IF(LEFT(F197,3)="14K",(0.585*1.05*K197),IF(LEFT(F197,3)="18K",(0.75*1.05*K197),0))))*0.5</f>
        <v>560.28785993368922</v>
      </c>
      <c r="AA197" s="100">
        <f t="shared" si="180"/>
        <v>36.82</v>
      </c>
      <c r="AB197" s="100">
        <f t="shared" si="181"/>
        <v>214.85840000000002</v>
      </c>
      <c r="AC197" s="100">
        <f t="shared" si="182"/>
        <v>1475.5818183217391</v>
      </c>
      <c r="AD197" s="100">
        <f t="shared" si="183"/>
        <v>1690.4402183217392</v>
      </c>
      <c r="AE197" s="100">
        <f t="shared" si="184"/>
        <v>11.3083425</v>
      </c>
      <c r="AG197" s="26">
        <f t="shared" si="185"/>
        <v>184.1</v>
      </c>
    </row>
    <row r="198" spans="1:33" s="26" customFormat="1" ht="27.6">
      <c r="A198" s="94"/>
      <c r="B198" s="93" t="s">
        <v>375</v>
      </c>
      <c r="C198" s="93" t="s">
        <v>378</v>
      </c>
      <c r="D198" s="93">
        <v>148262</v>
      </c>
      <c r="E198" s="93">
        <v>101</v>
      </c>
      <c r="F198" s="93" t="s">
        <v>159</v>
      </c>
      <c r="G198" s="95">
        <v>2</v>
      </c>
      <c r="H198" s="117">
        <v>19.09</v>
      </c>
      <c r="I198" s="117">
        <v>0.18</v>
      </c>
      <c r="J198" s="117">
        <v>0.31</v>
      </c>
      <c r="K198" s="118">
        <f t="shared" si="199"/>
        <v>18.600000000000001</v>
      </c>
      <c r="L198" s="97">
        <v>2</v>
      </c>
      <c r="M198" s="97" t="s">
        <v>63</v>
      </c>
      <c r="N198" s="98">
        <v>29</v>
      </c>
      <c r="O198" s="137">
        <v>10</v>
      </c>
      <c r="P198" s="143">
        <v>1.85</v>
      </c>
      <c r="Q198" s="35"/>
      <c r="R198" s="35"/>
      <c r="S198" s="35">
        <f t="shared" si="200"/>
        <v>1.1599999999999999</v>
      </c>
      <c r="T198" s="35">
        <f t="shared" si="201"/>
        <v>4</v>
      </c>
      <c r="U198" s="35">
        <f t="shared" si="202"/>
        <v>0</v>
      </c>
      <c r="V198" s="35"/>
      <c r="W198" s="35">
        <f t="shared" ref="W198" si="204">G198*N198*1</f>
        <v>58</v>
      </c>
      <c r="X198" s="35">
        <f t="shared" si="203"/>
        <v>186</v>
      </c>
      <c r="Y198" s="35">
        <f t="shared" ref="Y198:Y205" si="205">($Y$195/31.1035*IF(LEFT(F198,3)="10K",(0.417*1.07*K198),IF(LEFT(F198,3)="14K",(0.585*1.05*K198),IF(LEFT(F198,3)="18K",(0.75*1.05*K198),0))))*0.5</f>
        <v>566.07029846641058</v>
      </c>
      <c r="Z198" s="83">
        <f t="shared" ref="Z198:Z205" si="206">($Z$195/31.1035*IF(LEFT(F198,3)="10K",(0.417*1.07*K198),IF(LEFT(F198,3)="14K",(0.585*1.05*K198),IF(LEFT(F198,3)="18K",(0.75*1.05*K198),0))))*0.5</f>
        <v>566.07029846641058</v>
      </c>
      <c r="AA198" s="100">
        <f t="shared" si="180"/>
        <v>37.200000000000003</v>
      </c>
      <c r="AB198" s="100">
        <f t="shared" si="181"/>
        <v>211.95999999999998</v>
      </c>
      <c r="AC198" s="100">
        <f t="shared" si="182"/>
        <v>1469.987273489533</v>
      </c>
      <c r="AD198" s="100">
        <f t="shared" si="183"/>
        <v>1681.947273489533</v>
      </c>
      <c r="AE198" s="100">
        <f t="shared" si="184"/>
        <v>11.425050000000001</v>
      </c>
      <c r="AG198" s="26">
        <f t="shared" si="185"/>
        <v>186</v>
      </c>
    </row>
    <row r="199" spans="1:33" s="26" customFormat="1" ht="27.6">
      <c r="A199" s="94">
        <v>3</v>
      </c>
      <c r="B199" s="93" t="s">
        <v>380</v>
      </c>
      <c r="C199" s="93" t="s">
        <v>381</v>
      </c>
      <c r="D199" s="93">
        <v>148262</v>
      </c>
      <c r="E199" s="93">
        <v>104</v>
      </c>
      <c r="F199" s="93" t="s">
        <v>74</v>
      </c>
      <c r="G199" s="95">
        <v>1</v>
      </c>
      <c r="H199" s="117">
        <v>10.58</v>
      </c>
      <c r="I199" s="117">
        <v>0.26</v>
      </c>
      <c r="J199" s="117">
        <v>0.64</v>
      </c>
      <c r="K199" s="118">
        <f t="shared" si="199"/>
        <v>9.68</v>
      </c>
      <c r="L199" s="97">
        <v>2.2000000000000002</v>
      </c>
      <c r="M199" s="97" t="s">
        <v>63</v>
      </c>
      <c r="N199" s="98">
        <v>35</v>
      </c>
      <c r="O199" s="137">
        <v>9.5</v>
      </c>
      <c r="P199" s="143">
        <v>1.29</v>
      </c>
      <c r="Q199" s="35"/>
      <c r="R199" s="35"/>
      <c r="S199" s="35">
        <f t="shared" si="200"/>
        <v>0.70000000000000007</v>
      </c>
      <c r="T199" s="35">
        <f t="shared" si="201"/>
        <v>2</v>
      </c>
      <c r="U199" s="35">
        <f t="shared" si="202"/>
        <v>0</v>
      </c>
      <c r="V199" s="35"/>
      <c r="W199" s="35">
        <f t="shared" ref="W199:W202" si="207">G199*N199*0.3</f>
        <v>10.5</v>
      </c>
      <c r="X199" s="35">
        <f t="shared" si="203"/>
        <v>91.96</v>
      </c>
      <c r="Y199" s="35">
        <f t="shared" si="205"/>
        <v>294.60002629864806</v>
      </c>
      <c r="Z199" s="83">
        <f t="shared" si="206"/>
        <v>294.60002629864806</v>
      </c>
      <c r="AA199" s="100">
        <f t="shared" si="180"/>
        <v>19.36</v>
      </c>
      <c r="AB199" s="100">
        <f t="shared" si="181"/>
        <v>85.8</v>
      </c>
      <c r="AC199" s="100">
        <f t="shared" si="182"/>
        <v>879.52656583864723</v>
      </c>
      <c r="AD199" s="100">
        <f t="shared" si="183"/>
        <v>965.32656583864718</v>
      </c>
      <c r="AE199" s="100">
        <f t="shared" si="184"/>
        <v>5.9459399999999993</v>
      </c>
      <c r="AG199" s="26">
        <f t="shared" si="185"/>
        <v>91.96</v>
      </c>
    </row>
    <row r="200" spans="1:33" s="26" customFormat="1" ht="27.6">
      <c r="A200" s="94">
        <v>9</v>
      </c>
      <c r="B200" s="93" t="s">
        <v>386</v>
      </c>
      <c r="C200" s="93" t="s">
        <v>387</v>
      </c>
      <c r="D200" s="93">
        <v>148262</v>
      </c>
      <c r="E200" s="93">
        <v>113</v>
      </c>
      <c r="F200" s="93" t="s">
        <v>74</v>
      </c>
      <c r="G200" s="95">
        <v>1</v>
      </c>
      <c r="H200" s="117">
        <v>22.68</v>
      </c>
      <c r="I200" s="117">
        <v>0.21</v>
      </c>
      <c r="J200" s="117">
        <v>0.96</v>
      </c>
      <c r="K200" s="118">
        <f t="shared" si="199"/>
        <v>21.509999999999998</v>
      </c>
      <c r="L200" s="97">
        <v>1.05</v>
      </c>
      <c r="M200" s="97" t="s">
        <v>63</v>
      </c>
      <c r="N200" s="98">
        <v>248</v>
      </c>
      <c r="O200" s="137">
        <v>10</v>
      </c>
      <c r="P200" s="143">
        <v>1.07</v>
      </c>
      <c r="Q200" s="35"/>
      <c r="R200" s="35"/>
      <c r="S200" s="35">
        <f t="shared" si="200"/>
        <v>4.96</v>
      </c>
      <c r="T200" s="35">
        <f>4*G200</f>
        <v>4</v>
      </c>
      <c r="U200" s="35">
        <f>0.15*N200*G200</f>
        <v>37.199999999999996</v>
      </c>
      <c r="V200" s="35"/>
      <c r="W200" s="35">
        <f t="shared" si="207"/>
        <v>74.399999999999991</v>
      </c>
      <c r="X200" s="35">
        <f t="shared" si="203"/>
        <v>215.09999999999997</v>
      </c>
      <c r="Y200" s="35">
        <f t="shared" si="205"/>
        <v>654.63290967809087</v>
      </c>
      <c r="Z200" s="83">
        <f t="shared" si="206"/>
        <v>654.63290967809087</v>
      </c>
      <c r="AA200" s="100">
        <f t="shared" si="180"/>
        <v>43.019999999999996</v>
      </c>
      <c r="AB200" s="100">
        <f t="shared" si="181"/>
        <v>292.64</v>
      </c>
      <c r="AC200" s="100">
        <f t="shared" si="182"/>
        <v>1325.7339792615137</v>
      </c>
      <c r="AD200" s="100">
        <f t="shared" si="183"/>
        <v>1618.3739792615138</v>
      </c>
      <c r="AE200" s="100">
        <f t="shared" si="184"/>
        <v>13.212517499999999</v>
      </c>
      <c r="AG200" s="26">
        <f t="shared" si="185"/>
        <v>215.09999999999997</v>
      </c>
    </row>
    <row r="201" spans="1:33" s="26" customFormat="1" ht="55.2">
      <c r="A201" s="94">
        <v>10</v>
      </c>
      <c r="B201" s="96" t="s">
        <v>388</v>
      </c>
      <c r="C201" s="93" t="s">
        <v>389</v>
      </c>
      <c r="D201" s="93">
        <v>148262</v>
      </c>
      <c r="E201" s="93">
        <v>114</v>
      </c>
      <c r="F201" s="93" t="s">
        <v>73</v>
      </c>
      <c r="G201" s="95">
        <v>1</v>
      </c>
      <c r="H201" s="117">
        <v>6.63</v>
      </c>
      <c r="I201" s="117">
        <v>0.1</v>
      </c>
      <c r="J201" s="117">
        <v>1.02</v>
      </c>
      <c r="K201" s="118">
        <f t="shared" si="199"/>
        <v>5.51</v>
      </c>
      <c r="L201" s="97" t="s">
        <v>390</v>
      </c>
      <c r="M201" s="97" t="s">
        <v>174</v>
      </c>
      <c r="N201" s="98" t="s">
        <v>391</v>
      </c>
      <c r="O201" s="137">
        <v>11.5</v>
      </c>
      <c r="P201" s="143">
        <v>0.49</v>
      </c>
      <c r="Q201" s="35"/>
      <c r="R201" s="35"/>
      <c r="S201" s="35">
        <f>0.02*(10+8+16+34)*G201</f>
        <v>1.36</v>
      </c>
      <c r="T201" s="35">
        <f t="shared" si="201"/>
        <v>2</v>
      </c>
      <c r="U201" s="35">
        <f>0.15*(10+8+16+34)*G201</f>
        <v>10.199999999999999</v>
      </c>
      <c r="V201" s="35"/>
      <c r="W201" s="35">
        <f>G201*(10+8+16+34)*0.3</f>
        <v>20.399999999999999</v>
      </c>
      <c r="X201" s="35">
        <f t="shared" si="203"/>
        <v>63.364999999999995</v>
      </c>
      <c r="Y201" s="35">
        <f t="shared" si="205"/>
        <v>167.69071744892054</v>
      </c>
      <c r="Z201" s="83">
        <f t="shared" si="206"/>
        <v>167.69071744892054</v>
      </c>
      <c r="AA201" s="100">
        <f t="shared" si="180"/>
        <v>11.02</v>
      </c>
      <c r="AB201" s="100">
        <f t="shared" si="181"/>
        <v>86.304999999999993</v>
      </c>
      <c r="AC201" s="100">
        <f t="shared" si="182"/>
        <v>415.15444919452494</v>
      </c>
      <c r="AD201" s="100">
        <f t="shared" si="183"/>
        <v>501.45944919452495</v>
      </c>
      <c r="AE201" s="100">
        <f t="shared" si="184"/>
        <v>3.3845174999999998</v>
      </c>
      <c r="AG201" s="26">
        <f t="shared" si="185"/>
        <v>63.364999999999995</v>
      </c>
    </row>
    <row r="202" spans="1:33" s="26" customFormat="1" ht="27.6">
      <c r="A202" s="94">
        <v>11</v>
      </c>
      <c r="B202" s="93" t="s">
        <v>392</v>
      </c>
      <c r="C202" s="93" t="s">
        <v>393</v>
      </c>
      <c r="D202" s="93">
        <v>148262</v>
      </c>
      <c r="E202" s="93">
        <v>115</v>
      </c>
      <c r="F202" s="93" t="s">
        <v>74</v>
      </c>
      <c r="G202" s="95">
        <v>3</v>
      </c>
      <c r="H202" s="117">
        <v>29.15</v>
      </c>
      <c r="I202" s="117">
        <v>0.39</v>
      </c>
      <c r="J202" s="117">
        <v>4.0200000000000005</v>
      </c>
      <c r="K202" s="118">
        <f t="shared" si="199"/>
        <v>24.74</v>
      </c>
      <c r="L202" s="97">
        <v>1.1000000000000001</v>
      </c>
      <c r="M202" s="97" t="s">
        <v>63</v>
      </c>
      <c r="N202" s="98">
        <v>120</v>
      </c>
      <c r="O202" s="137">
        <v>9</v>
      </c>
      <c r="P202" s="143">
        <v>2</v>
      </c>
      <c r="Q202" s="35"/>
      <c r="R202" s="35"/>
      <c r="S202" s="35">
        <f t="shared" si="200"/>
        <v>7.1999999999999993</v>
      </c>
      <c r="T202" s="35">
        <f>4*G202</f>
        <v>12</v>
      </c>
      <c r="U202" s="35">
        <f t="shared" si="202"/>
        <v>0</v>
      </c>
      <c r="V202" s="35"/>
      <c r="W202" s="35">
        <f t="shared" si="207"/>
        <v>108</v>
      </c>
      <c r="X202" s="35">
        <f t="shared" si="203"/>
        <v>222.66</v>
      </c>
      <c r="Y202" s="35">
        <f t="shared" si="205"/>
        <v>752.93436473435463</v>
      </c>
      <c r="Z202" s="83">
        <f t="shared" si="206"/>
        <v>752.93436473435463</v>
      </c>
      <c r="AA202" s="100">
        <f t="shared" si="180"/>
        <v>49.48</v>
      </c>
      <c r="AB202" s="100">
        <f t="shared" si="181"/>
        <v>300.38</v>
      </c>
      <c r="AC202" s="100">
        <f t="shared" si="182"/>
        <v>1794.0254816103059</v>
      </c>
      <c r="AD202" s="100">
        <f t="shared" si="183"/>
        <v>2094.4054816103057</v>
      </c>
      <c r="AE202" s="100">
        <f t="shared" si="184"/>
        <v>15.196544999999999</v>
      </c>
      <c r="AG202" s="26">
        <f t="shared" si="185"/>
        <v>222.66</v>
      </c>
    </row>
    <row r="203" spans="1:33" s="26" customFormat="1" ht="27.6">
      <c r="A203" s="94">
        <v>12</v>
      </c>
      <c r="B203" s="93" t="s">
        <v>394</v>
      </c>
      <c r="C203" s="93" t="s">
        <v>395</v>
      </c>
      <c r="D203" s="93">
        <v>148262</v>
      </c>
      <c r="E203" s="93">
        <v>116</v>
      </c>
      <c r="F203" s="93" t="s">
        <v>74</v>
      </c>
      <c r="G203" s="95">
        <v>1</v>
      </c>
      <c r="H203" s="117">
        <v>8.57</v>
      </c>
      <c r="I203" s="117">
        <v>0</v>
      </c>
      <c r="J203" s="117">
        <v>0.32</v>
      </c>
      <c r="K203" s="118">
        <f t="shared" si="199"/>
        <v>8.25</v>
      </c>
      <c r="L203" s="97"/>
      <c r="M203" s="97"/>
      <c r="N203" s="98"/>
      <c r="O203" s="137">
        <v>9.5</v>
      </c>
      <c r="P203" s="143">
        <v>0</v>
      </c>
      <c r="Q203" s="35"/>
      <c r="R203" s="35"/>
      <c r="S203" s="35"/>
      <c r="T203" s="35">
        <f t="shared" si="201"/>
        <v>2</v>
      </c>
      <c r="U203" s="35"/>
      <c r="V203" s="35"/>
      <c r="W203" s="35"/>
      <c r="X203" s="35">
        <f t="shared" si="203"/>
        <v>78.375</v>
      </c>
      <c r="Y203" s="35">
        <f t="shared" si="205"/>
        <v>251.07956786816592</v>
      </c>
      <c r="Z203" s="83">
        <f t="shared" si="206"/>
        <v>251.07956786816592</v>
      </c>
      <c r="AA203" s="100">
        <f t="shared" si="180"/>
        <v>16.5</v>
      </c>
      <c r="AB203" s="100">
        <f t="shared" si="181"/>
        <v>63.875</v>
      </c>
      <c r="AC203" s="100">
        <f t="shared" si="182"/>
        <v>364.86449999999996</v>
      </c>
      <c r="AD203" s="100">
        <f t="shared" si="183"/>
        <v>428.73949999999996</v>
      </c>
      <c r="AE203" s="100">
        <f t="shared" si="184"/>
        <v>5.0675624999999993</v>
      </c>
      <c r="AG203" s="26">
        <f t="shared" si="185"/>
        <v>78.375</v>
      </c>
    </row>
    <row r="204" spans="1:33" s="26" customFormat="1" ht="27.6">
      <c r="A204" s="94">
        <v>13</v>
      </c>
      <c r="B204" s="96" t="s">
        <v>396</v>
      </c>
      <c r="C204" s="93" t="s">
        <v>397</v>
      </c>
      <c r="D204" s="93">
        <v>148262</v>
      </c>
      <c r="E204" s="93">
        <v>117</v>
      </c>
      <c r="F204" s="93" t="s">
        <v>73</v>
      </c>
      <c r="G204" s="95">
        <v>1</v>
      </c>
      <c r="H204" s="117">
        <v>7.58</v>
      </c>
      <c r="I204" s="117">
        <v>0</v>
      </c>
      <c r="J204" s="117">
        <v>0.32</v>
      </c>
      <c r="K204" s="118">
        <f t="shared" si="199"/>
        <v>7.26</v>
      </c>
      <c r="L204" s="97"/>
      <c r="M204" s="97"/>
      <c r="N204" s="98"/>
      <c r="O204" s="137">
        <v>9.5</v>
      </c>
      <c r="P204" s="143">
        <v>0</v>
      </c>
      <c r="Q204" s="35"/>
      <c r="R204" s="35"/>
      <c r="S204" s="35"/>
      <c r="T204" s="35">
        <f t="shared" si="201"/>
        <v>2</v>
      </c>
      <c r="U204" s="35">
        <f t="shared" si="202"/>
        <v>1.7423999999999999</v>
      </c>
      <c r="V204" s="35"/>
      <c r="W204" s="35"/>
      <c r="X204" s="35">
        <f t="shared" si="203"/>
        <v>68.97</v>
      </c>
      <c r="Y204" s="35">
        <f t="shared" si="205"/>
        <v>220.95001972398603</v>
      </c>
      <c r="Z204" s="83">
        <f t="shared" si="206"/>
        <v>220.95001972398603</v>
      </c>
      <c r="AA204" s="100">
        <f t="shared" si="180"/>
        <v>14.52</v>
      </c>
      <c r="AB204" s="100">
        <f t="shared" si="181"/>
        <v>58.192400000000006</v>
      </c>
      <c r="AC204" s="100">
        <f t="shared" si="182"/>
        <v>321.08075999999994</v>
      </c>
      <c r="AD204" s="100">
        <f t="shared" si="183"/>
        <v>379.27315999999996</v>
      </c>
      <c r="AE204" s="100">
        <f t="shared" si="184"/>
        <v>4.4594549999999993</v>
      </c>
      <c r="AG204" s="26">
        <f t="shared" si="185"/>
        <v>68.97</v>
      </c>
    </row>
    <row r="205" spans="1:33" s="26" customFormat="1" ht="28.2" thickBot="1">
      <c r="A205" s="94">
        <v>14</v>
      </c>
      <c r="B205" s="93" t="s">
        <v>398</v>
      </c>
      <c r="C205" s="93" t="s">
        <v>399</v>
      </c>
      <c r="D205" s="93">
        <v>148262</v>
      </c>
      <c r="E205" s="93">
        <v>120</v>
      </c>
      <c r="F205" s="93" t="s">
        <v>74</v>
      </c>
      <c r="G205" s="95">
        <v>2</v>
      </c>
      <c r="H205" s="117">
        <v>10.49</v>
      </c>
      <c r="I205" s="117">
        <v>0.06</v>
      </c>
      <c r="J205" s="117">
        <v>0.64</v>
      </c>
      <c r="K205" s="118">
        <f t="shared" si="199"/>
        <v>9.7899999999999991</v>
      </c>
      <c r="L205" s="97" t="s">
        <v>400</v>
      </c>
      <c r="M205" s="97" t="s">
        <v>75</v>
      </c>
      <c r="N205" s="98" t="s">
        <v>401</v>
      </c>
      <c r="O205" s="137">
        <v>9.5</v>
      </c>
      <c r="P205" s="143">
        <v>0.32</v>
      </c>
      <c r="Q205" s="35">
        <f>5*G205</f>
        <v>10</v>
      </c>
      <c r="R205" s="35"/>
      <c r="S205" s="35">
        <f>0.02*(6+1)*G205</f>
        <v>0.28000000000000003</v>
      </c>
      <c r="T205" s="35">
        <f t="shared" si="201"/>
        <v>4</v>
      </c>
      <c r="U205" s="35">
        <f t="shared" si="202"/>
        <v>0</v>
      </c>
      <c r="V205" s="35"/>
      <c r="W205" s="35">
        <f>G205*(6+1)*0.5</f>
        <v>7</v>
      </c>
      <c r="X205" s="35">
        <f t="shared" si="203"/>
        <v>93.004999999999995</v>
      </c>
      <c r="Y205" s="35">
        <f t="shared" si="205"/>
        <v>297.94775387022361</v>
      </c>
      <c r="Z205" s="83">
        <f t="shared" si="206"/>
        <v>297.94775387022361</v>
      </c>
      <c r="AA205" s="100">
        <f t="shared" si="180"/>
        <v>19.579999999999998</v>
      </c>
      <c r="AB205" s="100">
        <f t="shared" si="181"/>
        <v>94.704999999999998</v>
      </c>
      <c r="AC205" s="100">
        <f t="shared" si="182"/>
        <v>544.95241865764888</v>
      </c>
      <c r="AD205" s="100">
        <f t="shared" si="183"/>
        <v>639.65741865764892</v>
      </c>
      <c r="AE205" s="100">
        <f t="shared" si="184"/>
        <v>6.0135074999999993</v>
      </c>
      <c r="AG205" s="26">
        <f t="shared" si="185"/>
        <v>93.004999999999995</v>
      </c>
    </row>
    <row r="206" spans="1:33" s="27" customFormat="1" ht="15.9" customHeight="1">
      <c r="A206" s="86" t="s">
        <v>66</v>
      </c>
      <c r="B206" s="63"/>
      <c r="C206" s="63"/>
      <c r="D206" s="63"/>
      <c r="E206" s="63"/>
      <c r="F206" s="63"/>
      <c r="G206" s="64">
        <f>SUM(G197:G205)</f>
        <v>14</v>
      </c>
      <c r="H206" s="119"/>
      <c r="I206" s="119"/>
      <c r="J206" s="119"/>
      <c r="K206" s="119">
        <f>SUM(K197:K205)</f>
        <v>123.75</v>
      </c>
      <c r="L206" s="65"/>
      <c r="M206" s="65"/>
      <c r="N206" s="65"/>
      <c r="O206" s="138"/>
      <c r="P206" s="101">
        <f>SUM(P197:P205)</f>
        <v>8.91</v>
      </c>
      <c r="Q206" s="66">
        <f>SUM(Q197:Q205)</f>
        <v>10</v>
      </c>
      <c r="R206" s="66">
        <f>SUM(R197:R205)</f>
        <v>0</v>
      </c>
      <c r="S206" s="66">
        <f>SUM(S197:S205)</f>
        <v>16.82</v>
      </c>
      <c r="T206" s="66">
        <f>SUM(T197:T205)</f>
        <v>36</v>
      </c>
      <c r="U206" s="66">
        <f>SUM(U197:U205)</f>
        <v>53.5608</v>
      </c>
      <c r="V206" s="66">
        <f>SUM(V197:V205)</f>
        <v>0</v>
      </c>
      <c r="W206" s="66">
        <f>SUM(W197:W205)</f>
        <v>336.29999999999995</v>
      </c>
      <c r="X206" s="66">
        <f>SUM(X197:X205)</f>
        <v>1203.5349999999999</v>
      </c>
      <c r="Y206" s="66">
        <f>SUM(Y197:Y205)</f>
        <v>3766.1935180224896</v>
      </c>
      <c r="Z206" s="84">
        <f>SUM(Z197:Z205)</f>
        <v>3766.1935180224896</v>
      </c>
      <c r="AA206" s="100"/>
      <c r="AB206" s="100"/>
      <c r="AC206" s="100"/>
      <c r="AD206" s="100"/>
      <c r="AE206" s="100"/>
      <c r="AF206" s="26"/>
      <c r="AG206" s="26"/>
    </row>
    <row r="207" spans="1:33" ht="15.9" customHeight="1">
      <c r="A207" s="52" t="s">
        <v>64</v>
      </c>
      <c r="K207" s="115"/>
      <c r="L207" s="48"/>
      <c r="M207" s="48"/>
      <c r="N207" s="48"/>
      <c r="W207" s="49"/>
      <c r="X207" s="80" t="s">
        <v>222</v>
      </c>
      <c r="Y207" s="92">
        <f>1.01*3031.3</f>
        <v>3061.6130000000003</v>
      </c>
      <c r="Z207" s="92">
        <f>1.01*3031.3</f>
        <v>3061.6130000000003</v>
      </c>
      <c r="AA207" s="100"/>
      <c r="AB207" s="100"/>
      <c r="AC207" s="100"/>
      <c r="AD207" s="100"/>
      <c r="AE207" s="100"/>
      <c r="AF207" s="26"/>
      <c r="AG207" s="26"/>
    </row>
    <row r="208" spans="1:33" s="91" customFormat="1" ht="27.6">
      <c r="A208" s="87" t="s">
        <v>4</v>
      </c>
      <c r="B208" s="88" t="s">
        <v>5</v>
      </c>
      <c r="C208" s="88" t="s">
        <v>24</v>
      </c>
      <c r="D208" s="88" t="s">
        <v>46</v>
      </c>
      <c r="E208" s="88" t="s">
        <v>67</v>
      </c>
      <c r="F208" s="88" t="s">
        <v>6</v>
      </c>
      <c r="G208" s="88" t="s">
        <v>7</v>
      </c>
      <c r="H208" s="116" t="s">
        <v>8</v>
      </c>
      <c r="I208" s="116" t="s">
        <v>47</v>
      </c>
      <c r="J208" s="116" t="s">
        <v>9</v>
      </c>
      <c r="K208" s="116" t="s">
        <v>14</v>
      </c>
      <c r="L208" s="89" t="s">
        <v>20</v>
      </c>
      <c r="M208" s="89" t="s">
        <v>23</v>
      </c>
      <c r="N208" s="89" t="s">
        <v>21</v>
      </c>
      <c r="O208" s="136" t="s">
        <v>10</v>
      </c>
      <c r="P208" s="90" t="s">
        <v>49</v>
      </c>
      <c r="Q208" s="45" t="s">
        <v>50</v>
      </c>
      <c r="R208" s="45" t="s">
        <v>55</v>
      </c>
      <c r="S208" s="45" t="s">
        <v>70</v>
      </c>
      <c r="T208" s="45" t="s">
        <v>13</v>
      </c>
      <c r="U208" s="45" t="s">
        <v>52</v>
      </c>
      <c r="V208" s="45" t="s">
        <v>48</v>
      </c>
      <c r="W208" s="45" t="s">
        <v>15</v>
      </c>
      <c r="X208" s="50" t="s">
        <v>12</v>
      </c>
      <c r="Y208" s="160" t="s">
        <v>22</v>
      </c>
      <c r="Z208" s="50" t="s">
        <v>68</v>
      </c>
      <c r="AA208" s="100"/>
      <c r="AB208" s="100"/>
      <c r="AC208" s="100"/>
      <c r="AD208" s="100"/>
      <c r="AE208" s="100"/>
      <c r="AF208" s="26"/>
      <c r="AG208" s="26"/>
    </row>
    <row r="209" spans="1:33" s="26" customFormat="1" ht="27.6">
      <c r="A209" s="165" t="s">
        <v>405</v>
      </c>
      <c r="B209" s="93" t="s">
        <v>408</v>
      </c>
      <c r="C209" s="93" t="s">
        <v>409</v>
      </c>
      <c r="D209" s="93">
        <v>148278</v>
      </c>
      <c r="E209" s="93">
        <v>103</v>
      </c>
      <c r="F209" s="93" t="s">
        <v>74</v>
      </c>
      <c r="G209" s="95">
        <v>1</v>
      </c>
      <c r="H209" s="117">
        <v>4.67</v>
      </c>
      <c r="I209" s="117">
        <v>0.1</v>
      </c>
      <c r="J209" s="117">
        <v>0.18</v>
      </c>
      <c r="K209" s="118">
        <f t="shared" ref="K209:K217" si="208">H209-I209-J209</f>
        <v>4.3900000000000006</v>
      </c>
      <c r="L209" s="97">
        <v>2.2999999999999998</v>
      </c>
      <c r="M209" s="97" t="s">
        <v>63</v>
      </c>
      <c r="N209" s="98">
        <v>11</v>
      </c>
      <c r="O209" s="137">
        <v>11</v>
      </c>
      <c r="P209" s="143">
        <v>0.51</v>
      </c>
      <c r="Q209" s="35"/>
      <c r="R209" s="35"/>
      <c r="S209" s="35">
        <f t="shared" ref="S209:S213" si="209">0.02*N209*G209</f>
        <v>0.22</v>
      </c>
      <c r="T209" s="35">
        <f>3*G209</f>
        <v>3</v>
      </c>
      <c r="U209" s="35">
        <f t="shared" ref="U209:U217" si="210">IF(RIGHT(F209,2)="WG",K209*$AB$4,IF(RIGHT(F209,3)="WRG",K209*$AB$4+3*G209,IF(RIGHT(F209,3)="WYG",K209*$AB$4+3*G209,IF(RIGHT(F209,3)="WYR",K209*$AB$4+3*G209,0))))</f>
        <v>0</v>
      </c>
      <c r="V209" s="35"/>
      <c r="W209" s="35">
        <f t="shared" ref="W209:W212" si="211">G209*N209*0.3</f>
        <v>3.3</v>
      </c>
      <c r="X209" s="35">
        <f t="shared" ref="X209:X217" si="212">K209*O209</f>
        <v>48.290000000000006</v>
      </c>
      <c r="Y209" s="35">
        <f t="shared" ref="Y209:Y217" si="213">($Y$106/31.1035*IF(LEFT(F209,3)="10K",(0.417*1.07*K209),IF(LEFT(F209,3)="14K",(0.585*1.05*K209),IF(LEFT(F209,3)="18K",(0.75*1.05*K209),0))))*0.5</f>
        <v>14.346128249683922</v>
      </c>
      <c r="Z209" s="83">
        <f t="shared" ref="Z209:Z217" si="214">($Z$106/31.1035*IF(LEFT(F209,3)="10K",(0.417*1.07*K209),IF(LEFT(F209,3)="14K",(0.585*1.05*K209),IF(LEFT(F209,3)="18K",(0.75*1.05*K209),0))))*0.5</f>
        <v>14.346128249683922</v>
      </c>
      <c r="AA209" s="100">
        <f t="shared" ref="AA209:AA233" si="215">2*K209</f>
        <v>8.7800000000000011</v>
      </c>
      <c r="AB209" s="100">
        <f t="shared" ref="AB209:AB233" si="216">(SUM(Q209:W209)+AG209)-AA209</f>
        <v>46.03</v>
      </c>
      <c r="AC209" s="100">
        <f t="shared" ref="AC209:AC233" si="217">AE209*$AC$13+P209*$AC$14</f>
        <v>372.62007161062809</v>
      </c>
      <c r="AD209" s="100">
        <f t="shared" ref="AD209:AD233" si="218">SUM(AB209:AC209)</f>
        <v>418.65007161062806</v>
      </c>
      <c r="AE209" s="100">
        <f t="shared" ref="AE209:AE233" si="219">IF(LEFT(F209,3)="10K",(0.417*1.07*K209),IF(LEFT(F209,3)="14K",(0.585*1.05*K209),IF(LEFT(F209,3)="18K",(0.75*1.05*K209),0)))</f>
        <v>2.6965575000000004</v>
      </c>
      <c r="AG209" s="26">
        <f t="shared" ref="AG209:AG233" si="220">IF(AF209&gt;0,AF209*K209,X209)</f>
        <v>48.290000000000006</v>
      </c>
    </row>
    <row r="210" spans="1:33" s="26" customFormat="1" ht="27.6">
      <c r="A210" s="94">
        <v>6</v>
      </c>
      <c r="B210" s="96" t="s">
        <v>410</v>
      </c>
      <c r="C210" s="93" t="s">
        <v>411</v>
      </c>
      <c r="D210" s="93">
        <v>148278</v>
      </c>
      <c r="E210" s="93">
        <v>106</v>
      </c>
      <c r="F210" s="93" t="s">
        <v>159</v>
      </c>
      <c r="G210" s="95">
        <v>1</v>
      </c>
      <c r="H210" s="117">
        <v>5.99</v>
      </c>
      <c r="I210" s="117">
        <v>0.11</v>
      </c>
      <c r="J210" s="117">
        <v>0.32</v>
      </c>
      <c r="K210" s="118">
        <f t="shared" si="208"/>
        <v>5.56</v>
      </c>
      <c r="L210" s="97">
        <v>1.55</v>
      </c>
      <c r="M210" s="97" t="s">
        <v>63</v>
      </c>
      <c r="N210" s="98">
        <v>39</v>
      </c>
      <c r="O210" s="137">
        <v>9</v>
      </c>
      <c r="P210" s="143">
        <v>0.53</v>
      </c>
      <c r="Q210" s="35"/>
      <c r="R210" s="35"/>
      <c r="S210" s="35">
        <f t="shared" ref="S210" si="221">0.02*N210*G210</f>
        <v>0.78</v>
      </c>
      <c r="T210" s="35">
        <f t="shared" ref="T210:T212" si="222">2*G210</f>
        <v>2</v>
      </c>
      <c r="U210" s="35">
        <f t="shared" si="210"/>
        <v>0</v>
      </c>
      <c r="V210" s="35"/>
      <c r="W210" s="35">
        <f t="shared" ref="W210" si="223">G210*N210*0.3</f>
        <v>11.7</v>
      </c>
      <c r="X210" s="35">
        <f t="shared" si="212"/>
        <v>50.04</v>
      </c>
      <c r="Y210" s="35">
        <f t="shared" si="213"/>
        <v>18.169583842424281</v>
      </c>
      <c r="Z210" s="83">
        <f t="shared" si="214"/>
        <v>18.169583842424281</v>
      </c>
      <c r="AA210" s="100">
        <f t="shared" si="215"/>
        <v>11.12</v>
      </c>
      <c r="AB210" s="100">
        <f t="shared" si="216"/>
        <v>53.4</v>
      </c>
      <c r="AC210" s="100">
        <f t="shared" si="217"/>
        <v>431.36323402673111</v>
      </c>
      <c r="AD210" s="100">
        <f t="shared" si="218"/>
        <v>484.76323402673108</v>
      </c>
      <c r="AE210" s="100">
        <f t="shared" si="219"/>
        <v>3.4152299999999998</v>
      </c>
      <c r="AG210" s="26">
        <f t="shared" si="220"/>
        <v>50.04</v>
      </c>
    </row>
    <row r="211" spans="1:33" s="26" customFormat="1" ht="55.2">
      <c r="A211" s="94">
        <v>8</v>
      </c>
      <c r="B211" s="93" t="s">
        <v>412</v>
      </c>
      <c r="C211" s="93" t="s">
        <v>413</v>
      </c>
      <c r="D211" s="93">
        <v>148278</v>
      </c>
      <c r="E211" s="93">
        <v>108</v>
      </c>
      <c r="F211" s="93" t="s">
        <v>110</v>
      </c>
      <c r="G211" s="95">
        <v>2</v>
      </c>
      <c r="H211" s="117">
        <v>12.24</v>
      </c>
      <c r="I211" s="117">
        <v>0.15000000000000002</v>
      </c>
      <c r="J211" s="117">
        <v>0.64</v>
      </c>
      <c r="K211" s="118">
        <f t="shared" si="208"/>
        <v>11.45</v>
      </c>
      <c r="L211" s="97" t="s">
        <v>414</v>
      </c>
      <c r="M211" s="97" t="s">
        <v>174</v>
      </c>
      <c r="N211" s="97" t="s">
        <v>415</v>
      </c>
      <c r="O211" s="137">
        <v>9.5</v>
      </c>
      <c r="P211" s="143">
        <v>0.74</v>
      </c>
      <c r="Q211" s="35"/>
      <c r="R211" s="35"/>
      <c r="S211" s="35">
        <f>0.02*(6+8+2+3)*G211</f>
        <v>0.76</v>
      </c>
      <c r="T211" s="35">
        <f t="shared" si="222"/>
        <v>4</v>
      </c>
      <c r="U211" s="35">
        <f t="shared" si="210"/>
        <v>8.7479999999999993</v>
      </c>
      <c r="V211" s="35"/>
      <c r="W211" s="35">
        <f>((6+8)*0.3+(1.5*2)+(3*3))*G211</f>
        <v>32.4</v>
      </c>
      <c r="X211" s="35">
        <f t="shared" si="212"/>
        <v>108.77499999999999</v>
      </c>
      <c r="Y211" s="35">
        <f t="shared" si="213"/>
        <v>37.417578236647124</v>
      </c>
      <c r="Z211" s="83">
        <f t="shared" si="214"/>
        <v>37.417578236647124</v>
      </c>
      <c r="AA211" s="100">
        <f t="shared" si="215"/>
        <v>22.9</v>
      </c>
      <c r="AB211" s="100">
        <f t="shared" si="216"/>
        <v>131.78299999999999</v>
      </c>
      <c r="AC211" s="100">
        <f t="shared" si="217"/>
        <v>765.34116939581327</v>
      </c>
      <c r="AD211" s="100">
        <f t="shared" si="218"/>
        <v>897.12416939581328</v>
      </c>
      <c r="AE211" s="100">
        <f t="shared" si="219"/>
        <v>7.0331624999999995</v>
      </c>
      <c r="AG211" s="26">
        <f t="shared" si="220"/>
        <v>108.77499999999999</v>
      </c>
    </row>
    <row r="212" spans="1:33" s="26" customFormat="1" ht="27.6">
      <c r="A212" s="94">
        <v>10</v>
      </c>
      <c r="B212" s="96" t="s">
        <v>416</v>
      </c>
      <c r="C212" s="93" t="s">
        <v>417</v>
      </c>
      <c r="D212" s="93">
        <v>148278</v>
      </c>
      <c r="E212" s="93">
        <v>110</v>
      </c>
      <c r="F212" s="93" t="s">
        <v>74</v>
      </c>
      <c r="G212" s="95">
        <v>1</v>
      </c>
      <c r="H212" s="117">
        <v>6.72</v>
      </c>
      <c r="I212" s="117">
        <v>0.05</v>
      </c>
      <c r="J212" s="117">
        <v>0.32</v>
      </c>
      <c r="K212" s="118">
        <f t="shared" si="208"/>
        <v>6.35</v>
      </c>
      <c r="L212" s="97">
        <v>1</v>
      </c>
      <c r="M212" s="97" t="s">
        <v>63</v>
      </c>
      <c r="N212" s="98">
        <v>58</v>
      </c>
      <c r="O212" s="137">
        <v>8.5</v>
      </c>
      <c r="P212" s="143">
        <v>0.26</v>
      </c>
      <c r="Q212" s="35"/>
      <c r="R212" s="35"/>
      <c r="S212" s="35">
        <f t="shared" si="209"/>
        <v>1.1599999999999999</v>
      </c>
      <c r="T212" s="35">
        <f t="shared" si="222"/>
        <v>2</v>
      </c>
      <c r="U212" s="35">
        <f t="shared" si="210"/>
        <v>0</v>
      </c>
      <c r="V212" s="35"/>
      <c r="W212" s="35">
        <f t="shared" si="211"/>
        <v>17.399999999999999</v>
      </c>
      <c r="X212" s="35">
        <f t="shared" si="212"/>
        <v>53.974999999999994</v>
      </c>
      <c r="Y212" s="35">
        <f t="shared" si="213"/>
        <v>20.751233345214779</v>
      </c>
      <c r="Z212" s="83">
        <f t="shared" si="214"/>
        <v>20.751233345214779</v>
      </c>
      <c r="AA212" s="100">
        <f t="shared" si="215"/>
        <v>12.7</v>
      </c>
      <c r="AB212" s="100">
        <f t="shared" si="216"/>
        <v>61.834999999999994</v>
      </c>
      <c r="AC212" s="100">
        <f t="shared" si="217"/>
        <v>371.81875140933971</v>
      </c>
      <c r="AD212" s="100">
        <f t="shared" si="218"/>
        <v>433.65375140933969</v>
      </c>
      <c r="AE212" s="100">
        <f t="shared" si="219"/>
        <v>3.9004874999999997</v>
      </c>
      <c r="AG212" s="26">
        <f t="shared" si="220"/>
        <v>53.974999999999994</v>
      </c>
    </row>
    <row r="213" spans="1:33" s="26" customFormat="1" ht="27.6">
      <c r="A213" s="94">
        <v>12</v>
      </c>
      <c r="B213" s="96" t="s">
        <v>358</v>
      </c>
      <c r="C213" s="93" t="s">
        <v>359</v>
      </c>
      <c r="D213" s="93">
        <v>148278</v>
      </c>
      <c r="E213" s="93">
        <v>112</v>
      </c>
      <c r="F213" s="93" t="s">
        <v>73</v>
      </c>
      <c r="G213" s="95">
        <v>1</v>
      </c>
      <c r="H213" s="117">
        <v>20.63</v>
      </c>
      <c r="I213" s="117">
        <v>0.77</v>
      </c>
      <c r="J213" s="117">
        <v>0</v>
      </c>
      <c r="K213" s="118">
        <f t="shared" si="208"/>
        <v>19.86</v>
      </c>
      <c r="L213" s="97">
        <v>2.5499999999999998</v>
      </c>
      <c r="M213" s="97" t="s">
        <v>63</v>
      </c>
      <c r="N213" s="98">
        <v>64</v>
      </c>
      <c r="O213" s="137">
        <v>13</v>
      </c>
      <c r="P213" s="143">
        <v>3.87</v>
      </c>
      <c r="Q213" s="35"/>
      <c r="R213" s="35"/>
      <c r="S213" s="35">
        <f t="shared" si="209"/>
        <v>1.28</v>
      </c>
      <c r="T213" s="35">
        <f>8*G213</f>
        <v>8</v>
      </c>
      <c r="U213" s="35">
        <f t="shared" si="210"/>
        <v>4.7664</v>
      </c>
      <c r="V213" s="35"/>
      <c r="W213" s="35">
        <f>G213*N213*0.5</f>
        <v>32</v>
      </c>
      <c r="X213" s="35">
        <f t="shared" si="212"/>
        <v>258.18</v>
      </c>
      <c r="Y213" s="35">
        <f t="shared" si="213"/>
        <v>64.900707753695357</v>
      </c>
      <c r="Z213" s="83">
        <f t="shared" si="214"/>
        <v>64.900707753695357</v>
      </c>
      <c r="AA213" s="100">
        <f t="shared" si="215"/>
        <v>39.72</v>
      </c>
      <c r="AB213" s="100">
        <f t="shared" si="216"/>
        <v>264.50639999999999</v>
      </c>
      <c r="AC213" s="100">
        <f t="shared" si="217"/>
        <v>2232.5850175159421</v>
      </c>
      <c r="AD213" s="100">
        <f t="shared" si="218"/>
        <v>2497.0914175159423</v>
      </c>
      <c r="AE213" s="100">
        <f t="shared" si="219"/>
        <v>12.199005</v>
      </c>
      <c r="AG213" s="26">
        <f t="shared" si="220"/>
        <v>258.18</v>
      </c>
    </row>
    <row r="214" spans="1:33" s="26" customFormat="1" ht="27.6">
      <c r="A214" s="94">
        <v>14</v>
      </c>
      <c r="B214" s="93" t="s">
        <v>340</v>
      </c>
      <c r="C214" s="93" t="s">
        <v>342</v>
      </c>
      <c r="D214" s="93">
        <v>148278</v>
      </c>
      <c r="E214" s="93">
        <v>115</v>
      </c>
      <c r="F214" s="93" t="s">
        <v>74</v>
      </c>
      <c r="G214" s="95">
        <v>1</v>
      </c>
      <c r="H214" s="117">
        <v>7.99</v>
      </c>
      <c r="I214" s="117">
        <v>0.43</v>
      </c>
      <c r="J214" s="117">
        <v>0.31</v>
      </c>
      <c r="K214" s="118">
        <f t="shared" si="208"/>
        <v>7.2500000000000009</v>
      </c>
      <c r="L214" s="97" t="s">
        <v>106</v>
      </c>
      <c r="M214" s="97" t="s">
        <v>75</v>
      </c>
      <c r="N214" s="98" t="s">
        <v>107</v>
      </c>
      <c r="O214" s="137">
        <v>10.5</v>
      </c>
      <c r="P214" s="143">
        <v>2.14</v>
      </c>
      <c r="Q214" s="35"/>
      <c r="R214" s="35"/>
      <c r="S214" s="35">
        <f>0.02*(28+4)*G214</f>
        <v>0.64</v>
      </c>
      <c r="T214" s="35">
        <f t="shared" ref="T214" si="224">2*G214</f>
        <v>2</v>
      </c>
      <c r="U214" s="35">
        <f t="shared" si="210"/>
        <v>0</v>
      </c>
      <c r="V214" s="35"/>
      <c r="W214" s="35">
        <f>(0.3*28+0.75*4)*G214</f>
        <v>11.4</v>
      </c>
      <c r="X214" s="35">
        <f t="shared" si="212"/>
        <v>76.125000000000014</v>
      </c>
      <c r="Y214" s="35">
        <f t="shared" si="213"/>
        <v>23.692353031938136</v>
      </c>
      <c r="Z214" s="83">
        <f t="shared" si="214"/>
        <v>23.692353031938136</v>
      </c>
      <c r="AA214" s="100">
        <f t="shared" si="215"/>
        <v>14.500000000000002</v>
      </c>
      <c r="AB214" s="100">
        <f t="shared" si="216"/>
        <v>75.66500000000002</v>
      </c>
      <c r="AC214" s="100">
        <f t="shared" si="217"/>
        <v>1069.5039385230275</v>
      </c>
      <c r="AD214" s="100">
        <f t="shared" si="218"/>
        <v>1145.1689385230275</v>
      </c>
      <c r="AE214" s="100">
        <f t="shared" si="219"/>
        <v>4.4533125</v>
      </c>
      <c r="AG214" s="26">
        <f t="shared" si="220"/>
        <v>76.125000000000014</v>
      </c>
    </row>
    <row r="215" spans="1:33" s="26" customFormat="1" ht="27.6">
      <c r="A215" s="94">
        <v>18</v>
      </c>
      <c r="B215" s="96" t="s">
        <v>402</v>
      </c>
      <c r="C215" s="93" t="s">
        <v>403</v>
      </c>
      <c r="D215" s="93">
        <v>148278</v>
      </c>
      <c r="E215" s="93">
        <v>119</v>
      </c>
      <c r="F215" s="93" t="s">
        <v>73</v>
      </c>
      <c r="G215" s="95">
        <v>1</v>
      </c>
      <c r="H215" s="117">
        <v>8.8000000000000007</v>
      </c>
      <c r="I215" s="117">
        <v>0.2</v>
      </c>
      <c r="J215" s="117">
        <v>0.32</v>
      </c>
      <c r="K215" s="118">
        <f t="shared" si="208"/>
        <v>8.2800000000000011</v>
      </c>
      <c r="L215" s="97">
        <v>1.85</v>
      </c>
      <c r="M215" s="97" t="s">
        <v>63</v>
      </c>
      <c r="N215" s="98">
        <v>40</v>
      </c>
      <c r="O215" s="137">
        <v>8.5</v>
      </c>
      <c r="P215" s="143">
        <v>1</v>
      </c>
      <c r="Q215" s="35"/>
      <c r="R215" s="35"/>
      <c r="S215" s="35">
        <f t="shared" ref="S215:S216" si="225">0.02*N215*G215</f>
        <v>0.8</v>
      </c>
      <c r="T215" s="35">
        <f t="shared" ref="T215:T216" si="226">2*G215</f>
        <v>2</v>
      </c>
      <c r="U215" s="35">
        <f t="shared" si="210"/>
        <v>1.9872000000000003</v>
      </c>
      <c r="V215" s="35"/>
      <c r="W215" s="35">
        <f t="shared" ref="W215:W216" si="227">G215*N215*0.3</f>
        <v>12</v>
      </c>
      <c r="X215" s="35">
        <f t="shared" si="212"/>
        <v>70.38000000000001</v>
      </c>
      <c r="Y215" s="35">
        <f t="shared" si="213"/>
        <v>27.058301117854867</v>
      </c>
      <c r="Z215" s="83">
        <f t="shared" si="214"/>
        <v>27.058301117854867</v>
      </c>
      <c r="AA215" s="100">
        <f t="shared" si="215"/>
        <v>16.560000000000002</v>
      </c>
      <c r="AB215" s="100">
        <f t="shared" si="216"/>
        <v>70.607200000000006</v>
      </c>
      <c r="AC215" s="100">
        <f t="shared" si="217"/>
        <v>716.12840080515298</v>
      </c>
      <c r="AD215" s="100">
        <f t="shared" si="218"/>
        <v>786.73560080515301</v>
      </c>
      <c r="AE215" s="100">
        <f t="shared" si="219"/>
        <v>5.0859900000000007</v>
      </c>
      <c r="AG215" s="26">
        <f t="shared" si="220"/>
        <v>70.38000000000001</v>
      </c>
    </row>
    <row r="216" spans="1:33" s="26" customFormat="1" ht="27.6">
      <c r="A216" s="94"/>
      <c r="B216" s="96" t="s">
        <v>402</v>
      </c>
      <c r="C216" s="93" t="s">
        <v>404</v>
      </c>
      <c r="D216" s="93">
        <v>148278</v>
      </c>
      <c r="E216" s="93">
        <v>120</v>
      </c>
      <c r="F216" s="93" t="s">
        <v>74</v>
      </c>
      <c r="G216" s="95">
        <v>1</v>
      </c>
      <c r="H216" s="117">
        <v>8.2899999999999991</v>
      </c>
      <c r="I216" s="117">
        <v>0.2</v>
      </c>
      <c r="J216" s="117">
        <v>0.32</v>
      </c>
      <c r="K216" s="118">
        <f t="shared" si="208"/>
        <v>7.77</v>
      </c>
      <c r="L216" s="97">
        <v>1.85</v>
      </c>
      <c r="M216" s="97" t="s">
        <v>63</v>
      </c>
      <c r="N216" s="98">
        <v>40</v>
      </c>
      <c r="O216" s="137">
        <v>8.5</v>
      </c>
      <c r="P216" s="143">
        <v>1</v>
      </c>
      <c r="Q216" s="35"/>
      <c r="R216" s="35"/>
      <c r="S216" s="35">
        <f t="shared" si="225"/>
        <v>0.8</v>
      </c>
      <c r="T216" s="35">
        <f t="shared" si="226"/>
        <v>2</v>
      </c>
      <c r="U216" s="35">
        <f t="shared" si="210"/>
        <v>0</v>
      </c>
      <c r="V216" s="35"/>
      <c r="W216" s="35">
        <f t="shared" si="227"/>
        <v>12</v>
      </c>
      <c r="X216" s="35">
        <f t="shared" si="212"/>
        <v>66.045000000000002</v>
      </c>
      <c r="Y216" s="35">
        <f t="shared" si="213"/>
        <v>25.391666628711629</v>
      </c>
      <c r="Z216" s="83">
        <f t="shared" si="214"/>
        <v>25.391666628711629</v>
      </c>
      <c r="AA216" s="100">
        <f t="shared" si="215"/>
        <v>15.54</v>
      </c>
      <c r="AB216" s="100">
        <f t="shared" si="216"/>
        <v>65.305000000000007</v>
      </c>
      <c r="AC216" s="100">
        <f t="shared" si="217"/>
        <v>693.57314080515289</v>
      </c>
      <c r="AD216" s="100">
        <f t="shared" si="218"/>
        <v>758.87814080515295</v>
      </c>
      <c r="AE216" s="100">
        <f t="shared" si="219"/>
        <v>4.7727224999999995</v>
      </c>
      <c r="AG216" s="26">
        <f t="shared" si="220"/>
        <v>66.045000000000002</v>
      </c>
    </row>
    <row r="217" spans="1:33" s="26" customFormat="1" ht="42" thickBot="1">
      <c r="A217" s="94">
        <v>22</v>
      </c>
      <c r="B217" s="96" t="s">
        <v>425</v>
      </c>
      <c r="C217" s="93" t="s">
        <v>426</v>
      </c>
      <c r="D217" s="93">
        <v>148278</v>
      </c>
      <c r="E217" s="93">
        <v>124</v>
      </c>
      <c r="F217" s="93" t="s">
        <v>74</v>
      </c>
      <c r="G217" s="95">
        <v>3</v>
      </c>
      <c r="H217" s="117">
        <v>11.9</v>
      </c>
      <c r="I217" s="117">
        <v>0.31</v>
      </c>
      <c r="J217" s="117">
        <v>0.54</v>
      </c>
      <c r="K217" s="118">
        <f t="shared" si="208"/>
        <v>11.05</v>
      </c>
      <c r="L217" s="97" t="s">
        <v>228</v>
      </c>
      <c r="M217" s="97" t="s">
        <v>91</v>
      </c>
      <c r="N217" s="98" t="s">
        <v>229</v>
      </c>
      <c r="O217" s="137">
        <v>10</v>
      </c>
      <c r="P217" s="143">
        <v>1.54</v>
      </c>
      <c r="Q217" s="35"/>
      <c r="R217" s="35"/>
      <c r="S217" s="35">
        <f>0.02*(40+1+1)*G217</f>
        <v>2.52</v>
      </c>
      <c r="T217" s="35">
        <f>4*G217</f>
        <v>12</v>
      </c>
      <c r="U217" s="35">
        <f t="shared" si="210"/>
        <v>0</v>
      </c>
      <c r="V217" s="35"/>
      <c r="W217" s="35">
        <f>((0.3*40)+(1+1)*1.5)*G217</f>
        <v>45</v>
      </c>
      <c r="X217" s="35">
        <f t="shared" si="212"/>
        <v>110.5</v>
      </c>
      <c r="Y217" s="35">
        <f t="shared" si="213"/>
        <v>36.110413931436746</v>
      </c>
      <c r="Z217" s="83">
        <f t="shared" si="214"/>
        <v>36.110413931436746</v>
      </c>
      <c r="AA217" s="100">
        <f t="shared" si="215"/>
        <v>22.1</v>
      </c>
      <c r="AB217" s="100">
        <f t="shared" si="216"/>
        <v>147.91999999999999</v>
      </c>
      <c r="AC217" s="100">
        <f t="shared" si="217"/>
        <v>1027.6004660399358</v>
      </c>
      <c r="AD217" s="100">
        <f t="shared" si="218"/>
        <v>1175.5204660399359</v>
      </c>
      <c r="AE217" s="100">
        <f t="shared" si="219"/>
        <v>6.7874625000000002</v>
      </c>
      <c r="AG217" s="26">
        <f t="shared" si="220"/>
        <v>110.5</v>
      </c>
    </row>
    <row r="218" spans="1:33" s="27" customFormat="1" ht="15.9" customHeight="1">
      <c r="A218" s="86" t="s">
        <v>66</v>
      </c>
      <c r="B218" s="63"/>
      <c r="C218" s="63"/>
      <c r="D218" s="63"/>
      <c r="E218" s="63"/>
      <c r="F218" s="63"/>
      <c r="G218" s="64">
        <f>SUM(G209:G217)</f>
        <v>12</v>
      </c>
      <c r="H218" s="119"/>
      <c r="I218" s="119"/>
      <c r="J218" s="119"/>
      <c r="K218" s="119">
        <f>SUM(K209:K217)</f>
        <v>81.96</v>
      </c>
      <c r="L218" s="65"/>
      <c r="M218" s="65"/>
      <c r="N218" s="65"/>
      <c r="O218" s="138"/>
      <c r="P218" s="101">
        <f>SUM(P209:P217)</f>
        <v>11.59</v>
      </c>
      <c r="Q218" s="66">
        <f>SUM(Q209:Q217)</f>
        <v>0</v>
      </c>
      <c r="R218" s="66">
        <f>SUM(R209:R217)</f>
        <v>0</v>
      </c>
      <c r="S218" s="66">
        <f>SUM(S209:S217)</f>
        <v>8.9599999999999991</v>
      </c>
      <c r="T218" s="66">
        <f>SUM(T209:T217)</f>
        <v>37</v>
      </c>
      <c r="U218" s="66">
        <f>SUM(U209:U217)</f>
        <v>15.501599999999998</v>
      </c>
      <c r="V218" s="66">
        <f>SUM(V209:V217)</f>
        <v>0</v>
      </c>
      <c r="W218" s="66">
        <f>SUM(W209:W217)</f>
        <v>177.2</v>
      </c>
      <c r="X218" s="66">
        <f>SUM(X209:X217)</f>
        <v>842.31</v>
      </c>
      <c r="Y218" s="66">
        <f>SUM(Y209:Y217)</f>
        <v>267.83796613760683</v>
      </c>
      <c r="Z218" s="84">
        <f>SUM(Z209:Z217)</f>
        <v>267.83796613760683</v>
      </c>
      <c r="AA218" s="100"/>
      <c r="AB218" s="100"/>
      <c r="AC218" s="100"/>
      <c r="AD218" s="100"/>
      <c r="AE218" s="100"/>
      <c r="AF218" s="26"/>
      <c r="AG218" s="26"/>
    </row>
    <row r="219" spans="1:33" ht="15.9" customHeight="1">
      <c r="A219" s="52" t="s">
        <v>64</v>
      </c>
      <c r="K219" s="115"/>
      <c r="L219" s="48"/>
      <c r="M219" s="48"/>
      <c r="N219" s="48"/>
      <c r="W219" s="49"/>
      <c r="X219" s="80" t="s">
        <v>222</v>
      </c>
      <c r="Y219" s="92">
        <f>1.01*3031.3</f>
        <v>3061.6130000000003</v>
      </c>
      <c r="Z219" s="92">
        <f>1.01*3031.3</f>
        <v>3061.6130000000003</v>
      </c>
      <c r="AA219" s="100"/>
      <c r="AB219" s="100"/>
      <c r="AC219" s="100"/>
      <c r="AD219" s="100"/>
      <c r="AE219" s="100"/>
      <c r="AF219" s="26"/>
      <c r="AG219" s="26"/>
    </row>
    <row r="220" spans="1:33" s="91" customFormat="1" ht="27.6">
      <c r="A220" s="87" t="s">
        <v>4</v>
      </c>
      <c r="B220" s="88" t="s">
        <v>5</v>
      </c>
      <c r="C220" s="88" t="s">
        <v>24</v>
      </c>
      <c r="D220" s="88" t="s">
        <v>46</v>
      </c>
      <c r="E220" s="88" t="s">
        <v>67</v>
      </c>
      <c r="F220" s="88" t="s">
        <v>6</v>
      </c>
      <c r="G220" s="88" t="s">
        <v>7</v>
      </c>
      <c r="H220" s="116" t="s">
        <v>8</v>
      </c>
      <c r="I220" s="116" t="s">
        <v>47</v>
      </c>
      <c r="J220" s="116" t="s">
        <v>9</v>
      </c>
      <c r="K220" s="116" t="s">
        <v>14</v>
      </c>
      <c r="L220" s="89" t="s">
        <v>20</v>
      </c>
      <c r="M220" s="89" t="s">
        <v>23</v>
      </c>
      <c r="N220" s="89" t="s">
        <v>21</v>
      </c>
      <c r="O220" s="136" t="s">
        <v>10</v>
      </c>
      <c r="P220" s="90" t="s">
        <v>49</v>
      </c>
      <c r="Q220" s="45" t="s">
        <v>50</v>
      </c>
      <c r="R220" s="45" t="s">
        <v>55</v>
      </c>
      <c r="S220" s="45" t="s">
        <v>70</v>
      </c>
      <c r="T220" s="45" t="s">
        <v>13</v>
      </c>
      <c r="U220" s="45" t="s">
        <v>52</v>
      </c>
      <c r="V220" s="45" t="s">
        <v>48</v>
      </c>
      <c r="W220" s="45" t="s">
        <v>15</v>
      </c>
      <c r="X220" s="50" t="s">
        <v>12</v>
      </c>
      <c r="Y220" s="160" t="s">
        <v>22</v>
      </c>
      <c r="Z220" s="50" t="s">
        <v>68</v>
      </c>
      <c r="AA220" s="100"/>
      <c r="AB220" s="100"/>
      <c r="AC220" s="100"/>
      <c r="AD220" s="100"/>
      <c r="AE220" s="100"/>
      <c r="AF220" s="26"/>
      <c r="AG220" s="26"/>
    </row>
    <row r="221" spans="1:33" s="26" customFormat="1" ht="69.599999999999994" thickBot="1">
      <c r="A221" s="165" t="s">
        <v>427</v>
      </c>
      <c r="B221" s="93" t="s">
        <v>428</v>
      </c>
      <c r="C221" s="93" t="s">
        <v>429</v>
      </c>
      <c r="D221" s="93">
        <v>148278</v>
      </c>
      <c r="E221" s="93">
        <v>113</v>
      </c>
      <c r="F221" s="93" t="s">
        <v>74</v>
      </c>
      <c r="G221" s="95">
        <v>2</v>
      </c>
      <c r="H221" s="117">
        <v>9.8099999999999987</v>
      </c>
      <c r="I221" s="117">
        <v>0.14000000000000001</v>
      </c>
      <c r="J221" s="117">
        <v>0.64</v>
      </c>
      <c r="K221" s="118">
        <f>H221-I221-J221</f>
        <v>9.0299999999999976</v>
      </c>
      <c r="L221" s="97" t="s">
        <v>430</v>
      </c>
      <c r="M221" s="97" t="s">
        <v>367</v>
      </c>
      <c r="N221" s="98" t="s">
        <v>431</v>
      </c>
      <c r="O221" s="137">
        <v>9.5</v>
      </c>
      <c r="P221" s="143">
        <v>0.42</v>
      </c>
      <c r="Q221" s="35">
        <f>20*G221</f>
        <v>40</v>
      </c>
      <c r="R221" s="35"/>
      <c r="S221" s="35">
        <f>0.02*(20+4+2)*G221</f>
        <v>1.04</v>
      </c>
      <c r="T221" s="35">
        <f t="shared" ref="T221" si="228">2*G221</f>
        <v>4</v>
      </c>
      <c r="U221" s="35">
        <f t="shared" ref="U221" si="229">IF(RIGHT(F221,2)="WG",K221*$AB$4,IF(RIGHT(F221,3)="WRG",K221*$AB$4+3*G221,IF(RIGHT(F221,3)="WYG",K221*$AB$4+3*G221,IF(RIGHT(F221,3)="WYR",K221*$AB$4+3*G221,0))))</f>
        <v>0</v>
      </c>
      <c r="V221" s="35"/>
      <c r="W221" s="35">
        <f>G221*(20+4+2)*0.3</f>
        <v>15.6</v>
      </c>
      <c r="X221" s="35">
        <f t="shared" ref="X221" si="230">K221*O221</f>
        <v>85.784999999999982</v>
      </c>
      <c r="Y221" s="35">
        <f>($Y$219/31.1035*IF(LEFT(F221,3)="10K",(0.417*1.07*K221),IF(LEFT(F221,3)="14K",(0.585*1.05*K221),IF(LEFT(F221,3)="18K",(0.75*1.05*K221),0))))*0.5</f>
        <v>272.98824795935343</v>
      </c>
      <c r="Z221" s="83">
        <f>($Z$219/31.1035*IF(LEFT(F221,3)="10K",(0.417*1.07*K221),IF(LEFT(F221,3)="14K",(0.585*1.05*K221),IF(LEFT(F221,3)="18K",(0.75*1.05*K221),0))))*0.5</f>
        <v>272.98824795935343</v>
      </c>
      <c r="AA221" s="100">
        <f t="shared" si="215"/>
        <v>18.059999999999995</v>
      </c>
      <c r="AB221" s="100">
        <f t="shared" si="216"/>
        <v>128.36499999999998</v>
      </c>
      <c r="AC221" s="100">
        <f t="shared" si="217"/>
        <v>546.33437073816413</v>
      </c>
      <c r="AD221" s="100">
        <f t="shared" si="218"/>
        <v>674.69937073816413</v>
      </c>
      <c r="AE221" s="100">
        <f t="shared" si="219"/>
        <v>5.5466774999999986</v>
      </c>
      <c r="AG221" s="26">
        <f t="shared" si="220"/>
        <v>85.784999999999982</v>
      </c>
    </row>
    <row r="222" spans="1:33" s="27" customFormat="1" ht="15.9" customHeight="1">
      <c r="A222" s="86" t="s">
        <v>66</v>
      </c>
      <c r="B222" s="63"/>
      <c r="C222" s="63"/>
      <c r="D222" s="63"/>
      <c r="E222" s="63"/>
      <c r="F222" s="63"/>
      <c r="G222" s="64">
        <f>SUM(G221:G221)</f>
        <v>2</v>
      </c>
      <c r="H222" s="119"/>
      <c r="I222" s="119"/>
      <c r="J222" s="119"/>
      <c r="K222" s="119">
        <f>SUM(K221:K221)</f>
        <v>9.0299999999999976</v>
      </c>
      <c r="L222" s="65"/>
      <c r="M222" s="65"/>
      <c r="N222" s="65"/>
      <c r="O222" s="138"/>
      <c r="P222" s="101">
        <f t="shared" ref="P222:Z222" si="231">SUM(P221:P221)</f>
        <v>0.42</v>
      </c>
      <c r="Q222" s="66">
        <f t="shared" si="231"/>
        <v>40</v>
      </c>
      <c r="R222" s="66">
        <f t="shared" si="231"/>
        <v>0</v>
      </c>
      <c r="S222" s="66">
        <f t="shared" si="231"/>
        <v>1.04</v>
      </c>
      <c r="T222" s="66">
        <f t="shared" si="231"/>
        <v>4</v>
      </c>
      <c r="U222" s="66">
        <f t="shared" si="231"/>
        <v>0</v>
      </c>
      <c r="V222" s="66">
        <f t="shared" si="231"/>
        <v>0</v>
      </c>
      <c r="W222" s="66">
        <f t="shared" si="231"/>
        <v>15.6</v>
      </c>
      <c r="X222" s="66">
        <f t="shared" si="231"/>
        <v>85.784999999999982</v>
      </c>
      <c r="Y222" s="66">
        <f t="shared" si="231"/>
        <v>272.98824795935343</v>
      </c>
      <c r="Z222" s="84">
        <f t="shared" si="231"/>
        <v>272.98824795935343</v>
      </c>
      <c r="AA222" s="100"/>
      <c r="AB222" s="100"/>
      <c r="AC222" s="100"/>
      <c r="AD222" s="100"/>
      <c r="AE222" s="100"/>
      <c r="AF222" s="26"/>
      <c r="AG222" s="26"/>
    </row>
    <row r="223" spans="1:33" ht="15.9" customHeight="1">
      <c r="A223" s="52" t="s">
        <v>64</v>
      </c>
      <c r="K223" s="115"/>
      <c r="L223" s="48"/>
      <c r="M223" s="48"/>
      <c r="N223" s="48"/>
      <c r="W223" s="49"/>
      <c r="X223" s="80" t="s">
        <v>144</v>
      </c>
      <c r="Y223" s="92">
        <f>3030.25*1.02</f>
        <v>3090.855</v>
      </c>
      <c r="Z223" s="92">
        <f>3030.25*1.02</f>
        <v>3090.855</v>
      </c>
      <c r="AA223" s="100"/>
      <c r="AB223" s="100"/>
      <c r="AC223" s="100"/>
      <c r="AD223" s="100"/>
      <c r="AE223" s="100"/>
      <c r="AF223" s="26"/>
      <c r="AG223" s="26"/>
    </row>
    <row r="224" spans="1:33" s="91" customFormat="1" ht="27.6">
      <c r="A224" s="87" t="s">
        <v>4</v>
      </c>
      <c r="B224" s="88" t="s">
        <v>5</v>
      </c>
      <c r="C224" s="88" t="s">
        <v>24</v>
      </c>
      <c r="D224" s="88" t="s">
        <v>46</v>
      </c>
      <c r="E224" s="88" t="s">
        <v>67</v>
      </c>
      <c r="F224" s="88" t="s">
        <v>6</v>
      </c>
      <c r="G224" s="88" t="s">
        <v>7</v>
      </c>
      <c r="H224" s="116" t="s">
        <v>8</v>
      </c>
      <c r="I224" s="116" t="s">
        <v>47</v>
      </c>
      <c r="J224" s="116" t="s">
        <v>9</v>
      </c>
      <c r="K224" s="116" t="s">
        <v>14</v>
      </c>
      <c r="L224" s="89" t="s">
        <v>20</v>
      </c>
      <c r="M224" s="89" t="s">
        <v>23</v>
      </c>
      <c r="N224" s="89" t="s">
        <v>21</v>
      </c>
      <c r="O224" s="136" t="s">
        <v>10</v>
      </c>
      <c r="P224" s="90" t="s">
        <v>49</v>
      </c>
      <c r="Q224" s="45" t="s">
        <v>50</v>
      </c>
      <c r="R224" s="45" t="s">
        <v>55</v>
      </c>
      <c r="S224" s="45" t="s">
        <v>70</v>
      </c>
      <c r="T224" s="45" t="s">
        <v>13</v>
      </c>
      <c r="U224" s="45" t="s">
        <v>52</v>
      </c>
      <c r="V224" s="45" t="s">
        <v>48</v>
      </c>
      <c r="W224" s="45" t="s">
        <v>15</v>
      </c>
      <c r="X224" s="50" t="s">
        <v>12</v>
      </c>
      <c r="Y224" s="160" t="s">
        <v>22</v>
      </c>
      <c r="Z224" s="50" t="s">
        <v>68</v>
      </c>
      <c r="AA224" s="100"/>
      <c r="AB224" s="100"/>
      <c r="AC224" s="100"/>
      <c r="AD224" s="100"/>
      <c r="AE224" s="100"/>
      <c r="AF224" s="26"/>
      <c r="AG224" s="26"/>
    </row>
    <row r="225" spans="1:33" s="26" customFormat="1" ht="28.2" thickBot="1">
      <c r="A225" s="165" t="s">
        <v>432</v>
      </c>
      <c r="B225" s="96" t="s">
        <v>433</v>
      </c>
      <c r="C225" s="93" t="s">
        <v>434</v>
      </c>
      <c r="D225" s="93">
        <v>148305</v>
      </c>
      <c r="E225" s="93">
        <v>102</v>
      </c>
      <c r="F225" s="93" t="s">
        <v>73</v>
      </c>
      <c r="G225" s="167">
        <v>1</v>
      </c>
      <c r="H225" s="168">
        <v>9.92</v>
      </c>
      <c r="I225" s="168">
        <v>0.21</v>
      </c>
      <c r="J225" s="168">
        <v>0.5</v>
      </c>
      <c r="K225" s="169">
        <f t="shared" ref="K225" si="232">H225-I225-J225</f>
        <v>9.2099999999999991</v>
      </c>
      <c r="L225" s="97">
        <v>2.65</v>
      </c>
      <c r="M225" s="97" t="s">
        <v>63</v>
      </c>
      <c r="N225" s="98">
        <v>15</v>
      </c>
      <c r="O225" s="137">
        <v>11.5</v>
      </c>
      <c r="P225" s="143">
        <v>1.04</v>
      </c>
      <c r="Q225" s="35"/>
      <c r="R225" s="35"/>
      <c r="S225" s="35">
        <f t="shared" ref="S225" si="233">0.02*N225*G225</f>
        <v>0.3</v>
      </c>
      <c r="T225" s="35">
        <f t="shared" ref="T225" si="234">2*G225</f>
        <v>2</v>
      </c>
      <c r="U225" s="35">
        <f t="shared" ref="U225" si="235">IF(RIGHT(F225,2)="WG",K225*$AB$4,IF(RIGHT(F225,3)="WRG",K225*$AB$4+3*G225,IF(RIGHT(F225,3)="WYG",K225*$AB$4+3*G225,IF(RIGHT(F225,3)="WYR",K225*$AB$4+3*G225,0))))</f>
        <v>2.2103999999999995</v>
      </c>
      <c r="V225" s="35"/>
      <c r="W225" s="35">
        <f>G225*N225*1</f>
        <v>15</v>
      </c>
      <c r="X225" s="35">
        <f t="shared" ref="X225" si="236">K225*O225</f>
        <v>105.91499999999999</v>
      </c>
      <c r="Y225" s="35">
        <f>($Y$223/31.1035*IF(LEFT(F225,3)="10K",(0.417*1.07*K225),IF(LEFT(F225,3)="14K",(0.585*1.05*K225),IF(LEFT(F225,3)="18K",(0.75*1.05*K225),0))))*0.5</f>
        <v>281.08920647736585</v>
      </c>
      <c r="Z225" s="83">
        <f>($Z$223/31.1035*IF(LEFT(F225,3)="10K",(0.417*1.07*K225),IF(LEFT(F225,3)="14K",(0.585*1.05*K225),IF(LEFT(F225,3)="18K",(0.75*1.05*K225),0))))*0.5</f>
        <v>281.08920647736585</v>
      </c>
      <c r="AA225" s="100">
        <f t="shared" si="215"/>
        <v>18.419999999999998</v>
      </c>
      <c r="AB225" s="100">
        <f t="shared" si="216"/>
        <v>107.00539999999999</v>
      </c>
      <c r="AC225" s="100">
        <f t="shared" si="217"/>
        <v>771.25606563735892</v>
      </c>
      <c r="AD225" s="100">
        <f t="shared" si="218"/>
        <v>878.26146563735892</v>
      </c>
      <c r="AE225" s="100">
        <f t="shared" si="219"/>
        <v>5.6572424999999988</v>
      </c>
      <c r="AG225" s="26">
        <f t="shared" si="220"/>
        <v>105.91499999999999</v>
      </c>
    </row>
    <row r="226" spans="1:33" s="27" customFormat="1" ht="15.9" customHeight="1">
      <c r="A226" s="86" t="s">
        <v>66</v>
      </c>
      <c r="B226" s="63"/>
      <c r="C226" s="63"/>
      <c r="D226" s="63"/>
      <c r="E226" s="63"/>
      <c r="F226" s="63"/>
      <c r="G226" s="170">
        <f>SUM(G225:G225)</f>
        <v>1</v>
      </c>
      <c r="H226" s="171"/>
      <c r="I226" s="171"/>
      <c r="J226" s="171"/>
      <c r="K226" s="171">
        <f>SUM(K225:K225)</f>
        <v>9.2099999999999991</v>
      </c>
      <c r="L226" s="65"/>
      <c r="M226" s="65"/>
      <c r="N226" s="65"/>
      <c r="O226" s="138"/>
      <c r="P226" s="101">
        <f t="shared" ref="P226:Z226" si="237">SUM(P225:P225)</f>
        <v>1.04</v>
      </c>
      <c r="Q226" s="66">
        <f t="shared" si="237"/>
        <v>0</v>
      </c>
      <c r="R226" s="66">
        <f t="shared" si="237"/>
        <v>0</v>
      </c>
      <c r="S226" s="66">
        <f t="shared" si="237"/>
        <v>0.3</v>
      </c>
      <c r="T226" s="66">
        <f t="shared" si="237"/>
        <v>2</v>
      </c>
      <c r="U226" s="66">
        <f t="shared" si="237"/>
        <v>2.2103999999999995</v>
      </c>
      <c r="V226" s="66">
        <f t="shared" si="237"/>
        <v>0</v>
      </c>
      <c r="W226" s="66">
        <f t="shared" si="237"/>
        <v>15</v>
      </c>
      <c r="X226" s="66">
        <f t="shared" si="237"/>
        <v>105.91499999999999</v>
      </c>
      <c r="Y226" s="66">
        <f t="shared" si="237"/>
        <v>281.08920647736585</v>
      </c>
      <c r="Z226" s="84">
        <f t="shared" si="237"/>
        <v>281.08920647736585</v>
      </c>
      <c r="AA226" s="100"/>
      <c r="AB226" s="100"/>
      <c r="AC226" s="100"/>
      <c r="AD226" s="100"/>
      <c r="AE226" s="100"/>
      <c r="AF226" s="26"/>
      <c r="AG226" s="26"/>
    </row>
    <row r="227" spans="1:33" ht="15.9" customHeight="1">
      <c r="A227" s="52" t="s">
        <v>64</v>
      </c>
      <c r="K227" s="115"/>
      <c r="L227" s="48"/>
      <c r="M227" s="48"/>
      <c r="N227" s="48"/>
      <c r="W227" s="49"/>
      <c r="X227" s="80" t="s">
        <v>347</v>
      </c>
      <c r="Y227" s="92">
        <f>3034*1.02</f>
        <v>3094.68</v>
      </c>
      <c r="Z227" s="92">
        <f>3034*1.02</f>
        <v>3094.68</v>
      </c>
      <c r="AA227" s="100"/>
      <c r="AB227" s="100"/>
      <c r="AC227" s="100"/>
      <c r="AD227" s="100"/>
      <c r="AE227" s="100"/>
      <c r="AF227" s="26"/>
      <c r="AG227" s="26"/>
    </row>
    <row r="228" spans="1:33" s="91" customFormat="1" ht="27.6">
      <c r="A228" s="87" t="s">
        <v>4</v>
      </c>
      <c r="B228" s="88" t="s">
        <v>5</v>
      </c>
      <c r="C228" s="88" t="s">
        <v>24</v>
      </c>
      <c r="D228" s="88" t="s">
        <v>46</v>
      </c>
      <c r="E228" s="88" t="s">
        <v>67</v>
      </c>
      <c r="F228" s="88" t="s">
        <v>6</v>
      </c>
      <c r="G228" s="88" t="s">
        <v>7</v>
      </c>
      <c r="H228" s="116" t="s">
        <v>8</v>
      </c>
      <c r="I228" s="116" t="s">
        <v>47</v>
      </c>
      <c r="J228" s="116" t="s">
        <v>9</v>
      </c>
      <c r="K228" s="116" t="s">
        <v>14</v>
      </c>
      <c r="L228" s="89" t="s">
        <v>20</v>
      </c>
      <c r="M228" s="89" t="s">
        <v>23</v>
      </c>
      <c r="N228" s="89" t="s">
        <v>21</v>
      </c>
      <c r="O228" s="136" t="s">
        <v>10</v>
      </c>
      <c r="P228" s="90" t="s">
        <v>49</v>
      </c>
      <c r="Q228" s="45" t="s">
        <v>50</v>
      </c>
      <c r="R228" s="45" t="s">
        <v>55</v>
      </c>
      <c r="S228" s="45" t="s">
        <v>70</v>
      </c>
      <c r="T228" s="45" t="s">
        <v>13</v>
      </c>
      <c r="U228" s="45" t="s">
        <v>52</v>
      </c>
      <c r="V228" s="45" t="s">
        <v>48</v>
      </c>
      <c r="W228" s="45" t="s">
        <v>15</v>
      </c>
      <c r="X228" s="50" t="s">
        <v>12</v>
      </c>
      <c r="Y228" s="160" t="s">
        <v>22</v>
      </c>
      <c r="Z228" s="50" t="s">
        <v>68</v>
      </c>
      <c r="AA228" s="100"/>
      <c r="AB228" s="100"/>
      <c r="AC228" s="100"/>
      <c r="AD228" s="100"/>
      <c r="AE228" s="100"/>
      <c r="AF228" s="26"/>
      <c r="AG228" s="26"/>
    </row>
    <row r="229" spans="1:33" s="26" customFormat="1" ht="27.6">
      <c r="A229" s="165" t="s">
        <v>435</v>
      </c>
      <c r="B229" s="93" t="s">
        <v>97</v>
      </c>
      <c r="C229" s="93" t="s">
        <v>294</v>
      </c>
      <c r="D229" s="93">
        <v>148323</v>
      </c>
      <c r="E229" s="93">
        <v>101</v>
      </c>
      <c r="F229" s="93" t="s">
        <v>73</v>
      </c>
      <c r="G229" s="167">
        <v>1</v>
      </c>
      <c r="H229" s="168">
        <v>6.58</v>
      </c>
      <c r="I229" s="168">
        <v>0.03</v>
      </c>
      <c r="J229" s="168">
        <v>0.32</v>
      </c>
      <c r="K229" s="169">
        <f t="shared" ref="K229:K233" si="238">H229-I229-J229</f>
        <v>6.2299999999999995</v>
      </c>
      <c r="L229" s="97">
        <v>1.5</v>
      </c>
      <c r="M229" s="97" t="s">
        <v>63</v>
      </c>
      <c r="N229" s="98">
        <v>13</v>
      </c>
      <c r="O229" s="137">
        <v>9.5</v>
      </c>
      <c r="P229" s="143">
        <v>0.17</v>
      </c>
      <c r="Q229" s="35"/>
      <c r="R229" s="35"/>
      <c r="S229" s="35">
        <f t="shared" ref="S229:S230" si="239">0.02*N229*G229</f>
        <v>0.26</v>
      </c>
      <c r="T229" s="35">
        <f t="shared" ref="T229:T233" si="240">2*G229</f>
        <v>2</v>
      </c>
      <c r="U229" s="35">
        <f t="shared" ref="U229:U233" si="241">IF(RIGHT(F229,2)="WG",K229*$AB$4,IF(RIGHT(F229,3)="WRG",K229*$AB$4+3*G229,IF(RIGHT(F229,3)="WYG",K229*$AB$4+3*G229,IF(RIGHT(F229,3)="WYR",K229*$AB$4+3*G229,0))))</f>
        <v>1.4951999999999999</v>
      </c>
      <c r="V229" s="35"/>
      <c r="W229" s="35">
        <f t="shared" ref="W229:W230" si="242">G229*N229*0.3</f>
        <v>3.9</v>
      </c>
      <c r="X229" s="35">
        <f t="shared" ref="X229:X233" si="243">K229*O229</f>
        <v>59.184999999999995</v>
      </c>
      <c r="Y229" s="35">
        <f>($Y$227/31.1035*IF(LEFT(F229,3)="10K",(0.417*1.07*K229),IF(LEFT(F229,3)="14K",(0.585*1.05*K229),IF(LEFT(F229,3)="18K",(0.75*1.05*K229),0))))*0.5</f>
        <v>190.37490625974564</v>
      </c>
      <c r="Z229" s="83">
        <f>($Z$227/31.1035*IF(LEFT(F229,3)="10K",(0.417*1.07*K229),IF(LEFT(F229,3)="14K",(0.585*1.05*K229),IF(LEFT(F229,3)="18K",(0.75*1.05*K229),0))))*0.5</f>
        <v>190.37490625974564</v>
      </c>
      <c r="AA229" s="100">
        <f t="shared" si="215"/>
        <v>12.459999999999999</v>
      </c>
      <c r="AB229" s="100">
        <f t="shared" si="216"/>
        <v>54.380199999999995</v>
      </c>
      <c r="AC229" s="100">
        <f t="shared" si="217"/>
        <v>335.01729053687598</v>
      </c>
      <c r="AD229" s="100">
        <f t="shared" si="218"/>
        <v>389.39749053687598</v>
      </c>
      <c r="AE229" s="100">
        <f t="shared" si="219"/>
        <v>3.8267774999999995</v>
      </c>
      <c r="AG229" s="26">
        <f t="shared" si="220"/>
        <v>59.184999999999995</v>
      </c>
    </row>
    <row r="230" spans="1:33" s="26" customFormat="1" ht="27.6">
      <c r="A230" s="94"/>
      <c r="B230" s="93" t="s">
        <v>97</v>
      </c>
      <c r="C230" s="93" t="s">
        <v>436</v>
      </c>
      <c r="D230" s="93">
        <v>148323</v>
      </c>
      <c r="E230" s="93">
        <v>116</v>
      </c>
      <c r="F230" s="93" t="s">
        <v>159</v>
      </c>
      <c r="G230" s="167">
        <v>2</v>
      </c>
      <c r="H230" s="168">
        <v>12.32</v>
      </c>
      <c r="I230" s="168">
        <v>0.06</v>
      </c>
      <c r="J230" s="168">
        <v>0.64</v>
      </c>
      <c r="K230" s="169">
        <f t="shared" si="238"/>
        <v>11.62</v>
      </c>
      <c r="L230" s="97">
        <v>1.5</v>
      </c>
      <c r="M230" s="97" t="s">
        <v>63</v>
      </c>
      <c r="N230" s="98">
        <v>13</v>
      </c>
      <c r="O230" s="137">
        <v>9.5</v>
      </c>
      <c r="P230" s="143">
        <v>0.34</v>
      </c>
      <c r="Q230" s="35"/>
      <c r="R230" s="35"/>
      <c r="S230" s="35">
        <f t="shared" si="239"/>
        <v>0.52</v>
      </c>
      <c r="T230" s="35">
        <f t="shared" si="240"/>
        <v>4</v>
      </c>
      <c r="U230" s="35">
        <f t="shared" si="241"/>
        <v>0</v>
      </c>
      <c r="V230" s="35"/>
      <c r="W230" s="35">
        <f t="shared" si="242"/>
        <v>7.8</v>
      </c>
      <c r="X230" s="35">
        <f t="shared" si="243"/>
        <v>110.38999999999999</v>
      </c>
      <c r="Y230" s="35">
        <f t="shared" ref="Y230:Y233" si="244">($Y$227/31.1035*IF(LEFT(F230,3)="10K",(0.417*1.07*K230),IF(LEFT(F230,3)="14K",(0.585*1.05*K230),IF(LEFT(F230,3)="18K",(0.75*1.05*K230),0))))*0.5</f>
        <v>355.08128583278403</v>
      </c>
      <c r="Z230" s="83">
        <f t="shared" ref="Z230:Z233" si="245">($Z$227/31.1035*IF(LEFT(F230,3)="10K",(0.417*1.07*K230),IF(LEFT(F230,3)="14K",(0.585*1.05*K230),IF(LEFT(F230,3)="18K",(0.75*1.05*K230),0))))*0.5</f>
        <v>355.08128583278403</v>
      </c>
      <c r="AA230" s="100">
        <f t="shared" si="215"/>
        <v>23.24</v>
      </c>
      <c r="AB230" s="100">
        <f t="shared" si="216"/>
        <v>99.469999999999985</v>
      </c>
      <c r="AC230" s="100">
        <f t="shared" si="217"/>
        <v>632.88474107375191</v>
      </c>
      <c r="AD230" s="100">
        <f t="shared" si="218"/>
        <v>732.35474107375194</v>
      </c>
      <c r="AE230" s="100">
        <f t="shared" si="219"/>
        <v>7.1375849999999987</v>
      </c>
      <c r="AG230" s="26">
        <f t="shared" si="220"/>
        <v>110.38999999999999</v>
      </c>
    </row>
    <row r="231" spans="1:33" s="26" customFormat="1" ht="41.4">
      <c r="A231" s="94">
        <v>2</v>
      </c>
      <c r="B231" s="93" t="s">
        <v>437</v>
      </c>
      <c r="C231" s="93" t="s">
        <v>156</v>
      </c>
      <c r="D231" s="93">
        <v>148323</v>
      </c>
      <c r="E231" s="93">
        <v>102</v>
      </c>
      <c r="F231" s="93" t="s">
        <v>73</v>
      </c>
      <c r="G231" s="167">
        <v>1</v>
      </c>
      <c r="H231" s="168">
        <v>9.89</v>
      </c>
      <c r="I231" s="168">
        <v>0.28999999999999998</v>
      </c>
      <c r="J231" s="168">
        <v>0.31</v>
      </c>
      <c r="K231" s="169">
        <f t="shared" si="238"/>
        <v>9.2900000000000009</v>
      </c>
      <c r="L231" s="97" t="s">
        <v>157</v>
      </c>
      <c r="M231" s="97" t="s">
        <v>91</v>
      </c>
      <c r="N231" s="98" t="s">
        <v>158</v>
      </c>
      <c r="O231" s="137">
        <v>8.5</v>
      </c>
      <c r="P231" s="143">
        <v>1.46</v>
      </c>
      <c r="Q231" s="35"/>
      <c r="R231" s="35"/>
      <c r="S231" s="35">
        <f>0.02*(8+12+24)*G231</f>
        <v>0.88</v>
      </c>
      <c r="T231" s="35">
        <f t="shared" si="240"/>
        <v>2</v>
      </c>
      <c r="U231" s="35">
        <f t="shared" si="241"/>
        <v>2.2296</v>
      </c>
      <c r="V231" s="35"/>
      <c r="W231" s="35">
        <f>((8+12)*0.6+(0.3*24))*G231</f>
        <v>19.2</v>
      </c>
      <c r="X231" s="35">
        <f t="shared" si="243"/>
        <v>78.965000000000003</v>
      </c>
      <c r="Y231" s="35">
        <f t="shared" si="244"/>
        <v>283.88168204703652</v>
      </c>
      <c r="Z231" s="83">
        <f t="shared" si="245"/>
        <v>283.88168204703652</v>
      </c>
      <c r="AA231" s="100">
        <f t="shared" si="215"/>
        <v>18.580000000000002</v>
      </c>
      <c r="AB231" s="100">
        <f t="shared" si="216"/>
        <v>84.694600000000008</v>
      </c>
      <c r="AC231" s="100">
        <f t="shared" si="217"/>
        <v>921.76773637552333</v>
      </c>
      <c r="AD231" s="100">
        <f t="shared" si="218"/>
        <v>1006.4623363755234</v>
      </c>
      <c r="AE231" s="100">
        <f t="shared" si="219"/>
        <v>5.7063825000000001</v>
      </c>
      <c r="AG231" s="26">
        <f t="shared" si="220"/>
        <v>78.965000000000003</v>
      </c>
    </row>
    <row r="232" spans="1:33" s="26" customFormat="1" ht="55.2">
      <c r="A232" s="94">
        <v>7</v>
      </c>
      <c r="B232" s="93" t="s">
        <v>326</v>
      </c>
      <c r="C232" s="93" t="s">
        <v>438</v>
      </c>
      <c r="D232" s="93">
        <v>148323</v>
      </c>
      <c r="E232" s="93">
        <v>109</v>
      </c>
      <c r="F232" s="93" t="s">
        <v>73</v>
      </c>
      <c r="G232" s="167">
        <v>1</v>
      </c>
      <c r="H232" s="168">
        <v>7.41</v>
      </c>
      <c r="I232" s="168">
        <v>0.14000000000000001</v>
      </c>
      <c r="J232" s="168">
        <v>0.32</v>
      </c>
      <c r="K232" s="169">
        <f t="shared" si="238"/>
        <v>6.95</v>
      </c>
      <c r="L232" s="97" t="s">
        <v>312</v>
      </c>
      <c r="M232" s="97" t="s">
        <v>174</v>
      </c>
      <c r="N232" s="98" t="s">
        <v>313</v>
      </c>
      <c r="O232" s="137">
        <v>11.5</v>
      </c>
      <c r="P232" s="143">
        <v>0.72</v>
      </c>
      <c r="Q232" s="35"/>
      <c r="R232" s="35"/>
      <c r="S232" s="35">
        <f>0.02*(24+4+18+3)*G232</f>
        <v>0.98</v>
      </c>
      <c r="T232" s="35">
        <f t="shared" si="240"/>
        <v>2</v>
      </c>
      <c r="U232" s="35">
        <f t="shared" si="241"/>
        <v>1.6679999999999999</v>
      </c>
      <c r="V232" s="35"/>
      <c r="W232" s="35">
        <f>((24+18)*0.6+(4+3)*0.5)*G232</f>
        <v>28.7</v>
      </c>
      <c r="X232" s="35">
        <f t="shared" si="243"/>
        <v>79.924999999999997</v>
      </c>
      <c r="Y232" s="35">
        <f t="shared" si="244"/>
        <v>212.37650056263763</v>
      </c>
      <c r="Z232" s="83">
        <f t="shared" si="245"/>
        <v>212.37650056263763</v>
      </c>
      <c r="AA232" s="100">
        <f t="shared" si="215"/>
        <v>13.9</v>
      </c>
      <c r="AB232" s="100">
        <f t="shared" si="216"/>
        <v>99.37299999999999</v>
      </c>
      <c r="AC232" s="100">
        <f t="shared" si="217"/>
        <v>559.32542697971007</v>
      </c>
      <c r="AD232" s="100">
        <f t="shared" si="218"/>
        <v>658.69842697971012</v>
      </c>
      <c r="AE232" s="100">
        <f t="shared" si="219"/>
        <v>4.2690374999999996</v>
      </c>
      <c r="AG232" s="26">
        <f t="shared" si="220"/>
        <v>79.924999999999997</v>
      </c>
    </row>
    <row r="233" spans="1:33" s="26" customFormat="1" ht="55.8" thickBot="1">
      <c r="A233" s="94">
        <v>10</v>
      </c>
      <c r="B233" s="96" t="s">
        <v>232</v>
      </c>
      <c r="C233" s="93" t="s">
        <v>233</v>
      </c>
      <c r="D233" s="93">
        <v>148323</v>
      </c>
      <c r="E233" s="93">
        <v>115</v>
      </c>
      <c r="F233" s="93" t="s">
        <v>74</v>
      </c>
      <c r="G233" s="167">
        <v>1</v>
      </c>
      <c r="H233" s="168">
        <v>11.2</v>
      </c>
      <c r="I233" s="168">
        <v>0.11</v>
      </c>
      <c r="J233" s="168">
        <v>0.32</v>
      </c>
      <c r="K233" s="169">
        <f t="shared" si="238"/>
        <v>10.77</v>
      </c>
      <c r="L233" s="97" t="s">
        <v>234</v>
      </c>
      <c r="M233" s="97" t="s">
        <v>174</v>
      </c>
      <c r="N233" s="98" t="s">
        <v>235</v>
      </c>
      <c r="O233" s="137">
        <v>8.5</v>
      </c>
      <c r="P233" s="143">
        <v>0.54</v>
      </c>
      <c r="Q233" s="35"/>
      <c r="R233" s="35"/>
      <c r="S233" s="35">
        <f>0.02*(6+18+18+3)*G233</f>
        <v>0.9</v>
      </c>
      <c r="T233" s="35">
        <f t="shared" si="240"/>
        <v>2</v>
      </c>
      <c r="U233" s="35">
        <f t="shared" si="241"/>
        <v>0</v>
      </c>
      <c r="V233" s="35"/>
      <c r="W233" s="35">
        <f>G233*(6+18+18+3)*0.3</f>
        <v>13.5</v>
      </c>
      <c r="X233" s="35">
        <f t="shared" si="243"/>
        <v>91.545000000000002</v>
      </c>
      <c r="Y233" s="35">
        <f t="shared" si="244"/>
        <v>329.10718144742549</v>
      </c>
      <c r="Z233" s="83">
        <f t="shared" si="245"/>
        <v>329.10718144742549</v>
      </c>
      <c r="AA233" s="100">
        <f t="shared" si="215"/>
        <v>21.54</v>
      </c>
      <c r="AB233" s="100">
        <f t="shared" si="216"/>
        <v>86.405000000000001</v>
      </c>
      <c r="AC233" s="100">
        <f t="shared" si="217"/>
        <v>665.28006523478257</v>
      </c>
      <c r="AD233" s="100">
        <f t="shared" si="218"/>
        <v>751.68506523478254</v>
      </c>
      <c r="AE233" s="100">
        <f t="shared" si="219"/>
        <v>6.6154724999999992</v>
      </c>
      <c r="AG233" s="26">
        <f t="shared" si="220"/>
        <v>91.545000000000002</v>
      </c>
    </row>
    <row r="234" spans="1:33" s="27" customFormat="1" ht="15.9" customHeight="1">
      <c r="A234" s="86" t="s">
        <v>66</v>
      </c>
      <c r="B234" s="63"/>
      <c r="C234" s="63"/>
      <c r="D234" s="63"/>
      <c r="E234" s="63"/>
      <c r="F234" s="63"/>
      <c r="G234" s="170">
        <f>SUM(G229:G233)</f>
        <v>6</v>
      </c>
      <c r="H234" s="171"/>
      <c r="I234" s="171"/>
      <c r="J234" s="171"/>
      <c r="K234" s="171">
        <f>SUM(K229:K233)</f>
        <v>44.86</v>
      </c>
      <c r="L234" s="65"/>
      <c r="M234" s="65"/>
      <c r="N234" s="65"/>
      <c r="O234" s="138"/>
      <c r="P234" s="101">
        <f>SUM(P230:P233)</f>
        <v>3.06</v>
      </c>
      <c r="Q234" s="66">
        <f t="shared" ref="Q234:Z234" si="246">SUM(Q229:Q233)</f>
        <v>0</v>
      </c>
      <c r="R234" s="66">
        <f t="shared" si="246"/>
        <v>0</v>
      </c>
      <c r="S234" s="66">
        <f t="shared" si="246"/>
        <v>3.54</v>
      </c>
      <c r="T234" s="66">
        <f t="shared" si="246"/>
        <v>12</v>
      </c>
      <c r="U234" s="66">
        <f t="shared" si="246"/>
        <v>5.3928000000000003</v>
      </c>
      <c r="V234" s="66">
        <f t="shared" si="246"/>
        <v>0</v>
      </c>
      <c r="W234" s="66">
        <f t="shared" si="246"/>
        <v>73.099999999999994</v>
      </c>
      <c r="X234" s="66">
        <f t="shared" si="246"/>
        <v>420.01</v>
      </c>
      <c r="Y234" s="66">
        <f t="shared" si="246"/>
        <v>1370.8215561496295</v>
      </c>
      <c r="Z234" s="84">
        <f t="shared" si="246"/>
        <v>1370.8215561496295</v>
      </c>
      <c r="AA234" s="100"/>
      <c r="AB234" s="100"/>
      <c r="AC234" s="100"/>
      <c r="AD234" s="100"/>
      <c r="AE234" s="100"/>
      <c r="AF234" s="26"/>
      <c r="AG234" s="26"/>
    </row>
    <row r="235" spans="1:33" ht="15.9" customHeight="1">
      <c r="A235" s="52" t="s">
        <v>64</v>
      </c>
      <c r="K235" s="115"/>
      <c r="L235" s="48"/>
      <c r="M235" s="48"/>
      <c r="N235" s="48"/>
      <c r="W235" s="49"/>
      <c r="X235" s="80" t="s">
        <v>180</v>
      </c>
      <c r="Y235" s="92">
        <f>3021.7*1.02</f>
        <v>3082.134</v>
      </c>
      <c r="Z235" s="92">
        <f>3021.7*1.02</f>
        <v>3082.134</v>
      </c>
      <c r="AA235" s="100"/>
      <c r="AB235" s="100"/>
      <c r="AC235" s="100"/>
      <c r="AD235" s="100"/>
      <c r="AE235" s="100"/>
      <c r="AF235" s="26"/>
      <c r="AG235" s="26"/>
    </row>
    <row r="236" spans="1:33" s="91" customFormat="1" ht="27.6">
      <c r="A236" s="87" t="s">
        <v>4</v>
      </c>
      <c r="B236" s="88" t="s">
        <v>5</v>
      </c>
      <c r="C236" s="88" t="s">
        <v>24</v>
      </c>
      <c r="D236" s="88" t="s">
        <v>46</v>
      </c>
      <c r="E236" s="88" t="s">
        <v>67</v>
      </c>
      <c r="F236" s="88" t="s">
        <v>6</v>
      </c>
      <c r="G236" s="88" t="s">
        <v>7</v>
      </c>
      <c r="H236" s="116" t="s">
        <v>8</v>
      </c>
      <c r="I236" s="116" t="s">
        <v>47</v>
      </c>
      <c r="J236" s="116" t="s">
        <v>9</v>
      </c>
      <c r="K236" s="116" t="s">
        <v>14</v>
      </c>
      <c r="L236" s="89" t="s">
        <v>20</v>
      </c>
      <c r="M236" s="89" t="s">
        <v>23</v>
      </c>
      <c r="N236" s="89" t="s">
        <v>21</v>
      </c>
      <c r="O236" s="136" t="s">
        <v>10</v>
      </c>
      <c r="P236" s="90" t="s">
        <v>49</v>
      </c>
      <c r="Q236" s="45" t="s">
        <v>50</v>
      </c>
      <c r="R236" s="45" t="s">
        <v>55</v>
      </c>
      <c r="S236" s="45" t="s">
        <v>70</v>
      </c>
      <c r="T236" s="45" t="s">
        <v>13</v>
      </c>
      <c r="U236" s="45" t="s">
        <v>52</v>
      </c>
      <c r="V236" s="45" t="s">
        <v>48</v>
      </c>
      <c r="W236" s="45" t="s">
        <v>15</v>
      </c>
      <c r="X236" s="50" t="s">
        <v>12</v>
      </c>
      <c r="Y236" s="160" t="s">
        <v>22</v>
      </c>
      <c r="Z236" s="50" t="s">
        <v>68</v>
      </c>
      <c r="AA236" s="100"/>
      <c r="AB236" s="100"/>
      <c r="AC236" s="100"/>
      <c r="AD236" s="100"/>
      <c r="AE236" s="100"/>
      <c r="AF236" s="26"/>
      <c r="AG236" s="26"/>
    </row>
    <row r="237" spans="1:33" s="26" customFormat="1" ht="41.4">
      <c r="A237" s="165" t="s">
        <v>443</v>
      </c>
      <c r="B237" s="96" t="s">
        <v>444</v>
      </c>
      <c r="C237" s="93" t="s">
        <v>445</v>
      </c>
      <c r="D237" s="93">
        <v>148333</v>
      </c>
      <c r="E237" s="93">
        <v>104</v>
      </c>
      <c r="F237" s="93" t="s">
        <v>74</v>
      </c>
      <c r="G237" s="95">
        <v>1</v>
      </c>
      <c r="H237" s="117">
        <v>9.4600000000000009</v>
      </c>
      <c r="I237" s="117">
        <v>0.21</v>
      </c>
      <c r="J237" s="117">
        <v>0.32</v>
      </c>
      <c r="K237" s="118">
        <f t="shared" ref="K237:K240" si="247">H237-I237-J237</f>
        <v>8.93</v>
      </c>
      <c r="L237" s="97" t="s">
        <v>90</v>
      </c>
      <c r="M237" s="97" t="s">
        <v>91</v>
      </c>
      <c r="N237" s="98" t="s">
        <v>92</v>
      </c>
      <c r="O237" s="137">
        <v>8.5</v>
      </c>
      <c r="P237" s="143">
        <v>1.03</v>
      </c>
      <c r="Q237" s="35"/>
      <c r="R237" s="35"/>
      <c r="S237" s="35">
        <f>0.02*(8+32+12)*G237</f>
        <v>1.04</v>
      </c>
      <c r="T237" s="35">
        <f t="shared" ref="T237" si="248">2*G237</f>
        <v>2</v>
      </c>
      <c r="U237" s="35">
        <f t="shared" ref="U237:U240" si="249">IF(RIGHT(F237,2)="WG",K237*$AB$4,IF(RIGHT(F237,3)="WRG",K237*$AB$4+3*G237,IF(RIGHT(F237,3)="WYG",K237*$AB$4+3*G237,IF(RIGHT(F237,3)="WYR",K237*$AB$4+3*G237,0))))</f>
        <v>0</v>
      </c>
      <c r="V237" s="35"/>
      <c r="W237" s="35">
        <f>((8+12)*0.6+(32*0.3))*G237</f>
        <v>21.6</v>
      </c>
      <c r="X237" s="35">
        <f t="shared" ref="X237:X240" si="250">K237*O237</f>
        <v>75.905000000000001</v>
      </c>
      <c r="Y237" s="35">
        <f>($Y$146/31.1035*IF(LEFT(F237,3)="10K",(0.417*1.07*K237),IF(LEFT(F237,3)="14K",(0.585*1.05*K237),IF(LEFT(F237,3)="18K",(0.75*1.05*K237),0))))*0.5</f>
        <v>5.0157425859885523</v>
      </c>
      <c r="Z237" s="83">
        <f>($Z$146/31.1035*IF(LEFT(F237,3)="10K",(0.417*1.07*K237),IF(LEFT(F237,3)="14K",(0.585*1.05*K237),IF(LEFT(F237,3)="18K",(0.75*1.05*K237),0))))*0.5</f>
        <v>5.0157425859885523</v>
      </c>
      <c r="AA237" s="100">
        <f t="shared" ref="AA237:AA258" si="251">2*K237</f>
        <v>17.86</v>
      </c>
      <c r="AB237" s="100">
        <f t="shared" ref="AB237:AB258" si="252">(SUM(Q237:W237)+AG237)-AA237</f>
        <v>82.685000000000002</v>
      </c>
      <c r="AC237" s="100">
        <f t="shared" ref="AC237:AC258" si="253">AE237*$AC$13+P237*$AC$14</f>
        <v>755.37341442930756</v>
      </c>
      <c r="AD237" s="100">
        <f t="shared" ref="AD237:AD258" si="254">SUM(AB237:AC237)</f>
        <v>838.0584144293075</v>
      </c>
      <c r="AE237" s="100">
        <f t="shared" ref="AE237:AE258" si="255">IF(LEFT(F237,3)="10K",(0.417*1.07*K237),IF(LEFT(F237,3)="14K",(0.585*1.05*K237),IF(LEFT(F237,3)="18K",(0.75*1.05*K237),0)))</f>
        <v>5.4852524999999996</v>
      </c>
      <c r="AG237" s="26">
        <f t="shared" ref="AG237:AG258" si="256">IF(AF237&gt;0,AF237*K237,X237)</f>
        <v>75.905000000000001</v>
      </c>
    </row>
    <row r="238" spans="1:33" s="26" customFormat="1" ht="27.6">
      <c r="A238" s="94">
        <v>5</v>
      </c>
      <c r="B238" s="96" t="s">
        <v>446</v>
      </c>
      <c r="C238" s="93" t="s">
        <v>447</v>
      </c>
      <c r="D238" s="93">
        <v>148333</v>
      </c>
      <c r="E238" s="93">
        <v>107</v>
      </c>
      <c r="F238" s="93" t="s">
        <v>74</v>
      </c>
      <c r="G238" s="95">
        <v>1</v>
      </c>
      <c r="H238" s="117">
        <v>12.87</v>
      </c>
      <c r="I238" s="117">
        <v>0.23</v>
      </c>
      <c r="J238" s="117">
        <v>0.64</v>
      </c>
      <c r="K238" s="118">
        <f t="shared" si="247"/>
        <v>11.999999999999998</v>
      </c>
      <c r="L238" s="97" t="s">
        <v>198</v>
      </c>
      <c r="M238" s="97" t="s">
        <v>75</v>
      </c>
      <c r="N238" s="98" t="s">
        <v>199</v>
      </c>
      <c r="O238" s="137">
        <v>8.5</v>
      </c>
      <c r="P238" s="143">
        <v>1.1499999999999999</v>
      </c>
      <c r="Q238" s="35"/>
      <c r="R238" s="35"/>
      <c r="S238" s="35">
        <f>0.02*(53+23)*G238</f>
        <v>1.52</v>
      </c>
      <c r="T238" s="35">
        <f>4*G238</f>
        <v>4</v>
      </c>
      <c r="U238" s="35">
        <f t="shared" si="249"/>
        <v>0</v>
      </c>
      <c r="V238" s="35"/>
      <c r="W238" s="35">
        <f>G238*(53+23)*0.3</f>
        <v>22.8</v>
      </c>
      <c r="X238" s="35">
        <f t="shared" si="250"/>
        <v>101.99999999999999</v>
      </c>
      <c r="Y238" s="35">
        <f t="shared" ref="Y238:Y240" si="257">($Y$146/31.1035*IF(LEFT(F238,3)="10K",(0.417*1.07*K238),IF(LEFT(F238,3)="14K",(0.585*1.05*K238),IF(LEFT(F238,3)="18K",(0.75*1.05*K238),0))))*0.5</f>
        <v>6.7400796228289606</v>
      </c>
      <c r="Z238" s="83">
        <f t="shared" ref="Z238:Z240" si="258">($Z$146/31.1035*IF(LEFT(F238,3)="10K",(0.417*1.07*K238),IF(LEFT(F238,3)="14K",(0.585*1.05*K238),IF(LEFT(F238,3)="18K",(0.75*1.05*K238),0))))*0.5</f>
        <v>6.7400796228289606</v>
      </c>
      <c r="AA238" s="100">
        <f t="shared" si="251"/>
        <v>23.999999999999996</v>
      </c>
      <c r="AB238" s="100">
        <f t="shared" si="252"/>
        <v>106.32</v>
      </c>
      <c r="AC238" s="100">
        <f t="shared" si="253"/>
        <v>933.13968892592584</v>
      </c>
      <c r="AD238" s="100">
        <f t="shared" si="254"/>
        <v>1039.4596889259258</v>
      </c>
      <c r="AE238" s="100">
        <f t="shared" si="255"/>
        <v>7.3709999999999987</v>
      </c>
      <c r="AG238" s="26">
        <f t="shared" si="256"/>
        <v>101.99999999999999</v>
      </c>
    </row>
    <row r="239" spans="1:33" s="26" customFormat="1" ht="27.6">
      <c r="A239" s="94">
        <v>10</v>
      </c>
      <c r="B239" s="93" t="s">
        <v>454</v>
      </c>
      <c r="C239" s="93" t="s">
        <v>455</v>
      </c>
      <c r="D239" s="93">
        <v>148333</v>
      </c>
      <c r="E239" s="93">
        <v>113</v>
      </c>
      <c r="F239" s="93" t="s">
        <v>74</v>
      </c>
      <c r="G239" s="95">
        <v>1</v>
      </c>
      <c r="H239" s="117">
        <v>10.36</v>
      </c>
      <c r="I239" s="117">
        <v>0.2</v>
      </c>
      <c r="J239" s="117">
        <v>0.64</v>
      </c>
      <c r="K239" s="118">
        <f t="shared" si="247"/>
        <v>9.52</v>
      </c>
      <c r="L239" s="97">
        <v>1.5</v>
      </c>
      <c r="M239" s="97" t="s">
        <v>63</v>
      </c>
      <c r="N239" s="98">
        <v>78</v>
      </c>
      <c r="O239" s="137">
        <v>9.5</v>
      </c>
      <c r="P239" s="143">
        <v>1.01</v>
      </c>
      <c r="Q239" s="35"/>
      <c r="R239" s="35"/>
      <c r="S239" s="35">
        <f t="shared" ref="S239" si="259">0.02*N239*G239</f>
        <v>1.56</v>
      </c>
      <c r="T239" s="35">
        <f>4*G239</f>
        <v>4</v>
      </c>
      <c r="U239" s="35">
        <f t="shared" si="249"/>
        <v>0</v>
      </c>
      <c r="V239" s="35"/>
      <c r="W239" s="35">
        <f t="shared" ref="W239" si="260">G239*N239*0.3</f>
        <v>23.4</v>
      </c>
      <c r="X239" s="35">
        <f t="shared" si="250"/>
        <v>90.44</v>
      </c>
      <c r="Y239" s="35">
        <f t="shared" si="257"/>
        <v>5.3471298341109756</v>
      </c>
      <c r="Z239" s="83">
        <f t="shared" si="258"/>
        <v>5.3471298341109756</v>
      </c>
      <c r="AA239" s="100">
        <f t="shared" si="251"/>
        <v>19.04</v>
      </c>
      <c r="AB239" s="100">
        <f t="shared" si="252"/>
        <v>100.36000000000001</v>
      </c>
      <c r="AC239" s="100">
        <f t="shared" si="253"/>
        <v>774.46801201320443</v>
      </c>
      <c r="AD239" s="100">
        <f t="shared" si="254"/>
        <v>874.82801201320444</v>
      </c>
      <c r="AE239" s="100">
        <f t="shared" si="255"/>
        <v>5.8476599999999994</v>
      </c>
      <c r="AG239" s="26">
        <f t="shared" si="256"/>
        <v>90.44</v>
      </c>
    </row>
    <row r="240" spans="1:33" s="26" customFormat="1" ht="28.2" thickBot="1">
      <c r="A240" s="94">
        <v>11</v>
      </c>
      <c r="B240" s="96" t="s">
        <v>364</v>
      </c>
      <c r="C240" s="93" t="s">
        <v>365</v>
      </c>
      <c r="D240" s="93">
        <v>148333</v>
      </c>
      <c r="E240" s="93">
        <v>114</v>
      </c>
      <c r="F240" s="93" t="s">
        <v>73</v>
      </c>
      <c r="G240" s="95">
        <v>1</v>
      </c>
      <c r="H240" s="117">
        <v>2.4</v>
      </c>
      <c r="I240" s="117">
        <v>0</v>
      </c>
      <c r="J240" s="117">
        <v>0.16</v>
      </c>
      <c r="K240" s="118">
        <f t="shared" si="247"/>
        <v>2.2399999999999998</v>
      </c>
      <c r="L240" s="97"/>
      <c r="M240" s="97"/>
      <c r="N240" s="98"/>
      <c r="O240" s="137">
        <v>12.5</v>
      </c>
      <c r="P240" s="143">
        <v>0</v>
      </c>
      <c r="Q240" s="35"/>
      <c r="R240" s="35"/>
      <c r="S240" s="35"/>
      <c r="T240" s="35">
        <f>1.5*G240</f>
        <v>1.5</v>
      </c>
      <c r="U240" s="35">
        <f t="shared" si="249"/>
        <v>0.53759999999999997</v>
      </c>
      <c r="V240" s="35"/>
      <c r="W240" s="35"/>
      <c r="X240" s="35">
        <f t="shared" si="250"/>
        <v>27.999999999999996</v>
      </c>
      <c r="Y240" s="35">
        <f t="shared" si="257"/>
        <v>1.2581481962614061</v>
      </c>
      <c r="Z240" s="83">
        <f t="shared" si="258"/>
        <v>1.2581481962614061</v>
      </c>
      <c r="AA240" s="100">
        <f t="shared" si="251"/>
        <v>4.4799999999999995</v>
      </c>
      <c r="AB240" s="100">
        <f t="shared" si="252"/>
        <v>25.557599999999997</v>
      </c>
      <c r="AC240" s="100">
        <f t="shared" si="253"/>
        <v>99.066239999999993</v>
      </c>
      <c r="AD240" s="100">
        <f t="shared" si="254"/>
        <v>124.62383999999999</v>
      </c>
      <c r="AE240" s="100">
        <f t="shared" si="255"/>
        <v>1.3759199999999998</v>
      </c>
      <c r="AG240" s="26">
        <f t="shared" si="256"/>
        <v>27.999999999999996</v>
      </c>
    </row>
    <row r="241" spans="1:33" s="27" customFormat="1" ht="15.9" customHeight="1">
      <c r="A241" s="86" t="s">
        <v>66</v>
      </c>
      <c r="B241" s="63"/>
      <c r="C241" s="63"/>
      <c r="D241" s="63"/>
      <c r="E241" s="63"/>
      <c r="F241" s="63"/>
      <c r="G241" s="64">
        <f>SUM(G237:G240)</f>
        <v>4</v>
      </c>
      <c r="H241" s="119"/>
      <c r="I241" s="119"/>
      <c r="J241" s="119"/>
      <c r="K241" s="119">
        <f>SUM(K237:K240)</f>
        <v>32.69</v>
      </c>
      <c r="L241" s="65"/>
      <c r="M241" s="65"/>
      <c r="N241" s="65"/>
      <c r="O241" s="138"/>
      <c r="P241" s="101">
        <f>SUM(P237:P240)</f>
        <v>3.1899999999999995</v>
      </c>
      <c r="Q241" s="66">
        <f>SUM(Q237:Q240)</f>
        <v>0</v>
      </c>
      <c r="R241" s="66">
        <f>SUM(R237:R240)</f>
        <v>0</v>
      </c>
      <c r="S241" s="66">
        <f>SUM(S237:S240)</f>
        <v>4.12</v>
      </c>
      <c r="T241" s="66">
        <f>SUM(T237:T240)</f>
        <v>11.5</v>
      </c>
      <c r="U241" s="66">
        <f>SUM(U237:U240)</f>
        <v>0.53759999999999997</v>
      </c>
      <c r="V241" s="66">
        <f>SUM(V237:V240)</f>
        <v>0</v>
      </c>
      <c r="W241" s="66">
        <f>SUM(W237:W240)</f>
        <v>67.800000000000011</v>
      </c>
      <c r="X241" s="66">
        <f>SUM(X237:X240)</f>
        <v>296.34499999999997</v>
      </c>
      <c r="Y241" s="66">
        <f>SUM(Y237:Y240)</f>
        <v>18.361100239189895</v>
      </c>
      <c r="Z241" s="84">
        <f>SUM(Z237:Z240)</f>
        <v>18.361100239189895</v>
      </c>
      <c r="AA241" s="100"/>
      <c r="AB241" s="100"/>
      <c r="AC241" s="100"/>
      <c r="AD241" s="100"/>
      <c r="AE241" s="100"/>
      <c r="AF241" s="26"/>
      <c r="AG241" s="26"/>
    </row>
    <row r="242" spans="1:33" ht="15.9" customHeight="1">
      <c r="A242" s="52" t="s">
        <v>64</v>
      </c>
      <c r="K242" s="115"/>
      <c r="L242" s="48"/>
      <c r="M242" s="48"/>
      <c r="N242" s="48"/>
      <c r="W242" s="49"/>
      <c r="X242" s="80" t="s">
        <v>180</v>
      </c>
      <c r="Y242" s="92">
        <f>3021.7*1.02</f>
        <v>3082.134</v>
      </c>
      <c r="Z242" s="92">
        <f>3021.7*1.02</f>
        <v>3082.134</v>
      </c>
      <c r="AA242" s="100"/>
      <c r="AB242" s="100"/>
      <c r="AC242" s="100"/>
      <c r="AD242" s="100"/>
      <c r="AE242" s="100"/>
      <c r="AF242" s="26"/>
      <c r="AG242" s="26"/>
    </row>
    <row r="243" spans="1:33" s="91" customFormat="1" ht="27.6">
      <c r="A243" s="87" t="s">
        <v>4</v>
      </c>
      <c r="B243" s="88" t="s">
        <v>5</v>
      </c>
      <c r="C243" s="88" t="s">
        <v>24</v>
      </c>
      <c r="D243" s="88" t="s">
        <v>46</v>
      </c>
      <c r="E243" s="88" t="s">
        <v>67</v>
      </c>
      <c r="F243" s="88" t="s">
        <v>6</v>
      </c>
      <c r="G243" s="88" t="s">
        <v>7</v>
      </c>
      <c r="H243" s="116" t="s">
        <v>8</v>
      </c>
      <c r="I243" s="116" t="s">
        <v>47</v>
      </c>
      <c r="J243" s="116" t="s">
        <v>9</v>
      </c>
      <c r="K243" s="116" t="s">
        <v>14</v>
      </c>
      <c r="L243" s="89" t="s">
        <v>20</v>
      </c>
      <c r="M243" s="89" t="s">
        <v>23</v>
      </c>
      <c r="N243" s="89" t="s">
        <v>21</v>
      </c>
      <c r="O243" s="136" t="s">
        <v>10</v>
      </c>
      <c r="P243" s="90" t="s">
        <v>49</v>
      </c>
      <c r="Q243" s="45" t="s">
        <v>50</v>
      </c>
      <c r="R243" s="45" t="s">
        <v>55</v>
      </c>
      <c r="S243" s="45" t="s">
        <v>70</v>
      </c>
      <c r="T243" s="45" t="s">
        <v>13</v>
      </c>
      <c r="U243" s="45" t="s">
        <v>52</v>
      </c>
      <c r="V243" s="45" t="s">
        <v>48</v>
      </c>
      <c r="W243" s="45" t="s">
        <v>15</v>
      </c>
      <c r="X243" s="50" t="s">
        <v>12</v>
      </c>
      <c r="Y243" s="160" t="s">
        <v>22</v>
      </c>
      <c r="Z243" s="50" t="s">
        <v>68</v>
      </c>
      <c r="AA243" s="100"/>
      <c r="AB243" s="100"/>
      <c r="AC243" s="100"/>
      <c r="AD243" s="100"/>
      <c r="AE243" s="100"/>
      <c r="AF243" s="26"/>
      <c r="AG243" s="26"/>
    </row>
    <row r="244" spans="1:33" s="26" customFormat="1" ht="83.4" thickBot="1">
      <c r="A244" s="165" t="s">
        <v>456</v>
      </c>
      <c r="B244" s="93" t="s">
        <v>457</v>
      </c>
      <c r="C244" s="93" t="s">
        <v>458</v>
      </c>
      <c r="D244" s="93">
        <v>148333</v>
      </c>
      <c r="E244" s="93">
        <v>101</v>
      </c>
      <c r="F244" s="93" t="s">
        <v>74</v>
      </c>
      <c r="G244" s="95">
        <v>1</v>
      </c>
      <c r="H244" s="117">
        <v>8.09</v>
      </c>
      <c r="I244" s="117">
        <v>0.44</v>
      </c>
      <c r="J244" s="117">
        <v>0.32</v>
      </c>
      <c r="K244" s="118">
        <f>H244-I244-J244</f>
        <v>7.3299999999999992</v>
      </c>
      <c r="L244" s="97" t="s">
        <v>459</v>
      </c>
      <c r="M244" s="97" t="s">
        <v>367</v>
      </c>
      <c r="N244" s="98" t="s">
        <v>460</v>
      </c>
      <c r="O244" s="137">
        <v>10.5</v>
      </c>
      <c r="P244" s="143">
        <v>1.07</v>
      </c>
      <c r="Q244" s="35">
        <f>30*G244</f>
        <v>30</v>
      </c>
      <c r="R244" s="35"/>
      <c r="S244" s="35">
        <f>0.02*(2+34+37)*G244</f>
        <v>1.46</v>
      </c>
      <c r="T244" s="35">
        <f t="shared" ref="T244" si="261">2*G244</f>
        <v>2</v>
      </c>
      <c r="U244" s="35">
        <f t="shared" ref="U244" si="262">IF(RIGHT(F244,2)="WG",K244*$AB$4,IF(RIGHT(F244,3)="WRG",K244*$AB$4+3*G244,IF(RIGHT(F244,3)="WYG",K244*$AB$4+3*G244,IF(RIGHT(F244,3)="WYR",K244*$AB$4+3*G244,0))))</f>
        <v>0</v>
      </c>
      <c r="V244" s="35"/>
      <c r="W244" s="35">
        <f>G244*(2+34+37)*0.3</f>
        <v>21.9</v>
      </c>
      <c r="X244" s="35">
        <f t="shared" ref="X244" si="263">K244*O244</f>
        <v>76.964999999999989</v>
      </c>
      <c r="Y244" s="35">
        <f>($Y$157/31.1035*IF(LEFT(F244,3)="10K",(0.417*1.07*K244),IF(LEFT(F244,3)="14K",(0.585*1.05*K244),IF(LEFT(F244,3)="18K",(0.75*1.05*K244),0))))*0.5</f>
        <v>13.330461909105852</v>
      </c>
      <c r="Z244" s="83">
        <f>($Z$157/31.1035*IF(LEFT(F244,3)="10K",(0.417*1.07*K244),IF(LEFT(F244,3)="14K",(0.585*1.05*K244),IF(LEFT(F244,3)="18K",(0.75*1.05*K244),0))))*0.5</f>
        <v>13.330461909105852</v>
      </c>
      <c r="AA244" s="100">
        <f t="shared" si="251"/>
        <v>14.659999999999998</v>
      </c>
      <c r="AB244" s="100">
        <f t="shared" si="252"/>
        <v>117.66499999999999</v>
      </c>
      <c r="AC244" s="100">
        <f t="shared" si="253"/>
        <v>698.60929926151357</v>
      </c>
      <c r="AD244" s="100">
        <f t="shared" si="254"/>
        <v>816.27429926151353</v>
      </c>
      <c r="AE244" s="100">
        <f t="shared" si="255"/>
        <v>4.5024524999999995</v>
      </c>
      <c r="AG244" s="26">
        <f t="shared" si="256"/>
        <v>76.964999999999989</v>
      </c>
    </row>
    <row r="245" spans="1:33" s="27" customFormat="1" ht="15.9" customHeight="1">
      <c r="A245" s="86" t="s">
        <v>66</v>
      </c>
      <c r="B245" s="63"/>
      <c r="C245" s="63"/>
      <c r="D245" s="63"/>
      <c r="E245" s="63"/>
      <c r="F245" s="63"/>
      <c r="G245" s="64">
        <f>SUM(G244:G244)</f>
        <v>1</v>
      </c>
      <c r="H245" s="119"/>
      <c r="I245" s="119"/>
      <c r="J245" s="119"/>
      <c r="K245" s="119">
        <f>SUM(K244:K244)</f>
        <v>7.3299999999999992</v>
      </c>
      <c r="L245" s="65"/>
      <c r="M245" s="65"/>
      <c r="N245" s="65"/>
      <c r="O245" s="138"/>
      <c r="P245" s="101">
        <f t="shared" ref="P245:Z245" si="264">SUM(P244:P244)</f>
        <v>1.07</v>
      </c>
      <c r="Q245" s="66">
        <f t="shared" si="264"/>
        <v>30</v>
      </c>
      <c r="R245" s="66">
        <f t="shared" si="264"/>
        <v>0</v>
      </c>
      <c r="S245" s="66">
        <f t="shared" si="264"/>
        <v>1.46</v>
      </c>
      <c r="T245" s="66">
        <f t="shared" si="264"/>
        <v>2</v>
      </c>
      <c r="U245" s="66">
        <f t="shared" si="264"/>
        <v>0</v>
      </c>
      <c r="V245" s="66">
        <f t="shared" si="264"/>
        <v>0</v>
      </c>
      <c r="W245" s="66">
        <f t="shared" si="264"/>
        <v>21.9</v>
      </c>
      <c r="X245" s="66">
        <f t="shared" si="264"/>
        <v>76.964999999999989</v>
      </c>
      <c r="Y245" s="66">
        <f t="shared" si="264"/>
        <v>13.330461909105852</v>
      </c>
      <c r="Z245" s="84">
        <f t="shared" si="264"/>
        <v>13.330461909105852</v>
      </c>
      <c r="AA245" s="100"/>
      <c r="AB245" s="100"/>
      <c r="AC245" s="100"/>
      <c r="AD245" s="100"/>
      <c r="AE245" s="100"/>
      <c r="AF245" s="26"/>
      <c r="AG245" s="26"/>
    </row>
    <row r="246" spans="1:33" ht="15.9" customHeight="1">
      <c r="A246" s="52" t="s">
        <v>64</v>
      </c>
      <c r="K246" s="115"/>
      <c r="L246" s="48"/>
      <c r="M246" s="48"/>
      <c r="N246" s="48"/>
      <c r="W246" s="49"/>
      <c r="X246" s="80" t="s">
        <v>222</v>
      </c>
      <c r="Y246" s="92">
        <f>1.02*3031.3</f>
        <v>3091.9260000000004</v>
      </c>
      <c r="Z246" s="92">
        <f>1.02*3031.3</f>
        <v>3091.9260000000004</v>
      </c>
      <c r="AA246" s="100"/>
      <c r="AB246" s="100"/>
      <c r="AC246" s="100"/>
      <c r="AD246" s="100"/>
      <c r="AE246" s="100"/>
      <c r="AF246" s="26"/>
      <c r="AG246" s="26"/>
    </row>
    <row r="247" spans="1:33" s="91" customFormat="1" ht="27.6">
      <c r="A247" s="87" t="s">
        <v>4</v>
      </c>
      <c r="B247" s="88" t="s">
        <v>5</v>
      </c>
      <c r="C247" s="88" t="s">
        <v>24</v>
      </c>
      <c r="D247" s="88" t="s">
        <v>46</v>
      </c>
      <c r="E247" s="88" t="s">
        <v>67</v>
      </c>
      <c r="F247" s="88" t="s">
        <v>6</v>
      </c>
      <c r="G247" s="88" t="s">
        <v>7</v>
      </c>
      <c r="H247" s="116" t="s">
        <v>8</v>
      </c>
      <c r="I247" s="116" t="s">
        <v>47</v>
      </c>
      <c r="J247" s="116" t="s">
        <v>9</v>
      </c>
      <c r="K247" s="116" t="s">
        <v>14</v>
      </c>
      <c r="L247" s="89" t="s">
        <v>20</v>
      </c>
      <c r="M247" s="89" t="s">
        <v>23</v>
      </c>
      <c r="N247" s="89" t="s">
        <v>21</v>
      </c>
      <c r="O247" s="136" t="s">
        <v>10</v>
      </c>
      <c r="P247" s="90" t="s">
        <v>49</v>
      </c>
      <c r="Q247" s="45" t="s">
        <v>50</v>
      </c>
      <c r="R247" s="45" t="s">
        <v>55</v>
      </c>
      <c r="S247" s="45" t="s">
        <v>70</v>
      </c>
      <c r="T247" s="45" t="s">
        <v>13</v>
      </c>
      <c r="U247" s="45" t="s">
        <v>52</v>
      </c>
      <c r="V247" s="45" t="s">
        <v>48</v>
      </c>
      <c r="W247" s="45" t="s">
        <v>15</v>
      </c>
      <c r="X247" s="50" t="s">
        <v>12</v>
      </c>
      <c r="Y247" s="160" t="s">
        <v>22</v>
      </c>
      <c r="Z247" s="50" t="s">
        <v>68</v>
      </c>
      <c r="AA247" s="100"/>
      <c r="AB247" s="100"/>
      <c r="AC247" s="100"/>
      <c r="AD247" s="100"/>
      <c r="AE247" s="100"/>
      <c r="AF247" s="26"/>
      <c r="AG247" s="26"/>
    </row>
    <row r="248" spans="1:33" s="26" customFormat="1" ht="27.6">
      <c r="A248" s="165" t="s">
        <v>461</v>
      </c>
      <c r="B248" s="93" t="s">
        <v>275</v>
      </c>
      <c r="C248" s="93" t="s">
        <v>462</v>
      </c>
      <c r="D248" s="93">
        <v>148341</v>
      </c>
      <c r="E248" s="93">
        <v>119</v>
      </c>
      <c r="F248" s="93" t="s">
        <v>159</v>
      </c>
      <c r="G248" s="167">
        <v>1</v>
      </c>
      <c r="H248" s="168">
        <v>6.53</v>
      </c>
      <c r="I248" s="168">
        <v>0.11</v>
      </c>
      <c r="J248" s="168">
        <v>0.32</v>
      </c>
      <c r="K248" s="169">
        <f t="shared" ref="K248:K253" si="265">H248-I248-J248</f>
        <v>6.1</v>
      </c>
      <c r="L248" s="97">
        <v>2.1</v>
      </c>
      <c r="M248" s="97" t="s">
        <v>63</v>
      </c>
      <c r="N248" s="98">
        <v>14</v>
      </c>
      <c r="O248" s="137">
        <v>8.5</v>
      </c>
      <c r="P248" s="143">
        <v>0.55000000000000004</v>
      </c>
      <c r="Q248" s="35"/>
      <c r="R248" s="35"/>
      <c r="S248" s="35">
        <f t="shared" ref="S248:S253" si="266">0.02*N248*G248</f>
        <v>0.28000000000000003</v>
      </c>
      <c r="T248" s="35">
        <f t="shared" ref="T248" si="267">2*G248</f>
        <v>2</v>
      </c>
      <c r="U248" s="35">
        <f t="shared" ref="U248:U253" si="268">IF(RIGHT(F248,2)="WG",K248*$AB$4,IF(RIGHT(F248,3)="WRG",K248*$AB$4+3*G248,IF(RIGHT(F248,3)="WYG",K248*$AB$4+3*G248,IF(RIGHT(F248,3)="WYR",K248*$AB$4+3*G248,0))))</f>
        <v>0</v>
      </c>
      <c r="V248" s="35"/>
      <c r="W248" s="35">
        <f t="shared" ref="W248" si="269">G248*N248*0.3</f>
        <v>4.2</v>
      </c>
      <c r="X248" s="35">
        <f t="shared" ref="X248:X253" si="270">K248*O248</f>
        <v>51.849999999999994</v>
      </c>
      <c r="Y248" s="35">
        <f t="shared" ref="Y248:Y253" si="271">($Y$158/31.1035*IF(LEFT(F248,3)="10K",(0.417*1.07*K248),IF(LEFT(F248,3)="14K",(0.585*1.05*K248),IF(LEFT(F248,3)="18K",(0.75*1.05*K248),0))))*0.5</f>
        <v>10.947834865595636</v>
      </c>
      <c r="Z248" s="83">
        <f t="shared" ref="Z248:Z253" si="272">($Z$158/31.1035*IF(LEFT(F248,3)="10K",(0.417*1.07*K248),IF(LEFT(F248,3)="14K",(0.585*1.05*K248),IF(LEFT(F248,3)="18K",(0.75*1.05*K248),0))))*0.5</f>
        <v>10.947834865595636</v>
      </c>
      <c r="AA248" s="100">
        <f t="shared" si="251"/>
        <v>12.2</v>
      </c>
      <c r="AB248" s="100">
        <f t="shared" si="252"/>
        <v>46.129999999999995</v>
      </c>
      <c r="AC248" s="100">
        <f t="shared" si="253"/>
        <v>462.24401644283409</v>
      </c>
      <c r="AD248" s="100">
        <f t="shared" si="254"/>
        <v>508.37401644283409</v>
      </c>
      <c r="AE248" s="100">
        <f t="shared" si="255"/>
        <v>3.7469249999999996</v>
      </c>
      <c r="AG248" s="26">
        <f t="shared" si="256"/>
        <v>51.849999999999994</v>
      </c>
    </row>
    <row r="249" spans="1:33" s="26" customFormat="1" ht="27.6">
      <c r="A249" s="94">
        <v>6</v>
      </c>
      <c r="B249" s="93" t="s">
        <v>408</v>
      </c>
      <c r="C249" s="93" t="s">
        <v>464</v>
      </c>
      <c r="D249" s="93">
        <v>148341</v>
      </c>
      <c r="E249" s="93">
        <v>110</v>
      </c>
      <c r="F249" s="93" t="s">
        <v>73</v>
      </c>
      <c r="G249" s="167">
        <v>3</v>
      </c>
      <c r="H249" s="168">
        <v>14.62</v>
      </c>
      <c r="I249" s="168">
        <v>0.30000000000000004</v>
      </c>
      <c r="J249" s="168">
        <v>0.54</v>
      </c>
      <c r="K249" s="169">
        <f t="shared" si="265"/>
        <v>13.779999999999998</v>
      </c>
      <c r="L249" s="97">
        <v>2.2999999999999998</v>
      </c>
      <c r="M249" s="97" t="s">
        <v>63</v>
      </c>
      <c r="N249" s="98">
        <v>11</v>
      </c>
      <c r="O249" s="137">
        <v>11</v>
      </c>
      <c r="P249" s="143">
        <v>1.47</v>
      </c>
      <c r="Q249" s="35"/>
      <c r="R249" s="35"/>
      <c r="S249" s="35">
        <f t="shared" si="266"/>
        <v>0.66</v>
      </c>
      <c r="T249" s="35">
        <f>3*G249</f>
        <v>9</v>
      </c>
      <c r="U249" s="35">
        <f t="shared" si="268"/>
        <v>3.3071999999999995</v>
      </c>
      <c r="V249" s="35"/>
      <c r="W249" s="35">
        <f t="shared" ref="W249:W250" si="273">G249*N249*0.3</f>
        <v>9.9</v>
      </c>
      <c r="X249" s="35">
        <f t="shared" si="270"/>
        <v>151.57999999999998</v>
      </c>
      <c r="Y249" s="35">
        <f t="shared" si="271"/>
        <v>24.731338434083252</v>
      </c>
      <c r="Z249" s="83">
        <f t="shared" si="272"/>
        <v>24.731338434083252</v>
      </c>
      <c r="AA249" s="100">
        <f t="shared" si="251"/>
        <v>27.559999999999995</v>
      </c>
      <c r="AB249" s="100">
        <f t="shared" si="252"/>
        <v>146.88719999999998</v>
      </c>
      <c r="AC249" s="100">
        <f t="shared" si="253"/>
        <v>1123.8418475835747</v>
      </c>
      <c r="AD249" s="100">
        <f t="shared" si="254"/>
        <v>1270.7290475835746</v>
      </c>
      <c r="AE249" s="100">
        <f t="shared" si="255"/>
        <v>8.4643649999999973</v>
      </c>
      <c r="AG249" s="26">
        <f t="shared" si="256"/>
        <v>151.57999999999998</v>
      </c>
    </row>
    <row r="250" spans="1:33" s="26" customFormat="1" ht="27.6">
      <c r="A250" s="94"/>
      <c r="B250" s="93" t="s">
        <v>408</v>
      </c>
      <c r="C250" s="93" t="s">
        <v>465</v>
      </c>
      <c r="D250" s="93">
        <v>148341</v>
      </c>
      <c r="E250" s="93">
        <v>111</v>
      </c>
      <c r="F250" s="93" t="s">
        <v>74</v>
      </c>
      <c r="G250" s="167">
        <v>3</v>
      </c>
      <c r="H250" s="168">
        <v>14.23</v>
      </c>
      <c r="I250" s="168">
        <v>0.28000000000000003</v>
      </c>
      <c r="J250" s="168">
        <v>0.54</v>
      </c>
      <c r="K250" s="169">
        <f t="shared" si="265"/>
        <v>13.41</v>
      </c>
      <c r="L250" s="97">
        <v>2.2999999999999998</v>
      </c>
      <c r="M250" s="97" t="s">
        <v>63</v>
      </c>
      <c r="N250" s="98">
        <v>11</v>
      </c>
      <c r="O250" s="137">
        <v>11</v>
      </c>
      <c r="P250" s="143">
        <v>1.44</v>
      </c>
      <c r="Q250" s="35"/>
      <c r="R250" s="35"/>
      <c r="S250" s="35">
        <f t="shared" si="266"/>
        <v>0.66</v>
      </c>
      <c r="T250" s="35">
        <f>3*G250</f>
        <v>9</v>
      </c>
      <c r="U250" s="35">
        <f t="shared" si="268"/>
        <v>0</v>
      </c>
      <c r="V250" s="35"/>
      <c r="W250" s="35">
        <f t="shared" si="273"/>
        <v>9.9</v>
      </c>
      <c r="X250" s="35">
        <f t="shared" si="270"/>
        <v>147.51</v>
      </c>
      <c r="Y250" s="35">
        <f t="shared" si="271"/>
        <v>24.067289434038933</v>
      </c>
      <c r="Z250" s="83">
        <f t="shared" si="272"/>
        <v>24.067289434038933</v>
      </c>
      <c r="AA250" s="100">
        <f t="shared" si="251"/>
        <v>26.82</v>
      </c>
      <c r="AB250" s="100">
        <f t="shared" si="252"/>
        <v>140.25</v>
      </c>
      <c r="AC250" s="100">
        <f t="shared" si="253"/>
        <v>1096.9801139594201</v>
      </c>
      <c r="AD250" s="100">
        <f t="shared" si="254"/>
        <v>1237.2301139594201</v>
      </c>
      <c r="AE250" s="100">
        <f t="shared" si="255"/>
        <v>8.2370924999999993</v>
      </c>
      <c r="AG250" s="26">
        <f t="shared" si="256"/>
        <v>147.51</v>
      </c>
    </row>
    <row r="251" spans="1:33" s="26" customFormat="1" ht="55.2">
      <c r="A251" s="94">
        <v>7</v>
      </c>
      <c r="B251" s="96" t="s">
        <v>232</v>
      </c>
      <c r="C251" s="93" t="s">
        <v>466</v>
      </c>
      <c r="D251" s="93">
        <v>148341</v>
      </c>
      <c r="E251" s="93">
        <v>113</v>
      </c>
      <c r="F251" s="93" t="s">
        <v>74</v>
      </c>
      <c r="G251" s="167">
        <v>1</v>
      </c>
      <c r="H251" s="168">
        <v>11.18</v>
      </c>
      <c r="I251" s="168">
        <v>0.12</v>
      </c>
      <c r="J251" s="168">
        <v>0.32</v>
      </c>
      <c r="K251" s="169">
        <f t="shared" si="265"/>
        <v>10.74</v>
      </c>
      <c r="L251" s="97" t="s">
        <v>234</v>
      </c>
      <c r="M251" s="97" t="s">
        <v>174</v>
      </c>
      <c r="N251" s="98" t="s">
        <v>235</v>
      </c>
      <c r="O251" s="137">
        <v>8.5</v>
      </c>
      <c r="P251" s="143">
        <v>0.6</v>
      </c>
      <c r="Q251" s="35"/>
      <c r="R251" s="35"/>
      <c r="S251" s="35">
        <f t="shared" ref="S251" si="274">0.02*(6+18+18+3)*G251</f>
        <v>0.9</v>
      </c>
      <c r="T251" s="35">
        <f t="shared" ref="T251" si="275">2*G251</f>
        <v>2</v>
      </c>
      <c r="U251" s="35">
        <f t="shared" si="268"/>
        <v>0</v>
      </c>
      <c r="V251" s="35"/>
      <c r="W251" s="35">
        <f t="shared" ref="W251" si="276">G251*(6+18+18+3)*0.3</f>
        <v>13.5</v>
      </c>
      <c r="X251" s="35">
        <f t="shared" si="270"/>
        <v>91.29</v>
      </c>
      <c r="Y251" s="35">
        <f t="shared" si="271"/>
        <v>19.275368271556911</v>
      </c>
      <c r="Z251" s="83">
        <f t="shared" si="272"/>
        <v>19.275368271556911</v>
      </c>
      <c r="AA251" s="100">
        <f t="shared" si="251"/>
        <v>21.48</v>
      </c>
      <c r="AB251" s="100">
        <f t="shared" si="252"/>
        <v>86.21</v>
      </c>
      <c r="AC251" s="100">
        <f t="shared" si="253"/>
        <v>684.94951248309178</v>
      </c>
      <c r="AD251" s="100">
        <f t="shared" si="254"/>
        <v>771.15951248309182</v>
      </c>
      <c r="AE251" s="100">
        <f t="shared" si="255"/>
        <v>6.5970449999999996</v>
      </c>
      <c r="AG251" s="26">
        <f t="shared" si="256"/>
        <v>91.29</v>
      </c>
    </row>
    <row r="252" spans="1:33" s="26" customFormat="1" ht="27.6">
      <c r="A252" s="94">
        <v>8</v>
      </c>
      <c r="B252" s="93" t="s">
        <v>467</v>
      </c>
      <c r="C252" s="93" t="s">
        <v>468</v>
      </c>
      <c r="D252" s="93">
        <v>148341</v>
      </c>
      <c r="E252" s="93">
        <v>116</v>
      </c>
      <c r="F252" s="93" t="s">
        <v>159</v>
      </c>
      <c r="G252" s="167">
        <v>1</v>
      </c>
      <c r="H252" s="168">
        <v>3.53</v>
      </c>
      <c r="I252" s="168">
        <v>0.12</v>
      </c>
      <c r="J252" s="168">
        <v>0.19</v>
      </c>
      <c r="K252" s="169">
        <f t="shared" si="265"/>
        <v>3.2199999999999998</v>
      </c>
      <c r="L252" s="97">
        <v>1.3</v>
      </c>
      <c r="M252" s="97" t="s">
        <v>63</v>
      </c>
      <c r="N252" s="98">
        <v>64</v>
      </c>
      <c r="O252" s="137">
        <v>10</v>
      </c>
      <c r="P252" s="143">
        <v>0.62</v>
      </c>
      <c r="Q252" s="35"/>
      <c r="R252" s="35"/>
      <c r="S252" s="35">
        <f t="shared" si="266"/>
        <v>1.28</v>
      </c>
      <c r="T252" s="35">
        <f t="shared" ref="T252" si="277">3*G252</f>
        <v>3</v>
      </c>
      <c r="U252" s="35">
        <f t="shared" si="268"/>
        <v>0</v>
      </c>
      <c r="V252" s="35"/>
      <c r="W252" s="35">
        <f t="shared" ref="W252:W253" si="278">G252*N252*0.3</f>
        <v>19.2</v>
      </c>
      <c r="X252" s="35">
        <f t="shared" si="270"/>
        <v>32.199999999999996</v>
      </c>
      <c r="Y252" s="35">
        <f t="shared" si="271"/>
        <v>5.7790210274127789</v>
      </c>
      <c r="Z252" s="83">
        <f t="shared" si="272"/>
        <v>5.7790210274127789</v>
      </c>
      <c r="AA252" s="100">
        <f t="shared" si="251"/>
        <v>6.4399999999999995</v>
      </c>
      <c r="AB252" s="100">
        <f t="shared" si="252"/>
        <v>49.239999999999995</v>
      </c>
      <c r="AC252" s="100">
        <f t="shared" si="253"/>
        <v>359.36873489919481</v>
      </c>
      <c r="AD252" s="100">
        <f t="shared" si="254"/>
        <v>408.60873489919481</v>
      </c>
      <c r="AE252" s="100">
        <f t="shared" si="255"/>
        <v>1.9778849999999997</v>
      </c>
      <c r="AG252" s="26">
        <f t="shared" si="256"/>
        <v>32.199999999999996</v>
      </c>
    </row>
    <row r="253" spans="1:33" s="26" customFormat="1" ht="28.2" thickBot="1">
      <c r="A253" s="94">
        <v>11</v>
      </c>
      <c r="B253" s="93" t="s">
        <v>469</v>
      </c>
      <c r="C253" s="93" t="s">
        <v>470</v>
      </c>
      <c r="D253" s="93">
        <v>148341</v>
      </c>
      <c r="E253" s="93">
        <v>121</v>
      </c>
      <c r="F253" s="93" t="s">
        <v>110</v>
      </c>
      <c r="G253" s="167">
        <v>1</v>
      </c>
      <c r="H253" s="168">
        <v>9.7200000000000006</v>
      </c>
      <c r="I253" s="168">
        <v>0.5</v>
      </c>
      <c r="J253" s="168">
        <v>0.32</v>
      </c>
      <c r="K253" s="169">
        <f t="shared" si="265"/>
        <v>8.9</v>
      </c>
      <c r="L253" s="97">
        <v>2.2999999999999998</v>
      </c>
      <c r="M253" s="97" t="s">
        <v>63</v>
      </c>
      <c r="N253" s="98">
        <v>50</v>
      </c>
      <c r="O253" s="137">
        <v>12</v>
      </c>
      <c r="P253" s="143">
        <v>2.52</v>
      </c>
      <c r="Q253" s="35"/>
      <c r="R253" s="35"/>
      <c r="S253" s="35">
        <f t="shared" si="266"/>
        <v>1</v>
      </c>
      <c r="T253" s="35">
        <f>4*G253</f>
        <v>4</v>
      </c>
      <c r="U253" s="35">
        <f t="shared" si="268"/>
        <v>5.1360000000000001</v>
      </c>
      <c r="V253" s="35"/>
      <c r="W253" s="35">
        <f t="shared" si="278"/>
        <v>15</v>
      </c>
      <c r="X253" s="35">
        <f t="shared" si="270"/>
        <v>106.80000000000001</v>
      </c>
      <c r="Y253" s="35">
        <f t="shared" si="271"/>
        <v>15.97307054160675</v>
      </c>
      <c r="Z253" s="83">
        <f t="shared" si="272"/>
        <v>15.97307054160675</v>
      </c>
      <c r="AA253" s="100">
        <f t="shared" si="251"/>
        <v>17.8</v>
      </c>
      <c r="AB253" s="100">
        <f t="shared" si="252"/>
        <v>114.13600000000001</v>
      </c>
      <c r="AC253" s="100">
        <f t="shared" si="253"/>
        <v>1275.4529444289856</v>
      </c>
      <c r="AD253" s="100">
        <f t="shared" si="254"/>
        <v>1389.5889444289855</v>
      </c>
      <c r="AE253" s="100">
        <f t="shared" si="255"/>
        <v>5.466825</v>
      </c>
      <c r="AG253" s="26">
        <f t="shared" si="256"/>
        <v>106.80000000000001</v>
      </c>
    </row>
    <row r="254" spans="1:33" s="27" customFormat="1" ht="15.9" customHeight="1">
      <c r="A254" s="86" t="s">
        <v>66</v>
      </c>
      <c r="B254" s="63"/>
      <c r="C254" s="63"/>
      <c r="D254" s="63"/>
      <c r="E254" s="63"/>
      <c r="F254" s="63"/>
      <c r="G254" s="170">
        <f>SUM(G248:G253)</f>
        <v>10</v>
      </c>
      <c r="H254" s="171"/>
      <c r="I254" s="171"/>
      <c r="J254" s="171"/>
      <c r="K254" s="171">
        <f>SUM(K248:K253)</f>
        <v>56.149999999999991</v>
      </c>
      <c r="L254" s="65"/>
      <c r="M254" s="65"/>
      <c r="N254" s="65"/>
      <c r="O254" s="138"/>
      <c r="P254" s="101">
        <f t="shared" ref="P254:Z254" si="279">SUM(P248:P253)</f>
        <v>7.1999999999999993</v>
      </c>
      <c r="Q254" s="66">
        <f t="shared" si="279"/>
        <v>0</v>
      </c>
      <c r="R254" s="66">
        <f t="shared" si="279"/>
        <v>0</v>
      </c>
      <c r="S254" s="66">
        <f t="shared" si="279"/>
        <v>4.78</v>
      </c>
      <c r="T254" s="66">
        <f t="shared" si="279"/>
        <v>29</v>
      </c>
      <c r="U254" s="66">
        <f t="shared" si="279"/>
        <v>8.4431999999999992</v>
      </c>
      <c r="V254" s="66">
        <f t="shared" si="279"/>
        <v>0</v>
      </c>
      <c r="W254" s="66">
        <f t="shared" si="279"/>
        <v>71.7</v>
      </c>
      <c r="X254" s="66">
        <f t="shared" si="279"/>
        <v>581.23</v>
      </c>
      <c r="Y254" s="66">
        <f t="shared" si="279"/>
        <v>100.77392257429426</v>
      </c>
      <c r="Z254" s="84">
        <f t="shared" si="279"/>
        <v>100.77392257429426</v>
      </c>
      <c r="AA254" s="100"/>
      <c r="AB254" s="100"/>
      <c r="AC254" s="100"/>
      <c r="AD254" s="100"/>
      <c r="AE254" s="100"/>
      <c r="AF254" s="26"/>
      <c r="AG254" s="26"/>
    </row>
    <row r="255" spans="1:33" ht="15.9" customHeight="1">
      <c r="A255" s="52" t="s">
        <v>64</v>
      </c>
      <c r="K255" s="115"/>
      <c r="L255" s="48"/>
      <c r="M255" s="48"/>
      <c r="N255" s="48"/>
      <c r="W255" s="49"/>
      <c r="X255" s="80" t="s">
        <v>144</v>
      </c>
      <c r="Y255" s="92">
        <f>3030.25*1.02</f>
        <v>3090.855</v>
      </c>
      <c r="Z255" s="92">
        <f>3030.25*1.02</f>
        <v>3090.855</v>
      </c>
      <c r="AA255" s="100"/>
      <c r="AB255" s="100"/>
      <c r="AC255" s="100"/>
      <c r="AD255" s="100"/>
      <c r="AE255" s="100"/>
      <c r="AF255" s="26"/>
      <c r="AG255" s="26"/>
    </row>
    <row r="256" spans="1:33" s="91" customFormat="1" ht="27.6">
      <c r="A256" s="87" t="s">
        <v>4</v>
      </c>
      <c r="B256" s="88" t="s">
        <v>5</v>
      </c>
      <c r="C256" s="88" t="s">
        <v>24</v>
      </c>
      <c r="D256" s="88" t="s">
        <v>46</v>
      </c>
      <c r="E256" s="88" t="s">
        <v>67</v>
      </c>
      <c r="F256" s="88" t="s">
        <v>6</v>
      </c>
      <c r="G256" s="88" t="s">
        <v>7</v>
      </c>
      <c r="H256" s="116" t="s">
        <v>8</v>
      </c>
      <c r="I256" s="116" t="s">
        <v>47</v>
      </c>
      <c r="J256" s="116" t="s">
        <v>9</v>
      </c>
      <c r="K256" s="116" t="s">
        <v>14</v>
      </c>
      <c r="L256" s="89" t="s">
        <v>20</v>
      </c>
      <c r="M256" s="89" t="s">
        <v>23</v>
      </c>
      <c r="N256" s="89" t="s">
        <v>21</v>
      </c>
      <c r="O256" s="136" t="s">
        <v>10</v>
      </c>
      <c r="P256" s="90" t="s">
        <v>49</v>
      </c>
      <c r="Q256" s="45" t="s">
        <v>50</v>
      </c>
      <c r="R256" s="45" t="s">
        <v>55</v>
      </c>
      <c r="S256" s="45" t="s">
        <v>70</v>
      </c>
      <c r="T256" s="45" t="s">
        <v>13</v>
      </c>
      <c r="U256" s="45" t="s">
        <v>52</v>
      </c>
      <c r="V256" s="45" t="s">
        <v>48</v>
      </c>
      <c r="W256" s="45" t="s">
        <v>15</v>
      </c>
      <c r="X256" s="50" t="s">
        <v>12</v>
      </c>
      <c r="Y256" s="160" t="s">
        <v>22</v>
      </c>
      <c r="Z256" s="50" t="s">
        <v>68</v>
      </c>
      <c r="AA256" s="100"/>
      <c r="AB256" s="100"/>
      <c r="AC256" s="100"/>
      <c r="AD256" s="100"/>
      <c r="AE256" s="100"/>
      <c r="AF256" s="26"/>
      <c r="AG256" s="26"/>
    </row>
    <row r="257" spans="1:33" s="26" customFormat="1" ht="27.6">
      <c r="A257" s="165" t="s">
        <v>471</v>
      </c>
      <c r="B257" s="96" t="s">
        <v>476</v>
      </c>
      <c r="C257" s="93" t="s">
        <v>477</v>
      </c>
      <c r="D257" s="93">
        <v>148365</v>
      </c>
      <c r="E257" s="93">
        <v>104</v>
      </c>
      <c r="F257" s="93" t="s">
        <v>74</v>
      </c>
      <c r="G257" s="95">
        <v>2</v>
      </c>
      <c r="H257" s="117">
        <v>12.08</v>
      </c>
      <c r="I257" s="117">
        <v>0.26</v>
      </c>
      <c r="J257" s="117">
        <v>0.52</v>
      </c>
      <c r="K257" s="118">
        <f t="shared" ref="K257:K258" si="280">H257-I257-J257</f>
        <v>11.3</v>
      </c>
      <c r="L257" s="97" t="s">
        <v>478</v>
      </c>
      <c r="M257" s="97" t="s">
        <v>75</v>
      </c>
      <c r="N257" s="98" t="s">
        <v>479</v>
      </c>
      <c r="O257" s="137">
        <v>10</v>
      </c>
      <c r="P257" s="143">
        <v>1.28</v>
      </c>
      <c r="Q257" s="35"/>
      <c r="R257" s="35"/>
      <c r="S257" s="35">
        <f>0.02*(60+2)*G257</f>
        <v>2.48</v>
      </c>
      <c r="T257" s="35">
        <f>3*G257</f>
        <v>6</v>
      </c>
      <c r="U257" s="35">
        <f t="shared" ref="U257:U258" si="281">IF(RIGHT(F257,2)="WG",K257*$AB$4,IF(RIGHT(F257,3)="WRG",K257*$AB$4+3*G257,IF(RIGHT(F257,3)="WYG",K257*$AB$4+3*G257,IF(RIGHT(F257,3)="WYR",K257*$AB$4+3*G257,0))))</f>
        <v>0</v>
      </c>
      <c r="V257" s="35"/>
      <c r="W257" s="35">
        <f>(0.3*60+3*2)*G257</f>
        <v>48</v>
      </c>
      <c r="X257" s="35">
        <f t="shared" ref="X257:X258" si="282">K257*O257</f>
        <v>113</v>
      </c>
      <c r="Y257" s="35">
        <f>($Y$255/31.1035*IF(LEFT(F257,3)="10K",(0.417*1.07*K257),IF(LEFT(F257,3)="14K",(0.585*1.05*K257),IF(LEFT(F257,3)="18K",(0.75*1.05*K257),0))))*0.5</f>
        <v>344.87600794725677</v>
      </c>
      <c r="Z257" s="83">
        <f>($Z$255/31.1035*IF(LEFT(F257,3)="10K",(0.417*1.07*K257),IF(LEFT(F257,3)="14K",(0.585*1.05*K257),IF(LEFT(F257,3)="18K",(0.75*1.05*K257),0))))*0.5</f>
        <v>344.87600794725677</v>
      </c>
      <c r="AA257" s="100">
        <f t="shared" si="251"/>
        <v>22.6</v>
      </c>
      <c r="AB257" s="100">
        <f t="shared" si="252"/>
        <v>146.88000000000002</v>
      </c>
      <c r="AC257" s="100">
        <f t="shared" si="253"/>
        <v>947.67331463059577</v>
      </c>
      <c r="AD257" s="100">
        <f t="shared" si="254"/>
        <v>1094.5533146305959</v>
      </c>
      <c r="AE257" s="100">
        <f t="shared" si="255"/>
        <v>6.9410249999999998</v>
      </c>
      <c r="AG257" s="26">
        <f t="shared" si="256"/>
        <v>113</v>
      </c>
    </row>
    <row r="258" spans="1:33" s="26" customFormat="1" ht="28.2" thickBot="1">
      <c r="A258" s="94">
        <v>6</v>
      </c>
      <c r="B258" s="93" t="s">
        <v>484</v>
      </c>
      <c r="C258" s="93" t="s">
        <v>485</v>
      </c>
      <c r="D258" s="93">
        <v>148365</v>
      </c>
      <c r="E258" s="93">
        <v>108</v>
      </c>
      <c r="F258" s="93" t="s">
        <v>73</v>
      </c>
      <c r="G258" s="95">
        <v>1</v>
      </c>
      <c r="H258" s="117">
        <v>14.51</v>
      </c>
      <c r="I258" s="117">
        <v>0.31</v>
      </c>
      <c r="J258" s="117">
        <v>0.64</v>
      </c>
      <c r="K258" s="118">
        <f t="shared" si="280"/>
        <v>13.559999999999999</v>
      </c>
      <c r="L258" s="97">
        <v>1.4</v>
      </c>
      <c r="M258" s="97" t="s">
        <v>63</v>
      </c>
      <c r="N258" s="98">
        <v>150</v>
      </c>
      <c r="O258" s="137">
        <v>8.5</v>
      </c>
      <c r="P258" s="143">
        <v>1.54</v>
      </c>
      <c r="Q258" s="35"/>
      <c r="R258" s="35"/>
      <c r="S258" s="35">
        <f t="shared" ref="S258" si="283">0.02*N258*G258</f>
        <v>3</v>
      </c>
      <c r="T258" s="35">
        <f>4*G258</f>
        <v>4</v>
      </c>
      <c r="U258" s="35">
        <f t="shared" si="281"/>
        <v>3.2543999999999995</v>
      </c>
      <c r="V258" s="35"/>
      <c r="W258" s="35">
        <f t="shared" ref="W258" si="284">G258*N258*0.3</f>
        <v>45</v>
      </c>
      <c r="X258" s="35">
        <f t="shared" si="282"/>
        <v>115.25999999999999</v>
      </c>
      <c r="Y258" s="35">
        <f>($Y$255/31.1035*IF(LEFT(F258,3)="10K",(0.417*1.07*K258),IF(LEFT(F258,3)="14K",(0.585*1.05*K258),IF(LEFT(F258,3)="18K",(0.75*1.05*K258),0))))*0.5</f>
        <v>413.85120953670804</v>
      </c>
      <c r="Z258" s="83">
        <f>($Z$255/31.1035*IF(LEFT(F258,3)="10K",(0.417*1.07*K258),IF(LEFT(F258,3)="14K",(0.585*1.05*K258),IF(LEFT(F258,3)="18K",(0.75*1.05*K258),0))))*0.5</f>
        <v>413.85120953670804</v>
      </c>
      <c r="AA258" s="100">
        <f t="shared" si="251"/>
        <v>27.119999999999997</v>
      </c>
      <c r="AB258" s="100">
        <f t="shared" si="252"/>
        <v>143.39439999999999</v>
      </c>
      <c r="AC258" s="100">
        <f t="shared" si="253"/>
        <v>1138.6077260399356</v>
      </c>
      <c r="AD258" s="100">
        <f t="shared" si="254"/>
        <v>1282.0021260399355</v>
      </c>
      <c r="AE258" s="100">
        <f t="shared" si="255"/>
        <v>8.329229999999999</v>
      </c>
      <c r="AG258" s="26">
        <f t="shared" si="256"/>
        <v>115.25999999999999</v>
      </c>
    </row>
    <row r="259" spans="1:33" s="27" customFormat="1" ht="15.9" customHeight="1">
      <c r="A259" s="86" t="s">
        <v>66</v>
      </c>
      <c r="B259" s="63"/>
      <c r="C259" s="63"/>
      <c r="D259" s="63"/>
      <c r="E259" s="63"/>
      <c r="F259" s="63"/>
      <c r="G259" s="64">
        <f>SUM(G257:G258)</f>
        <v>3</v>
      </c>
      <c r="H259" s="119"/>
      <c r="I259" s="119"/>
      <c r="J259" s="119"/>
      <c r="K259" s="119">
        <f>SUM(K257:K258)</f>
        <v>24.86</v>
      </c>
      <c r="L259" s="65"/>
      <c r="M259" s="65"/>
      <c r="N259" s="65"/>
      <c r="O259" s="138"/>
      <c r="P259" s="101">
        <f>SUM(P257:P258)</f>
        <v>2.8200000000000003</v>
      </c>
      <c r="Q259" s="66">
        <f>SUM(Q257:Q258)</f>
        <v>0</v>
      </c>
      <c r="R259" s="66">
        <f>SUM(R257:R258)</f>
        <v>0</v>
      </c>
      <c r="S259" s="66">
        <f>SUM(S257:S258)</f>
        <v>5.48</v>
      </c>
      <c r="T259" s="66">
        <f>SUM(T257:T258)</f>
        <v>10</v>
      </c>
      <c r="U259" s="66">
        <f>SUM(U257:U258)</f>
        <v>3.2543999999999995</v>
      </c>
      <c r="V259" s="66">
        <f>SUM(V257:V258)</f>
        <v>0</v>
      </c>
      <c r="W259" s="66">
        <f>SUM(W257:W258)</f>
        <v>93</v>
      </c>
      <c r="X259" s="66">
        <f>SUM(X257:X258)</f>
        <v>228.26</v>
      </c>
      <c r="Y259" s="66">
        <f>SUM(Y257:Y258)</f>
        <v>758.72721748396475</v>
      </c>
      <c r="Z259" s="84">
        <f>SUM(Z257:Z258)</f>
        <v>758.72721748396475</v>
      </c>
      <c r="AA259" s="100"/>
      <c r="AB259" s="100"/>
      <c r="AC259" s="100"/>
      <c r="AD259" s="100"/>
      <c r="AE259" s="100"/>
      <c r="AF259" s="26"/>
      <c r="AG259" s="26"/>
    </row>
    <row r="260" spans="1:33" ht="15.9" customHeight="1">
      <c r="A260" s="52" t="s">
        <v>64</v>
      </c>
      <c r="K260" s="115"/>
      <c r="L260" s="48"/>
      <c r="M260" s="48"/>
      <c r="N260" s="48"/>
      <c r="W260" s="49"/>
      <c r="X260" s="80" t="s">
        <v>259</v>
      </c>
      <c r="Y260" s="92">
        <f>3051.7*1.02</f>
        <v>3112.7339999999999</v>
      </c>
      <c r="Z260" s="92">
        <f>3051.7*1.02</f>
        <v>3112.7339999999999</v>
      </c>
      <c r="AA260" s="100"/>
      <c r="AB260" s="100"/>
      <c r="AC260" s="100"/>
      <c r="AD260" s="100"/>
      <c r="AE260" s="100"/>
      <c r="AF260" s="26"/>
      <c r="AG260" s="26"/>
    </row>
    <row r="261" spans="1:33" s="91" customFormat="1" ht="27.6">
      <c r="A261" s="87" t="s">
        <v>4</v>
      </c>
      <c r="B261" s="88" t="s">
        <v>5</v>
      </c>
      <c r="C261" s="88" t="s">
        <v>24</v>
      </c>
      <c r="D261" s="88" t="s">
        <v>46</v>
      </c>
      <c r="E261" s="88" t="s">
        <v>67</v>
      </c>
      <c r="F261" s="88" t="s">
        <v>6</v>
      </c>
      <c r="G261" s="88" t="s">
        <v>7</v>
      </c>
      <c r="H261" s="116" t="s">
        <v>8</v>
      </c>
      <c r="I261" s="116" t="s">
        <v>47</v>
      </c>
      <c r="J261" s="116" t="s">
        <v>9</v>
      </c>
      <c r="K261" s="116" t="s">
        <v>14</v>
      </c>
      <c r="L261" s="89" t="s">
        <v>20</v>
      </c>
      <c r="M261" s="89" t="s">
        <v>23</v>
      </c>
      <c r="N261" s="89" t="s">
        <v>21</v>
      </c>
      <c r="O261" s="136" t="s">
        <v>10</v>
      </c>
      <c r="P261" s="90" t="s">
        <v>49</v>
      </c>
      <c r="Q261" s="45" t="s">
        <v>50</v>
      </c>
      <c r="R261" s="45" t="s">
        <v>55</v>
      </c>
      <c r="S261" s="45" t="s">
        <v>70</v>
      </c>
      <c r="T261" s="45" t="s">
        <v>13</v>
      </c>
      <c r="U261" s="45" t="s">
        <v>52</v>
      </c>
      <c r="V261" s="45" t="s">
        <v>48</v>
      </c>
      <c r="W261" s="45" t="s">
        <v>15</v>
      </c>
      <c r="X261" s="50" t="s">
        <v>12</v>
      </c>
      <c r="Y261" s="160" t="s">
        <v>22</v>
      </c>
      <c r="Z261" s="50" t="s">
        <v>68</v>
      </c>
      <c r="AA261" s="100"/>
      <c r="AB261" s="100"/>
      <c r="AC261" s="100"/>
      <c r="AD261" s="100"/>
      <c r="AE261" s="100"/>
      <c r="AF261" s="26"/>
      <c r="AG261" s="26"/>
    </row>
    <row r="262" spans="1:33" s="26" customFormat="1" ht="27.6">
      <c r="A262" s="165" t="s">
        <v>486</v>
      </c>
      <c r="B262" s="96" t="s">
        <v>406</v>
      </c>
      <c r="C262" s="93" t="s">
        <v>407</v>
      </c>
      <c r="D262" s="93">
        <v>148403</v>
      </c>
      <c r="E262" s="93">
        <v>104</v>
      </c>
      <c r="F262" s="93" t="s">
        <v>74</v>
      </c>
      <c r="G262" s="167">
        <v>1</v>
      </c>
      <c r="H262" s="168">
        <v>5.85</v>
      </c>
      <c r="I262" s="168">
        <v>0.18</v>
      </c>
      <c r="J262" s="168">
        <v>0.32</v>
      </c>
      <c r="K262" s="169">
        <f t="shared" ref="K262:K263" si="285">H262-I262-J262</f>
        <v>5.35</v>
      </c>
      <c r="L262" s="97">
        <v>2.1</v>
      </c>
      <c r="M262" s="97" t="s">
        <v>63</v>
      </c>
      <c r="N262" s="98">
        <v>24</v>
      </c>
      <c r="O262" s="137">
        <v>9.5</v>
      </c>
      <c r="P262" s="143">
        <v>0.9</v>
      </c>
      <c r="Q262" s="35"/>
      <c r="R262" s="35"/>
      <c r="S262" s="35">
        <f t="shared" ref="S262:S263" si="286">0.02*N262*G262</f>
        <v>0.48</v>
      </c>
      <c r="T262" s="35">
        <f t="shared" ref="T262" si="287">2.3*G262</f>
        <v>2.2999999999999998</v>
      </c>
      <c r="U262" s="35">
        <f t="shared" ref="U262:U263" si="288">IF(RIGHT(F262,2)="WG",K262*$AB$4,IF(RIGHT(F262,3)="WRG",K262*$AB$4+3*G262,IF(RIGHT(F262,3)="WYG",K262*$AB$4+3*G262,IF(RIGHT(F262,3)="WYR",K262*$AB$4+3*G262,0))))</f>
        <v>0</v>
      </c>
      <c r="V262" s="35"/>
      <c r="W262" s="35">
        <f t="shared" ref="W262:W263" si="289">G262*N262*0.3</f>
        <v>7.1999999999999993</v>
      </c>
      <c r="X262" s="35">
        <f t="shared" ref="X262:X263" si="290">K262*O262</f>
        <v>50.824999999999996</v>
      </c>
      <c r="Y262" s="35">
        <f>($Y$260/31.1035*IF(LEFT(F262,3)="10K",(0.417*1.07*K262),IF(LEFT(F262,3)="14K",(0.585*1.05*K262),IF(LEFT(F262,3)="18K",(0.75*1.05*K262),0))))*0.5</f>
        <v>164.43781565298113</v>
      </c>
      <c r="Z262" s="83">
        <f>($Z$260/31.1035*IF(LEFT(F262,3)="10K",(0.417*1.07*K262),IF(LEFT(F262,3)="14K",(0.585*1.05*K262),IF(LEFT(F262,3)="18K",(0.75*1.05*K262),0))))*0.5</f>
        <v>164.43781565298113</v>
      </c>
      <c r="AA262" s="100">
        <f t="shared" ref="AA262:AA283" si="291">2*K262</f>
        <v>10.7</v>
      </c>
      <c r="AB262" s="100">
        <f t="shared" ref="AB262:AB283" si="292">(SUM(Q262:W262)+AG262)-AA262</f>
        <v>50.10499999999999</v>
      </c>
      <c r="AC262" s="100">
        <f t="shared" ref="AC262:AC283" si="293">AE262*$AC$13+P262*$AC$14</f>
        <v>551.55250872463762</v>
      </c>
      <c r="AD262" s="100">
        <f t="shared" ref="AD262:AD283" si="294">SUM(AB262:AC262)</f>
        <v>601.65750872463764</v>
      </c>
      <c r="AE262" s="100">
        <f t="shared" ref="AE262:AE283" si="295">IF(LEFT(F262,3)="10K",(0.417*1.07*K262),IF(LEFT(F262,3)="14K",(0.585*1.05*K262),IF(LEFT(F262,3)="18K",(0.75*1.05*K262),0)))</f>
        <v>3.2862374999999995</v>
      </c>
      <c r="AG262" s="26">
        <f t="shared" ref="AG262:AG283" si="296">IF(AF262&gt;0,AF262*K262,X262)</f>
        <v>50.824999999999996</v>
      </c>
    </row>
    <row r="263" spans="1:33" s="26" customFormat="1" ht="28.2" thickBot="1">
      <c r="A263" s="94">
        <v>5</v>
      </c>
      <c r="B263" s="93" t="s">
        <v>416</v>
      </c>
      <c r="C263" s="93" t="s">
        <v>417</v>
      </c>
      <c r="D263" s="93">
        <v>148403</v>
      </c>
      <c r="E263" s="93">
        <v>105</v>
      </c>
      <c r="F263" s="93" t="s">
        <v>74</v>
      </c>
      <c r="G263" s="167">
        <v>3</v>
      </c>
      <c r="H263" s="168">
        <v>19.989999999999998</v>
      </c>
      <c r="I263" s="168">
        <v>0.15000000000000002</v>
      </c>
      <c r="J263" s="168">
        <v>0.96</v>
      </c>
      <c r="K263" s="169">
        <f t="shared" si="285"/>
        <v>18.88</v>
      </c>
      <c r="L263" s="97">
        <v>1</v>
      </c>
      <c r="M263" s="97" t="s">
        <v>63</v>
      </c>
      <c r="N263" s="98">
        <v>58</v>
      </c>
      <c r="O263" s="137">
        <v>8.5</v>
      </c>
      <c r="P263" s="143">
        <v>0.78</v>
      </c>
      <c r="Q263" s="35"/>
      <c r="R263" s="35"/>
      <c r="S263" s="35">
        <f t="shared" si="286"/>
        <v>3.4799999999999995</v>
      </c>
      <c r="T263" s="35">
        <f>2*G263</f>
        <v>6</v>
      </c>
      <c r="U263" s="35">
        <f t="shared" si="288"/>
        <v>0</v>
      </c>
      <c r="V263" s="35"/>
      <c r="W263" s="35">
        <f t="shared" si="289"/>
        <v>52.199999999999996</v>
      </c>
      <c r="X263" s="35">
        <f t="shared" si="290"/>
        <v>160.47999999999999</v>
      </c>
      <c r="Y263" s="35">
        <f>($Y$260/31.1035*IF(LEFT(F263,3)="10K",(0.417*1.07*K263),IF(LEFT(F263,3)="14K",(0.585*1.05*K263),IF(LEFT(F263,3)="18K",(0.75*1.05*K263),0))))*0.5</f>
        <v>580.29644103332407</v>
      </c>
      <c r="Z263" s="83">
        <f>($Z$260/31.1035*IF(LEFT(F263,3)="10K",(0.417*1.07*K263),IF(LEFT(F263,3)="14K",(0.585*1.05*K263),IF(LEFT(F263,3)="18K",(0.75*1.05*K263),0))))*0.5</f>
        <v>580.29644103332407</v>
      </c>
      <c r="AA263" s="100">
        <f t="shared" si="291"/>
        <v>37.76</v>
      </c>
      <c r="AB263" s="100">
        <f t="shared" si="292"/>
        <v>184.39999999999998</v>
      </c>
      <c r="AC263" s="100">
        <f t="shared" si="293"/>
        <v>1107.9378342280193</v>
      </c>
      <c r="AD263" s="100">
        <f t="shared" si="294"/>
        <v>1292.3378342280193</v>
      </c>
      <c r="AE263" s="100">
        <f t="shared" si="295"/>
        <v>11.597039999999998</v>
      </c>
      <c r="AG263" s="26">
        <f t="shared" si="296"/>
        <v>160.47999999999999</v>
      </c>
    </row>
    <row r="264" spans="1:33" s="27" customFormat="1" ht="15.9" customHeight="1">
      <c r="A264" s="86" t="s">
        <v>66</v>
      </c>
      <c r="B264" s="63"/>
      <c r="C264" s="63"/>
      <c r="D264" s="63"/>
      <c r="E264" s="63"/>
      <c r="F264" s="63"/>
      <c r="G264" s="170">
        <f>SUM(G262:G263)</f>
        <v>4</v>
      </c>
      <c r="H264" s="171"/>
      <c r="I264" s="171"/>
      <c r="J264" s="171"/>
      <c r="K264" s="171">
        <f>SUM(K262:K263)</f>
        <v>24.229999999999997</v>
      </c>
      <c r="L264" s="65"/>
      <c r="M264" s="65"/>
      <c r="N264" s="65"/>
      <c r="O264" s="138"/>
      <c r="P264" s="101">
        <f t="shared" ref="P264:Z264" si="297">SUM(P262:P263)</f>
        <v>1.6800000000000002</v>
      </c>
      <c r="Q264" s="66">
        <f t="shared" si="297"/>
        <v>0</v>
      </c>
      <c r="R264" s="66">
        <f t="shared" si="297"/>
        <v>0</v>
      </c>
      <c r="S264" s="66">
        <f t="shared" si="297"/>
        <v>3.9599999999999995</v>
      </c>
      <c r="T264" s="66">
        <f t="shared" si="297"/>
        <v>8.3000000000000007</v>
      </c>
      <c r="U264" s="66">
        <f t="shared" si="297"/>
        <v>0</v>
      </c>
      <c r="V264" s="66">
        <f t="shared" si="297"/>
        <v>0</v>
      </c>
      <c r="W264" s="66">
        <f t="shared" si="297"/>
        <v>59.399999999999991</v>
      </c>
      <c r="X264" s="66">
        <f t="shared" si="297"/>
        <v>211.30499999999998</v>
      </c>
      <c r="Y264" s="66">
        <f t="shared" si="297"/>
        <v>744.73425668630523</v>
      </c>
      <c r="Z264" s="84">
        <f t="shared" si="297"/>
        <v>744.73425668630523</v>
      </c>
      <c r="AA264" s="100"/>
      <c r="AB264" s="100"/>
      <c r="AC264" s="100"/>
      <c r="AD264" s="100"/>
      <c r="AE264" s="100"/>
      <c r="AF264" s="26"/>
      <c r="AG264" s="26"/>
    </row>
    <row r="265" spans="1:33" ht="15.9" customHeight="1">
      <c r="A265" s="52" t="s">
        <v>64</v>
      </c>
      <c r="K265" s="115"/>
      <c r="L265" s="48"/>
      <c r="M265" s="48"/>
      <c r="N265" s="48"/>
      <c r="W265" s="49"/>
      <c r="X265" s="80" t="s">
        <v>259</v>
      </c>
      <c r="Y265" s="92">
        <v>3112.7339999999999</v>
      </c>
      <c r="Z265" s="92">
        <v>3112.7339999999999</v>
      </c>
      <c r="AA265" s="100"/>
      <c r="AB265" s="100"/>
      <c r="AC265" s="100"/>
      <c r="AD265" s="100"/>
      <c r="AE265" s="100"/>
      <c r="AF265" s="26"/>
      <c r="AG265" s="26"/>
    </row>
    <row r="266" spans="1:33" s="91" customFormat="1" ht="27.6">
      <c r="A266" s="87" t="s">
        <v>4</v>
      </c>
      <c r="B266" s="88" t="s">
        <v>5</v>
      </c>
      <c r="C266" s="88" t="s">
        <v>24</v>
      </c>
      <c r="D266" s="88" t="s">
        <v>46</v>
      </c>
      <c r="E266" s="88" t="s">
        <v>67</v>
      </c>
      <c r="F266" s="88" t="s">
        <v>6</v>
      </c>
      <c r="G266" s="88" t="s">
        <v>7</v>
      </c>
      <c r="H266" s="116" t="s">
        <v>8</v>
      </c>
      <c r="I266" s="116" t="s">
        <v>47</v>
      </c>
      <c r="J266" s="116" t="s">
        <v>9</v>
      </c>
      <c r="K266" s="116" t="s">
        <v>14</v>
      </c>
      <c r="L266" s="89" t="s">
        <v>20</v>
      </c>
      <c r="M266" s="89" t="s">
        <v>23</v>
      </c>
      <c r="N266" s="89" t="s">
        <v>21</v>
      </c>
      <c r="O266" s="136" t="s">
        <v>10</v>
      </c>
      <c r="P266" s="90" t="s">
        <v>49</v>
      </c>
      <c r="Q266" s="45" t="s">
        <v>50</v>
      </c>
      <c r="R266" s="45" t="s">
        <v>55</v>
      </c>
      <c r="S266" s="45" t="s">
        <v>70</v>
      </c>
      <c r="T266" s="45" t="s">
        <v>13</v>
      </c>
      <c r="U266" s="45" t="s">
        <v>52</v>
      </c>
      <c r="V266" s="45" t="s">
        <v>48</v>
      </c>
      <c r="W266" s="45" t="s">
        <v>15</v>
      </c>
      <c r="X266" s="50" t="s">
        <v>12</v>
      </c>
      <c r="Y266" s="160" t="s">
        <v>22</v>
      </c>
      <c r="Z266" s="50" t="s">
        <v>68</v>
      </c>
      <c r="AA266" s="100"/>
      <c r="AB266" s="100"/>
      <c r="AC266" s="100"/>
      <c r="AD266" s="100"/>
      <c r="AE266" s="100"/>
      <c r="AF266" s="26"/>
      <c r="AG266" s="26"/>
    </row>
    <row r="267" spans="1:33" s="26" customFormat="1" ht="27.6">
      <c r="A267" s="165" t="s">
        <v>487</v>
      </c>
      <c r="B267" s="96" t="s">
        <v>379</v>
      </c>
      <c r="C267" s="93" t="s">
        <v>488</v>
      </c>
      <c r="D267" s="93">
        <v>148438</v>
      </c>
      <c r="E267" s="93">
        <v>102</v>
      </c>
      <c r="F267" s="93" t="s">
        <v>73</v>
      </c>
      <c r="G267" s="167">
        <v>1</v>
      </c>
      <c r="H267" s="168">
        <v>5.48</v>
      </c>
      <c r="I267" s="168">
        <v>0.06</v>
      </c>
      <c r="J267" s="168">
        <v>0.31</v>
      </c>
      <c r="K267" s="169">
        <f t="shared" ref="K267:K275" si="298">H267-I267-J267</f>
        <v>5.1100000000000012</v>
      </c>
      <c r="L267" s="97">
        <v>1.75</v>
      </c>
      <c r="M267" s="97" t="s">
        <v>63</v>
      </c>
      <c r="N267" s="98">
        <v>15</v>
      </c>
      <c r="O267" s="137">
        <v>9.5</v>
      </c>
      <c r="P267" s="143">
        <v>0.32</v>
      </c>
      <c r="Q267" s="35"/>
      <c r="R267" s="35"/>
      <c r="S267" s="35">
        <f t="shared" ref="S267:S271" si="299">0.02*N267*G267</f>
        <v>0.3</v>
      </c>
      <c r="T267" s="35">
        <f>2.3*G267</f>
        <v>2.2999999999999998</v>
      </c>
      <c r="U267" s="35">
        <f t="shared" ref="U267:U275" si="300">IF(RIGHT(F267,2)="WG",K267*$AB$4,IF(RIGHT(F267,3)="WRG",K267*$AB$4+3*G267,IF(RIGHT(F267,3)="WYG",K267*$AB$4+3*G267,IF(RIGHT(F267,3)="WYR",K267*$AB$4+3*G267,0))))</f>
        <v>1.2264000000000002</v>
      </c>
      <c r="V267" s="35"/>
      <c r="W267" s="35">
        <f t="shared" ref="W267:W271" si="301">G267*N267*0.3</f>
        <v>4.5</v>
      </c>
      <c r="X267" s="35">
        <f t="shared" ref="X267:X275" si="302">K267*O267</f>
        <v>48.545000000000009</v>
      </c>
      <c r="Y267" s="35">
        <f>($Y$265/31.1035*IF(LEFT(F267,3)="10K",(0.417*1.07*K267),IF(LEFT(F267,3)="14K",(0.585*1.05*K267),IF(LEFT(F267,3)="18K",(0.75*1.05*K267),0))))*0.5</f>
        <v>157.06116597882877</v>
      </c>
      <c r="Z267" s="83">
        <f>($Z$265/31.1035*IF(LEFT(F267,3)="10K",(0.417*1.07*K267),IF(LEFT(F267,3)="14K",(0.585*1.05*K267),IF(LEFT(F267,3)="18K",(0.75*1.05*K267),0))))*0.5</f>
        <v>157.06116597882877</v>
      </c>
      <c r="AA267" s="100">
        <f t="shared" si="291"/>
        <v>10.220000000000002</v>
      </c>
      <c r="AB267" s="100">
        <f t="shared" si="292"/>
        <v>46.65140000000001</v>
      </c>
      <c r="AC267" s="100">
        <f t="shared" si="293"/>
        <v>337.97473865764903</v>
      </c>
      <c r="AD267" s="100">
        <f t="shared" si="294"/>
        <v>384.62613865764905</v>
      </c>
      <c r="AE267" s="100">
        <f t="shared" si="295"/>
        <v>3.1388175000000005</v>
      </c>
      <c r="AG267" s="26">
        <f t="shared" si="296"/>
        <v>48.545000000000009</v>
      </c>
    </row>
    <row r="268" spans="1:33" s="26" customFormat="1" ht="27.6">
      <c r="A268" s="94">
        <v>3</v>
      </c>
      <c r="B268" s="96" t="s">
        <v>489</v>
      </c>
      <c r="C268" s="93" t="s">
        <v>490</v>
      </c>
      <c r="D268" s="93">
        <v>148438</v>
      </c>
      <c r="E268" s="93">
        <v>105</v>
      </c>
      <c r="F268" s="93" t="s">
        <v>73</v>
      </c>
      <c r="G268" s="167">
        <v>3</v>
      </c>
      <c r="H268" s="168">
        <v>25.540000000000003</v>
      </c>
      <c r="I268" s="168">
        <v>0.60000000000000009</v>
      </c>
      <c r="J268" s="168">
        <v>0.92999999999999994</v>
      </c>
      <c r="K268" s="169">
        <f t="shared" si="298"/>
        <v>24.01</v>
      </c>
      <c r="L268" s="97">
        <v>1.8</v>
      </c>
      <c r="M268" s="97" t="s">
        <v>63</v>
      </c>
      <c r="N268" s="98">
        <v>39</v>
      </c>
      <c r="O268" s="137">
        <v>8.5</v>
      </c>
      <c r="P268" s="143">
        <v>3.02</v>
      </c>
      <c r="Q268" s="35"/>
      <c r="R268" s="35"/>
      <c r="S268" s="35">
        <f t="shared" si="299"/>
        <v>2.34</v>
      </c>
      <c r="T268" s="35">
        <f t="shared" ref="T268:T271" si="303">2.3*G268</f>
        <v>6.8999999999999995</v>
      </c>
      <c r="U268" s="35">
        <f t="shared" si="300"/>
        <v>5.7624000000000004</v>
      </c>
      <c r="V268" s="35"/>
      <c r="W268" s="35">
        <f t="shared" si="301"/>
        <v>35.1</v>
      </c>
      <c r="X268" s="35">
        <f t="shared" si="302"/>
        <v>204.08500000000001</v>
      </c>
      <c r="Y268" s="35">
        <f t="shared" ref="Y268:Y275" si="304">($Y$265/31.1035*IF(LEFT(F268,3)="10K",(0.417*1.07*K268),IF(LEFT(F268,3)="14K",(0.585*1.05*K268),IF(LEFT(F268,3)="18K",(0.75*1.05*K268),0))))*0.5</f>
        <v>737.97232781833225</v>
      </c>
      <c r="Z268" s="83">
        <f t="shared" ref="Z268:Z275" si="305">($Z$265/31.1035*IF(LEFT(F268,3)="10K",(0.417*1.07*K268),IF(LEFT(F268,3)="14K",(0.585*1.05*K268),IF(LEFT(F268,3)="18K",(0.75*1.05*K268),0))))*0.5</f>
        <v>737.97232781833225</v>
      </c>
      <c r="AA268" s="100">
        <f t="shared" si="291"/>
        <v>48.02</v>
      </c>
      <c r="AB268" s="100">
        <f t="shared" si="292"/>
        <v>206.16740000000001</v>
      </c>
      <c r="AC268" s="100">
        <f t="shared" si="293"/>
        <v>2118.6763648315618</v>
      </c>
      <c r="AD268" s="100">
        <f t="shared" si="294"/>
        <v>2324.8437648315617</v>
      </c>
      <c r="AE268" s="100">
        <f t="shared" si="295"/>
        <v>14.7481425</v>
      </c>
      <c r="AG268" s="26">
        <f t="shared" si="296"/>
        <v>204.08500000000001</v>
      </c>
    </row>
    <row r="269" spans="1:33" s="26" customFormat="1" ht="27.6">
      <c r="A269" s="94">
        <v>8</v>
      </c>
      <c r="B269" s="93" t="s">
        <v>491</v>
      </c>
      <c r="C269" s="93" t="s">
        <v>492</v>
      </c>
      <c r="D269" s="93">
        <v>148438</v>
      </c>
      <c r="E269" s="93">
        <v>112</v>
      </c>
      <c r="F269" s="93" t="s">
        <v>74</v>
      </c>
      <c r="G269" s="167">
        <v>1</v>
      </c>
      <c r="H269" s="168">
        <v>10.59</v>
      </c>
      <c r="I269" s="168">
        <v>0.28000000000000003</v>
      </c>
      <c r="J269" s="168">
        <v>0.62</v>
      </c>
      <c r="K269" s="169">
        <f t="shared" si="298"/>
        <v>9.6900000000000013</v>
      </c>
      <c r="L269" s="97">
        <v>2.2000000000000002</v>
      </c>
      <c r="M269" s="97" t="s">
        <v>63</v>
      </c>
      <c r="N269" s="98">
        <v>35</v>
      </c>
      <c r="O269" s="137">
        <v>9.5</v>
      </c>
      <c r="P269" s="143">
        <v>1.39</v>
      </c>
      <c r="Q269" s="35"/>
      <c r="R269" s="35"/>
      <c r="S269" s="35">
        <f t="shared" si="299"/>
        <v>0.70000000000000007</v>
      </c>
      <c r="T269" s="35">
        <f>4.6*G269</f>
        <v>4.5999999999999996</v>
      </c>
      <c r="U269" s="35">
        <f>0.15*N269*G269</f>
        <v>5.25</v>
      </c>
      <c r="V269" s="35"/>
      <c r="W269" s="35">
        <f t="shared" si="301"/>
        <v>10.5</v>
      </c>
      <c r="X269" s="35">
        <f t="shared" si="302"/>
        <v>92.055000000000007</v>
      </c>
      <c r="Y269" s="35">
        <f t="shared" si="304"/>
        <v>297.83223059390423</v>
      </c>
      <c r="Z269" s="83">
        <f t="shared" si="305"/>
        <v>297.83223059390423</v>
      </c>
      <c r="AA269" s="100">
        <f t="shared" si="291"/>
        <v>19.380000000000003</v>
      </c>
      <c r="AB269" s="100">
        <f t="shared" si="292"/>
        <v>93.724999999999994</v>
      </c>
      <c r="AC269" s="100">
        <f t="shared" si="293"/>
        <v>914.96253791916263</v>
      </c>
      <c r="AD269" s="100">
        <f t="shared" si="294"/>
        <v>1008.6875379191627</v>
      </c>
      <c r="AE269" s="100">
        <f t="shared" si="295"/>
        <v>5.9520825000000004</v>
      </c>
      <c r="AG269" s="26">
        <f t="shared" si="296"/>
        <v>92.055000000000007</v>
      </c>
    </row>
    <row r="270" spans="1:33" s="26" customFormat="1" ht="27.6">
      <c r="A270" s="94">
        <v>9</v>
      </c>
      <c r="B270" s="93" t="s">
        <v>382</v>
      </c>
      <c r="C270" s="93" t="s">
        <v>493</v>
      </c>
      <c r="D270" s="93">
        <v>148438</v>
      </c>
      <c r="E270" s="93">
        <v>113</v>
      </c>
      <c r="F270" s="93" t="s">
        <v>73</v>
      </c>
      <c r="G270" s="167">
        <v>1</v>
      </c>
      <c r="H270" s="168">
        <v>5.59</v>
      </c>
      <c r="I270" s="168">
        <v>0.19</v>
      </c>
      <c r="J270" s="168">
        <v>0.31</v>
      </c>
      <c r="K270" s="169">
        <f t="shared" si="298"/>
        <v>5.09</v>
      </c>
      <c r="L270" s="97">
        <v>2.1</v>
      </c>
      <c r="M270" s="97" t="s">
        <v>63</v>
      </c>
      <c r="N270" s="98">
        <v>24</v>
      </c>
      <c r="O270" s="137">
        <v>9.5</v>
      </c>
      <c r="P270" s="143">
        <v>0.94</v>
      </c>
      <c r="Q270" s="35"/>
      <c r="R270" s="35"/>
      <c r="S270" s="35">
        <f t="shared" si="299"/>
        <v>0.48</v>
      </c>
      <c r="T270" s="35">
        <f t="shared" si="303"/>
        <v>2.2999999999999998</v>
      </c>
      <c r="U270" s="35">
        <f t="shared" ref="U270" si="306">IF(RIGHT(F270,2)="WG",K270*$AB$4,IF(RIGHT(F270,3)="WRG",K270*$AB$4+3*G270,IF(RIGHT(F270,3)="WYG",K270*$AB$4+3*G270,IF(RIGHT(F270,3)="WYR",K270*$AB$4+3*G270,0))))</f>
        <v>1.2216</v>
      </c>
      <c r="V270" s="35"/>
      <c r="W270" s="35">
        <f t="shared" si="301"/>
        <v>7.1999999999999993</v>
      </c>
      <c r="X270" s="35">
        <f t="shared" si="302"/>
        <v>48.354999999999997</v>
      </c>
      <c r="Y270" s="35">
        <f t="shared" si="304"/>
        <v>156.44644517264936</v>
      </c>
      <c r="Z270" s="83">
        <f t="shared" si="305"/>
        <v>156.44644517264936</v>
      </c>
      <c r="AA270" s="100">
        <f t="shared" si="291"/>
        <v>10.18</v>
      </c>
      <c r="AB270" s="100">
        <f t="shared" si="292"/>
        <v>49.376599999999996</v>
      </c>
      <c r="AC270" s="100">
        <f t="shared" si="293"/>
        <v>554.05123355684373</v>
      </c>
      <c r="AD270" s="100">
        <f t="shared" si="294"/>
        <v>603.42783355684378</v>
      </c>
      <c r="AE270" s="100">
        <f t="shared" si="295"/>
        <v>3.1265324999999997</v>
      </c>
      <c r="AG270" s="26">
        <f t="shared" si="296"/>
        <v>48.354999999999997</v>
      </c>
    </row>
    <row r="271" spans="1:33" s="26" customFormat="1" ht="27.6">
      <c r="A271" s="94">
        <v>10</v>
      </c>
      <c r="B271" s="96" t="s">
        <v>474</v>
      </c>
      <c r="C271" s="93" t="s">
        <v>475</v>
      </c>
      <c r="D271" s="93">
        <v>148438</v>
      </c>
      <c r="E271" s="93">
        <v>114</v>
      </c>
      <c r="F271" s="93" t="s">
        <v>73</v>
      </c>
      <c r="G271" s="167">
        <v>1</v>
      </c>
      <c r="H271" s="168">
        <v>5.58</v>
      </c>
      <c r="I271" s="168">
        <v>0.06</v>
      </c>
      <c r="J271" s="168">
        <v>0.32</v>
      </c>
      <c r="K271" s="169">
        <f t="shared" si="298"/>
        <v>5.2</v>
      </c>
      <c r="L271" s="97">
        <v>1.75</v>
      </c>
      <c r="M271" s="97" t="s">
        <v>63</v>
      </c>
      <c r="N271" s="98">
        <v>15</v>
      </c>
      <c r="O271" s="137">
        <v>9.5</v>
      </c>
      <c r="P271" s="143">
        <v>0.32</v>
      </c>
      <c r="Q271" s="35"/>
      <c r="R271" s="35"/>
      <c r="S271" s="35">
        <f t="shared" si="299"/>
        <v>0.3</v>
      </c>
      <c r="T271" s="35">
        <f t="shared" si="303"/>
        <v>2.2999999999999998</v>
      </c>
      <c r="U271" s="35">
        <f t="shared" si="300"/>
        <v>1.248</v>
      </c>
      <c r="V271" s="35"/>
      <c r="W271" s="35">
        <f t="shared" si="301"/>
        <v>4.5</v>
      </c>
      <c r="X271" s="35">
        <f t="shared" si="302"/>
        <v>49.4</v>
      </c>
      <c r="Y271" s="35">
        <f t="shared" si="304"/>
        <v>159.82740960663588</v>
      </c>
      <c r="Z271" s="83">
        <f t="shared" si="305"/>
        <v>159.82740960663588</v>
      </c>
      <c r="AA271" s="100">
        <f t="shared" si="291"/>
        <v>10.4</v>
      </c>
      <c r="AB271" s="100">
        <f t="shared" si="292"/>
        <v>47.347999999999999</v>
      </c>
      <c r="AC271" s="100">
        <f t="shared" si="293"/>
        <v>341.95507865764893</v>
      </c>
      <c r="AD271" s="100">
        <f t="shared" si="294"/>
        <v>389.30307865764894</v>
      </c>
      <c r="AE271" s="100">
        <f t="shared" si="295"/>
        <v>3.1940999999999997</v>
      </c>
      <c r="AG271" s="26">
        <f t="shared" si="296"/>
        <v>49.4</v>
      </c>
    </row>
    <row r="272" spans="1:33" s="26" customFormat="1" ht="27.6">
      <c r="A272" s="94">
        <v>13</v>
      </c>
      <c r="B272" s="93" t="s">
        <v>380</v>
      </c>
      <c r="C272" s="93" t="s">
        <v>381</v>
      </c>
      <c r="D272" s="93">
        <v>148438</v>
      </c>
      <c r="E272" s="93">
        <v>117</v>
      </c>
      <c r="F272" s="93" t="s">
        <v>74</v>
      </c>
      <c r="G272" s="167">
        <v>1</v>
      </c>
      <c r="H272" s="168">
        <v>10.56</v>
      </c>
      <c r="I272" s="168">
        <v>0.27</v>
      </c>
      <c r="J272" s="168">
        <v>0.64</v>
      </c>
      <c r="K272" s="169">
        <f t="shared" si="298"/>
        <v>9.65</v>
      </c>
      <c r="L272" s="97">
        <v>2.2000000000000002</v>
      </c>
      <c r="M272" s="97" t="s">
        <v>63</v>
      </c>
      <c r="N272" s="98">
        <v>35</v>
      </c>
      <c r="O272" s="137">
        <v>9.5</v>
      </c>
      <c r="P272" s="143">
        <v>1.37</v>
      </c>
      <c r="Q272" s="35"/>
      <c r="R272" s="35"/>
      <c r="S272" s="35">
        <f t="shared" ref="S272" si="307">0.02*N272*G272</f>
        <v>0.70000000000000007</v>
      </c>
      <c r="T272" s="35">
        <f>4.6*G272</f>
        <v>4.5999999999999996</v>
      </c>
      <c r="U272" s="35">
        <f t="shared" si="300"/>
        <v>0</v>
      </c>
      <c r="V272" s="35"/>
      <c r="W272" s="35">
        <f t="shared" ref="W272" si="308">G272*N272*0.3</f>
        <v>10.5</v>
      </c>
      <c r="X272" s="35">
        <f t="shared" si="302"/>
        <v>91.674999999999997</v>
      </c>
      <c r="Y272" s="35">
        <f t="shared" si="304"/>
        <v>296.60278898154547</v>
      </c>
      <c r="Z272" s="83">
        <f t="shared" si="305"/>
        <v>296.60278898154547</v>
      </c>
      <c r="AA272" s="100">
        <f t="shared" si="291"/>
        <v>19.3</v>
      </c>
      <c r="AB272" s="100">
        <f t="shared" si="292"/>
        <v>88.174999999999997</v>
      </c>
      <c r="AC272" s="100">
        <f t="shared" si="293"/>
        <v>906.19475550305958</v>
      </c>
      <c r="AD272" s="100">
        <f t="shared" si="294"/>
        <v>994.36975550305954</v>
      </c>
      <c r="AE272" s="100">
        <f t="shared" si="295"/>
        <v>5.9275124999999997</v>
      </c>
      <c r="AG272" s="26">
        <f t="shared" si="296"/>
        <v>91.674999999999997</v>
      </c>
    </row>
    <row r="273" spans="1:33" s="26" customFormat="1" ht="55.2">
      <c r="A273" s="94">
        <v>14</v>
      </c>
      <c r="B273" s="93" t="s">
        <v>412</v>
      </c>
      <c r="C273" s="93" t="s">
        <v>494</v>
      </c>
      <c r="D273" s="93">
        <v>148438</v>
      </c>
      <c r="E273" s="93">
        <v>118</v>
      </c>
      <c r="F273" s="93" t="s">
        <v>73</v>
      </c>
      <c r="G273" s="167">
        <v>1</v>
      </c>
      <c r="H273" s="168">
        <v>6.16</v>
      </c>
      <c r="I273" s="168">
        <v>7.0000000000000007E-2</v>
      </c>
      <c r="J273" s="168">
        <v>0.32</v>
      </c>
      <c r="K273" s="169">
        <f t="shared" si="298"/>
        <v>5.77</v>
      </c>
      <c r="L273" s="97" t="s">
        <v>414</v>
      </c>
      <c r="M273" s="97" t="s">
        <v>174</v>
      </c>
      <c r="N273" s="97" t="s">
        <v>415</v>
      </c>
      <c r="O273" s="137">
        <v>9.5</v>
      </c>
      <c r="P273" s="143">
        <v>0.33</v>
      </c>
      <c r="Q273" s="35"/>
      <c r="R273" s="35"/>
      <c r="S273" s="35">
        <f>0.02*(6+8+2+3)*G273</f>
        <v>0.38</v>
      </c>
      <c r="T273" s="35">
        <f t="shared" ref="T273:T275" si="309">2.3*G273</f>
        <v>2.2999999999999998</v>
      </c>
      <c r="U273" s="35">
        <f t="shared" si="300"/>
        <v>1.3847999999999998</v>
      </c>
      <c r="V273" s="35"/>
      <c r="W273" s="35">
        <f>((6+8)*0.3+(1.5*2)+(3*3))*G273</f>
        <v>16.2</v>
      </c>
      <c r="X273" s="35">
        <f t="shared" si="302"/>
        <v>54.814999999999998</v>
      </c>
      <c r="Y273" s="35">
        <f t="shared" si="304"/>
        <v>177.34695258274789</v>
      </c>
      <c r="Z273" s="83">
        <f t="shared" si="305"/>
        <v>177.34695258274789</v>
      </c>
      <c r="AA273" s="100">
        <f t="shared" si="291"/>
        <v>11.54</v>
      </c>
      <c r="AB273" s="100">
        <f t="shared" si="292"/>
        <v>63.539800000000007</v>
      </c>
      <c r="AC273" s="100">
        <f t="shared" si="293"/>
        <v>370.66326986570044</v>
      </c>
      <c r="AD273" s="100">
        <f t="shared" si="294"/>
        <v>434.20306986570046</v>
      </c>
      <c r="AE273" s="100">
        <f t="shared" si="295"/>
        <v>3.5442224999999996</v>
      </c>
      <c r="AG273" s="26">
        <f t="shared" si="296"/>
        <v>54.814999999999998</v>
      </c>
    </row>
    <row r="274" spans="1:33" s="26" customFormat="1" ht="27.6">
      <c r="A274" s="94">
        <v>15</v>
      </c>
      <c r="B274" s="96" t="s">
        <v>474</v>
      </c>
      <c r="C274" s="93" t="s">
        <v>495</v>
      </c>
      <c r="D274" s="93">
        <v>148438</v>
      </c>
      <c r="E274" s="93">
        <v>119</v>
      </c>
      <c r="F274" s="93" t="s">
        <v>110</v>
      </c>
      <c r="G274" s="167">
        <v>1</v>
      </c>
      <c r="H274" s="168">
        <v>5.61</v>
      </c>
      <c r="I274" s="168">
        <v>0.06</v>
      </c>
      <c r="J274" s="168">
        <v>0.32</v>
      </c>
      <c r="K274" s="169">
        <f t="shared" si="298"/>
        <v>5.23</v>
      </c>
      <c r="L274" s="97">
        <v>1.75</v>
      </c>
      <c r="M274" s="97" t="s">
        <v>63</v>
      </c>
      <c r="N274" s="98">
        <v>15</v>
      </c>
      <c r="O274" s="137">
        <v>9.5</v>
      </c>
      <c r="P274" s="143">
        <v>0.31</v>
      </c>
      <c r="Q274" s="35"/>
      <c r="R274" s="35"/>
      <c r="S274" s="35">
        <f t="shared" ref="S274" si="310">0.02*N274*G274</f>
        <v>0.3</v>
      </c>
      <c r="T274" s="35">
        <f t="shared" si="309"/>
        <v>2.2999999999999998</v>
      </c>
      <c r="U274" s="35">
        <f t="shared" si="300"/>
        <v>4.2552000000000003</v>
      </c>
      <c r="V274" s="35"/>
      <c r="W274" s="35">
        <f t="shared" ref="W274" si="311">G274*N274*0.3</f>
        <v>4.5</v>
      </c>
      <c r="X274" s="35">
        <f t="shared" si="302"/>
        <v>49.685000000000002</v>
      </c>
      <c r="Y274" s="35">
        <f t="shared" si="304"/>
        <v>160.74949081590495</v>
      </c>
      <c r="Z274" s="83">
        <f t="shared" si="305"/>
        <v>160.74949081590495</v>
      </c>
      <c r="AA274" s="100">
        <f t="shared" si="291"/>
        <v>10.46</v>
      </c>
      <c r="AB274" s="100">
        <f t="shared" si="292"/>
        <v>50.580199999999998</v>
      </c>
      <c r="AC274" s="100">
        <f t="shared" si="293"/>
        <v>339.78248744959745</v>
      </c>
      <c r="AD274" s="100">
        <f t="shared" si="294"/>
        <v>390.36268744959744</v>
      </c>
      <c r="AE274" s="100">
        <f t="shared" si="295"/>
        <v>3.2125275000000002</v>
      </c>
      <c r="AG274" s="26">
        <f t="shared" si="296"/>
        <v>49.685000000000002</v>
      </c>
    </row>
    <row r="275" spans="1:33" s="26" customFormat="1" ht="28.2" thickBot="1">
      <c r="A275" s="94">
        <v>16</v>
      </c>
      <c r="B275" s="96" t="s">
        <v>480</v>
      </c>
      <c r="C275" s="93" t="s">
        <v>481</v>
      </c>
      <c r="D275" s="93">
        <v>148438</v>
      </c>
      <c r="E275" s="93">
        <v>120</v>
      </c>
      <c r="F275" s="93" t="s">
        <v>74</v>
      </c>
      <c r="G275" s="167">
        <v>3</v>
      </c>
      <c r="H275" s="168">
        <v>20.85</v>
      </c>
      <c r="I275" s="168">
        <v>0.87999999999999989</v>
      </c>
      <c r="J275" s="168">
        <v>0.96</v>
      </c>
      <c r="K275" s="169">
        <f t="shared" si="298"/>
        <v>19.010000000000002</v>
      </c>
      <c r="L275" s="97" t="s">
        <v>482</v>
      </c>
      <c r="M275" s="97" t="s">
        <v>75</v>
      </c>
      <c r="N275" s="98" t="s">
        <v>483</v>
      </c>
      <c r="O275" s="137">
        <v>8.5</v>
      </c>
      <c r="P275" s="143">
        <v>4.38</v>
      </c>
      <c r="Q275" s="35"/>
      <c r="R275" s="35"/>
      <c r="S275" s="35">
        <f>0.02*(12+11)*G275</f>
        <v>1.3800000000000001</v>
      </c>
      <c r="T275" s="35">
        <f t="shared" si="309"/>
        <v>6.8999999999999995</v>
      </c>
      <c r="U275" s="35">
        <f t="shared" si="300"/>
        <v>0</v>
      </c>
      <c r="V275" s="35"/>
      <c r="W275" s="35">
        <f>(1*12+8*11)*G275</f>
        <v>300</v>
      </c>
      <c r="X275" s="35">
        <f t="shared" si="302"/>
        <v>161.58500000000001</v>
      </c>
      <c r="Y275" s="35">
        <f t="shared" si="304"/>
        <v>584.29212627349011</v>
      </c>
      <c r="Z275" s="83">
        <f t="shared" si="305"/>
        <v>584.29212627349011</v>
      </c>
      <c r="AA275" s="100">
        <f t="shared" si="291"/>
        <v>38.020000000000003</v>
      </c>
      <c r="AB275" s="100">
        <f t="shared" si="292"/>
        <v>431.84500000000003</v>
      </c>
      <c r="AC275" s="100">
        <f t="shared" si="293"/>
        <v>2373.4608491265699</v>
      </c>
      <c r="AD275" s="100">
        <f t="shared" si="294"/>
        <v>2805.3058491265701</v>
      </c>
      <c r="AE275" s="100">
        <f t="shared" si="295"/>
        <v>11.676892500000001</v>
      </c>
      <c r="AG275" s="26">
        <f t="shared" si="296"/>
        <v>161.58500000000001</v>
      </c>
    </row>
    <row r="276" spans="1:33" s="27" customFormat="1" ht="15.9" customHeight="1">
      <c r="A276" s="86" t="s">
        <v>66</v>
      </c>
      <c r="B276" s="63"/>
      <c r="C276" s="63"/>
      <c r="D276" s="63"/>
      <c r="E276" s="63"/>
      <c r="F276" s="63"/>
      <c r="G276" s="170">
        <f>SUM(G267:G275)</f>
        <v>13</v>
      </c>
      <c r="H276" s="171"/>
      <c r="I276" s="171"/>
      <c r="J276" s="171"/>
      <c r="K276" s="171">
        <f>SUM(K267:K275)</f>
        <v>88.760000000000019</v>
      </c>
      <c r="L276" s="65"/>
      <c r="M276" s="65"/>
      <c r="N276" s="65"/>
      <c r="O276" s="138"/>
      <c r="P276" s="101">
        <f t="shared" ref="P276:Z276" si="312">SUM(P267:P275)</f>
        <v>12.379999999999999</v>
      </c>
      <c r="Q276" s="66">
        <f t="shared" si="312"/>
        <v>0</v>
      </c>
      <c r="R276" s="66">
        <f t="shared" si="312"/>
        <v>0</v>
      </c>
      <c r="S276" s="66">
        <f t="shared" si="312"/>
        <v>6.88</v>
      </c>
      <c r="T276" s="66">
        <f t="shared" si="312"/>
        <v>34.5</v>
      </c>
      <c r="U276" s="66">
        <f t="shared" si="312"/>
        <v>20.348399999999998</v>
      </c>
      <c r="V276" s="66">
        <f t="shared" si="312"/>
        <v>0</v>
      </c>
      <c r="W276" s="66">
        <f t="shared" si="312"/>
        <v>393</v>
      </c>
      <c r="X276" s="66">
        <f t="shared" si="312"/>
        <v>800.2</v>
      </c>
      <c r="Y276" s="66">
        <f t="shared" si="312"/>
        <v>2728.1309378240394</v>
      </c>
      <c r="Z276" s="84">
        <f t="shared" si="312"/>
        <v>2728.1309378240394</v>
      </c>
      <c r="AA276" s="100"/>
      <c r="AB276" s="100"/>
      <c r="AC276" s="100"/>
      <c r="AD276" s="100"/>
      <c r="AE276" s="100"/>
      <c r="AF276" s="26"/>
      <c r="AG276" s="26"/>
    </row>
    <row r="277" spans="1:33" ht="15.9" customHeight="1">
      <c r="A277" s="52" t="s">
        <v>64</v>
      </c>
      <c r="K277" s="115"/>
      <c r="L277" s="48"/>
      <c r="M277" s="48"/>
      <c r="N277" s="48"/>
      <c r="W277" s="49"/>
      <c r="X277" s="80" t="s">
        <v>496</v>
      </c>
      <c r="Y277" s="92">
        <f>2917.7*1.02</f>
        <v>2976.0540000000001</v>
      </c>
      <c r="Z277" s="92">
        <f>2917.7*1.02</f>
        <v>2976.0540000000001</v>
      </c>
      <c r="AA277" s="100"/>
      <c r="AB277" s="100"/>
      <c r="AC277" s="100"/>
      <c r="AD277" s="100"/>
      <c r="AE277" s="100"/>
      <c r="AF277" s="26"/>
      <c r="AG277" s="26"/>
    </row>
    <row r="278" spans="1:33" s="91" customFormat="1" ht="27.6">
      <c r="A278" s="87" t="s">
        <v>4</v>
      </c>
      <c r="B278" s="88" t="s">
        <v>5</v>
      </c>
      <c r="C278" s="88" t="s">
        <v>24</v>
      </c>
      <c r="D278" s="88" t="s">
        <v>46</v>
      </c>
      <c r="E278" s="88" t="s">
        <v>67</v>
      </c>
      <c r="F278" s="88" t="s">
        <v>6</v>
      </c>
      <c r="G278" s="88" t="s">
        <v>7</v>
      </c>
      <c r="H278" s="116" t="s">
        <v>8</v>
      </c>
      <c r="I278" s="116" t="s">
        <v>47</v>
      </c>
      <c r="J278" s="116" t="s">
        <v>9</v>
      </c>
      <c r="K278" s="116" t="s">
        <v>14</v>
      </c>
      <c r="L278" s="89" t="s">
        <v>20</v>
      </c>
      <c r="M278" s="89" t="s">
        <v>23</v>
      </c>
      <c r="N278" s="89" t="s">
        <v>21</v>
      </c>
      <c r="O278" s="136" t="s">
        <v>10</v>
      </c>
      <c r="P278" s="90" t="s">
        <v>49</v>
      </c>
      <c r="Q278" s="45" t="s">
        <v>50</v>
      </c>
      <c r="R278" s="45" t="s">
        <v>55</v>
      </c>
      <c r="S278" s="45" t="s">
        <v>70</v>
      </c>
      <c r="T278" s="45" t="s">
        <v>13</v>
      </c>
      <c r="U278" s="45" t="s">
        <v>52</v>
      </c>
      <c r="V278" s="45" t="s">
        <v>48</v>
      </c>
      <c r="W278" s="45" t="s">
        <v>15</v>
      </c>
      <c r="X278" s="50" t="s">
        <v>12</v>
      </c>
      <c r="Y278" s="160" t="s">
        <v>22</v>
      </c>
      <c r="Z278" s="50" t="s">
        <v>68</v>
      </c>
      <c r="AA278" s="100"/>
      <c r="AB278" s="100"/>
      <c r="AC278" s="100"/>
      <c r="AD278" s="100"/>
      <c r="AE278" s="100"/>
      <c r="AF278" s="26"/>
      <c r="AG278" s="26"/>
    </row>
    <row r="279" spans="1:33" s="26" customFormat="1" ht="28.2" thickBot="1">
      <c r="A279" s="165" t="s">
        <v>497</v>
      </c>
      <c r="B279" s="96" t="s">
        <v>498</v>
      </c>
      <c r="C279" s="93" t="s">
        <v>387</v>
      </c>
      <c r="D279" s="93">
        <v>148110</v>
      </c>
      <c r="E279" s="93">
        <v>106</v>
      </c>
      <c r="F279" s="93" t="s">
        <v>74</v>
      </c>
      <c r="G279" s="95">
        <v>4</v>
      </c>
      <c r="H279" s="117">
        <v>92.71</v>
      </c>
      <c r="I279" s="117">
        <v>0.88</v>
      </c>
      <c r="J279" s="117">
        <v>3.84</v>
      </c>
      <c r="K279" s="118">
        <f t="shared" ref="K279" si="313">H279-I279-J279</f>
        <v>87.99</v>
      </c>
      <c r="L279" s="97">
        <v>1.05</v>
      </c>
      <c r="M279" s="97" t="s">
        <v>63</v>
      </c>
      <c r="N279" s="98">
        <v>248</v>
      </c>
      <c r="O279" s="137">
        <v>10</v>
      </c>
      <c r="P279" s="143">
        <v>4.4400000000000004</v>
      </c>
      <c r="Q279" s="35"/>
      <c r="R279" s="35"/>
      <c r="S279" s="35">
        <f t="shared" ref="S279" si="314">0.02*N279*G279</f>
        <v>19.84</v>
      </c>
      <c r="T279" s="35">
        <f>4*G279</f>
        <v>16</v>
      </c>
      <c r="U279" s="35">
        <f>0.15*N279*G279</f>
        <v>148.79999999999998</v>
      </c>
      <c r="V279" s="35"/>
      <c r="W279" s="35">
        <f t="shared" ref="W279" si="315">G279*N279*0.3</f>
        <v>297.59999999999997</v>
      </c>
      <c r="X279" s="35">
        <f t="shared" ref="X279" si="316">K279*O279</f>
        <v>879.9</v>
      </c>
      <c r="Y279" s="35">
        <f t="shared" ref="Y279" si="317">($Y$50/31.1035*IF(LEFT(F279,3)="10K",(0.417*1.07*K279),IF(LEFT(F279,3)="14K",(0.585*1.05*K279),IF(LEFT(F279,3)="18K",(0.75*1.05*K279),0))))*0.5</f>
        <v>139.99170730071123</v>
      </c>
      <c r="Z279" s="83">
        <f t="shared" ref="Z279" si="318">($Z$50/31.1035*IF(LEFT(F279,3)="10K",(0.417*1.07*K279),IF(LEFT(F279,3)="14K",(0.585*1.05*K279),IF(LEFT(F279,3)="18K",(0.75*1.05*K279),0))))*0.5</f>
        <v>139.99170730071123</v>
      </c>
      <c r="AA279" s="100">
        <f t="shared" si="291"/>
        <v>175.98</v>
      </c>
      <c r="AB279" s="100">
        <f t="shared" si="292"/>
        <v>1186.1599999999999</v>
      </c>
      <c r="AC279" s="100">
        <f t="shared" si="293"/>
        <v>5445.1665563748784</v>
      </c>
      <c r="AD279" s="100">
        <f t="shared" si="294"/>
        <v>6631.3265563748782</v>
      </c>
      <c r="AE279" s="100">
        <f t="shared" si="295"/>
        <v>54.047857499999992</v>
      </c>
      <c r="AG279" s="26">
        <f t="shared" si="296"/>
        <v>879.9</v>
      </c>
    </row>
    <row r="280" spans="1:33" s="27" customFormat="1" ht="15.9" customHeight="1">
      <c r="A280" s="86" t="s">
        <v>66</v>
      </c>
      <c r="B280" s="63"/>
      <c r="C280" s="63"/>
      <c r="D280" s="63"/>
      <c r="E280" s="63"/>
      <c r="F280" s="63"/>
      <c r="G280" s="64">
        <f>SUM(G279:G279)</f>
        <v>4</v>
      </c>
      <c r="H280" s="119"/>
      <c r="I280" s="119"/>
      <c r="J280" s="119"/>
      <c r="K280" s="119">
        <f>SUM(K279:K279)</f>
        <v>87.99</v>
      </c>
      <c r="L280" s="65"/>
      <c r="M280" s="65"/>
      <c r="N280" s="65"/>
      <c r="O280" s="138"/>
      <c r="P280" s="101">
        <f>SUM(P279:P279)</f>
        <v>4.4400000000000004</v>
      </c>
      <c r="Q280" s="66">
        <f>SUM(Q279:Q279)</f>
        <v>0</v>
      </c>
      <c r="R280" s="66">
        <f>SUM(R279:R279)</f>
        <v>0</v>
      </c>
      <c r="S280" s="66">
        <f>SUM(S279:S279)</f>
        <v>19.84</v>
      </c>
      <c r="T280" s="66">
        <f>SUM(T279:T279)</f>
        <v>16</v>
      </c>
      <c r="U280" s="66">
        <f>SUM(U279:U279)</f>
        <v>148.79999999999998</v>
      </c>
      <c r="V280" s="66">
        <f>SUM(V279:V279)</f>
        <v>0</v>
      </c>
      <c r="W280" s="66">
        <f>SUM(W279:W279)</f>
        <v>297.59999999999997</v>
      </c>
      <c r="X280" s="66">
        <f>SUM(X279:X279)</f>
        <v>879.9</v>
      </c>
      <c r="Y280" s="66">
        <f>SUM(Y279:Y279)</f>
        <v>139.99170730071123</v>
      </c>
      <c r="Z280" s="84">
        <f>SUM(Z279:Z279)</f>
        <v>139.99170730071123</v>
      </c>
      <c r="AA280" s="100"/>
      <c r="AB280" s="100"/>
      <c r="AC280" s="100"/>
      <c r="AD280" s="100"/>
      <c r="AE280" s="100"/>
      <c r="AF280" s="26"/>
      <c r="AG280" s="26"/>
    </row>
    <row r="281" spans="1:33" ht="15.9" customHeight="1">
      <c r="A281" s="52" t="s">
        <v>64</v>
      </c>
      <c r="K281" s="115"/>
      <c r="L281" s="48"/>
      <c r="M281" s="48"/>
      <c r="N281" s="48"/>
      <c r="W281" s="49"/>
      <c r="X281" s="80" t="s">
        <v>496</v>
      </c>
      <c r="Y281" s="92">
        <f>2917.7*1.02</f>
        <v>2976.0540000000001</v>
      </c>
      <c r="Z281" s="92">
        <f>2917.7*1.02</f>
        <v>2976.0540000000001</v>
      </c>
      <c r="AA281" s="100"/>
      <c r="AB281" s="100"/>
      <c r="AC281" s="100"/>
      <c r="AD281" s="100"/>
      <c r="AE281" s="100"/>
      <c r="AF281" s="26"/>
      <c r="AG281" s="26"/>
    </row>
    <row r="282" spans="1:33" s="91" customFormat="1" ht="27.6">
      <c r="A282" s="87" t="s">
        <v>4</v>
      </c>
      <c r="B282" s="88" t="s">
        <v>5</v>
      </c>
      <c r="C282" s="88" t="s">
        <v>24</v>
      </c>
      <c r="D282" s="88" t="s">
        <v>46</v>
      </c>
      <c r="E282" s="88" t="s">
        <v>67</v>
      </c>
      <c r="F282" s="88" t="s">
        <v>6</v>
      </c>
      <c r="G282" s="88" t="s">
        <v>7</v>
      </c>
      <c r="H282" s="116" t="s">
        <v>8</v>
      </c>
      <c r="I282" s="116" t="s">
        <v>47</v>
      </c>
      <c r="J282" s="116" t="s">
        <v>9</v>
      </c>
      <c r="K282" s="116" t="s">
        <v>14</v>
      </c>
      <c r="L282" s="89" t="s">
        <v>20</v>
      </c>
      <c r="M282" s="89" t="s">
        <v>23</v>
      </c>
      <c r="N282" s="89" t="s">
        <v>21</v>
      </c>
      <c r="O282" s="136" t="s">
        <v>10</v>
      </c>
      <c r="P282" s="90" t="s">
        <v>49</v>
      </c>
      <c r="Q282" s="45" t="s">
        <v>50</v>
      </c>
      <c r="R282" s="45" t="s">
        <v>55</v>
      </c>
      <c r="S282" s="45" t="s">
        <v>70</v>
      </c>
      <c r="T282" s="45" t="s">
        <v>13</v>
      </c>
      <c r="U282" s="45" t="s">
        <v>52</v>
      </c>
      <c r="V282" s="45" t="s">
        <v>48</v>
      </c>
      <c r="W282" s="45" t="s">
        <v>15</v>
      </c>
      <c r="X282" s="50" t="s">
        <v>12</v>
      </c>
      <c r="Y282" s="160" t="s">
        <v>22</v>
      </c>
      <c r="Z282" s="50" t="s">
        <v>68</v>
      </c>
      <c r="AA282" s="100"/>
      <c r="AB282" s="100"/>
      <c r="AC282" s="100"/>
      <c r="AD282" s="100"/>
      <c r="AE282" s="100"/>
      <c r="AF282" s="26"/>
      <c r="AG282" s="26"/>
    </row>
    <row r="283" spans="1:33" s="26" customFormat="1" ht="28.2" thickBot="1">
      <c r="A283" s="165" t="s">
        <v>501</v>
      </c>
      <c r="B283" s="93" t="s">
        <v>386</v>
      </c>
      <c r="C283" s="93" t="s">
        <v>387</v>
      </c>
      <c r="D283" s="93">
        <v>148132</v>
      </c>
      <c r="E283" s="93"/>
      <c r="F283" s="93" t="s">
        <v>74</v>
      </c>
      <c r="G283" s="95">
        <v>3</v>
      </c>
      <c r="H283" s="117">
        <v>69.42</v>
      </c>
      <c r="I283" s="117">
        <v>0.62</v>
      </c>
      <c r="J283" s="117">
        <v>2.88</v>
      </c>
      <c r="K283" s="118">
        <f t="shared" ref="K283" si="319">H283-I283-J283</f>
        <v>65.92</v>
      </c>
      <c r="L283" s="97">
        <v>1.05</v>
      </c>
      <c r="M283" s="97" t="s">
        <v>63</v>
      </c>
      <c r="N283" s="98">
        <v>248</v>
      </c>
      <c r="O283" s="137">
        <v>10</v>
      </c>
      <c r="P283" s="143">
        <v>3.1550000000000002</v>
      </c>
      <c r="Q283" s="35"/>
      <c r="R283" s="35"/>
      <c r="S283" s="35">
        <f t="shared" ref="S283" si="320">0.02*N283*G283</f>
        <v>14.879999999999999</v>
      </c>
      <c r="T283" s="35">
        <f>4*G283</f>
        <v>12</v>
      </c>
      <c r="U283" s="35">
        <f t="shared" ref="U283" si="321">IF(RIGHT(F283,2)="WG",K283*$AB$4,IF(RIGHT(F283,3)="WRG",K283*$AB$4+3*G283,IF(RIGHT(F283,3)="WYG",K283*$AB$4+3*G283,IF(RIGHT(F283,3)="WYR",K283*$AB$4+3*G283,0))))</f>
        <v>0</v>
      </c>
      <c r="V283" s="35"/>
      <c r="W283" s="35">
        <f t="shared" ref="W283" si="322">G283*N283*0.3</f>
        <v>223.2</v>
      </c>
      <c r="X283" s="35">
        <f t="shared" ref="X283" si="323">K283*O283</f>
        <v>659.2</v>
      </c>
      <c r="Y283" s="35">
        <f t="shared" ref="Y283" si="324">($Y$90/31.1035*IF(LEFT(F283,3)="10K",(0.417*1.07*K283),IF(LEFT(F283,3)="14K",(0.585*1.05*K283),IF(LEFT(F283,3)="18K",(0.75*1.05*K283),0))))*0.5</f>
        <v>8.4889777909625437</v>
      </c>
      <c r="Z283" s="83">
        <f t="shared" ref="Z283" si="325">($Z$90/31.1035*IF(LEFT(F283,3)="10K",(0.417*1.07*K283),IF(LEFT(F283,3)="14K",(0.585*1.05*K283),IF(LEFT(F283,3)="18K",(0.75*1.05*K283),0))))*0.5</f>
        <v>8.4889777909625437</v>
      </c>
      <c r="AA283" s="100">
        <f t="shared" si="291"/>
        <v>131.84</v>
      </c>
      <c r="AB283" s="100">
        <f t="shared" si="292"/>
        <v>777.43999999999994</v>
      </c>
      <c r="AC283" s="100">
        <f t="shared" si="293"/>
        <v>4019.4295361402574</v>
      </c>
      <c r="AD283" s="100">
        <f t="shared" si="294"/>
        <v>4796.869536140257</v>
      </c>
      <c r="AE283" s="100">
        <f t="shared" si="295"/>
        <v>40.49136</v>
      </c>
      <c r="AG283" s="26">
        <f t="shared" si="296"/>
        <v>659.2</v>
      </c>
    </row>
    <row r="284" spans="1:33" s="27" customFormat="1" ht="15.9" customHeight="1">
      <c r="A284" s="86" t="s">
        <v>66</v>
      </c>
      <c r="B284" s="63"/>
      <c r="C284" s="63"/>
      <c r="D284" s="63"/>
      <c r="E284" s="63"/>
      <c r="F284" s="63"/>
      <c r="G284" s="64">
        <f>SUM(G283:G283)</f>
        <v>3</v>
      </c>
      <c r="H284" s="119"/>
      <c r="I284" s="119"/>
      <c r="J284" s="119"/>
      <c r="K284" s="119">
        <f>SUM(K283:K283)</f>
        <v>65.92</v>
      </c>
      <c r="L284" s="65"/>
      <c r="M284" s="65"/>
      <c r="N284" s="65"/>
      <c r="O284" s="138"/>
      <c r="P284" s="101">
        <f>SUM(P283:P283)</f>
        <v>3.1550000000000002</v>
      </c>
      <c r="Q284" s="66">
        <f>SUM(Q283:Q283)</f>
        <v>0</v>
      </c>
      <c r="R284" s="66">
        <f>SUM(R283:R283)</f>
        <v>0</v>
      </c>
      <c r="S284" s="66">
        <f>SUM(S283:S283)</f>
        <v>14.879999999999999</v>
      </c>
      <c r="T284" s="66">
        <f>SUM(T283:T283)</f>
        <v>12</v>
      </c>
      <c r="U284" s="66">
        <f>SUM(U283:U283)</f>
        <v>0</v>
      </c>
      <c r="V284" s="66">
        <f>SUM(V283:V283)</f>
        <v>0</v>
      </c>
      <c r="W284" s="66">
        <f>SUM(W283:W283)</f>
        <v>223.2</v>
      </c>
      <c r="X284" s="66">
        <f>SUM(X283:X283)</f>
        <v>659.2</v>
      </c>
      <c r="Y284" s="66">
        <f>SUM(Y283:Y283)</f>
        <v>8.4889777909625437</v>
      </c>
      <c r="Z284" s="84">
        <f>SUM(Z283:Z283)</f>
        <v>8.4889777909625437</v>
      </c>
      <c r="AA284" s="100"/>
      <c r="AB284" s="100"/>
      <c r="AC284" s="100"/>
      <c r="AD284" s="100"/>
      <c r="AE284" s="100"/>
      <c r="AF284" s="26"/>
      <c r="AG284" s="26"/>
    </row>
    <row r="285" spans="1:33" ht="15.9" customHeight="1">
      <c r="A285" s="52" t="s">
        <v>64</v>
      </c>
      <c r="K285" s="115"/>
      <c r="L285" s="48"/>
      <c r="M285" s="48"/>
      <c r="N285" s="48"/>
      <c r="W285" s="49"/>
      <c r="X285" s="80" t="s">
        <v>503</v>
      </c>
      <c r="Y285" s="92">
        <f>3025.1*1.02</f>
        <v>3085.6019999999999</v>
      </c>
      <c r="Z285" s="92">
        <f>3025.1*1.02</f>
        <v>3085.6019999999999</v>
      </c>
      <c r="AA285" s="100"/>
      <c r="AB285" s="100"/>
      <c r="AC285" s="100"/>
      <c r="AD285" s="100"/>
      <c r="AE285" s="100"/>
      <c r="AF285" s="26"/>
      <c r="AG285" s="26"/>
    </row>
    <row r="286" spans="1:33" s="91" customFormat="1" ht="27.6">
      <c r="A286" s="87" t="s">
        <v>4</v>
      </c>
      <c r="B286" s="88" t="s">
        <v>5</v>
      </c>
      <c r="C286" s="88" t="s">
        <v>24</v>
      </c>
      <c r="D286" s="88" t="s">
        <v>46</v>
      </c>
      <c r="E286" s="88" t="s">
        <v>67</v>
      </c>
      <c r="F286" s="88" t="s">
        <v>6</v>
      </c>
      <c r="G286" s="88" t="s">
        <v>7</v>
      </c>
      <c r="H286" s="116" t="s">
        <v>8</v>
      </c>
      <c r="I286" s="116" t="s">
        <v>47</v>
      </c>
      <c r="J286" s="116" t="s">
        <v>9</v>
      </c>
      <c r="K286" s="116" t="s">
        <v>14</v>
      </c>
      <c r="L286" s="89" t="s">
        <v>20</v>
      </c>
      <c r="M286" s="89" t="s">
        <v>23</v>
      </c>
      <c r="N286" s="89" t="s">
        <v>21</v>
      </c>
      <c r="O286" s="136" t="s">
        <v>10</v>
      </c>
      <c r="P286" s="90" t="s">
        <v>49</v>
      </c>
      <c r="Q286" s="45" t="s">
        <v>50</v>
      </c>
      <c r="R286" s="45" t="s">
        <v>55</v>
      </c>
      <c r="S286" s="45" t="s">
        <v>504</v>
      </c>
      <c r="T286" s="45" t="s">
        <v>13</v>
      </c>
      <c r="U286" s="45" t="s">
        <v>52</v>
      </c>
      <c r="V286" s="45" t="s">
        <v>48</v>
      </c>
      <c r="W286" s="45" t="s">
        <v>15</v>
      </c>
      <c r="X286" s="50" t="s">
        <v>12</v>
      </c>
      <c r="Y286" s="160" t="s">
        <v>22</v>
      </c>
      <c r="Z286" s="50" t="s">
        <v>68</v>
      </c>
      <c r="AA286" s="100"/>
      <c r="AB286" s="100"/>
      <c r="AC286" s="100"/>
      <c r="AD286" s="100"/>
      <c r="AE286" s="100"/>
      <c r="AF286" s="26"/>
      <c r="AG286" s="26"/>
    </row>
    <row r="287" spans="1:33" s="26" customFormat="1" ht="28.2" thickBot="1">
      <c r="A287" s="94" t="s">
        <v>505</v>
      </c>
      <c r="B287" s="93" t="s">
        <v>506</v>
      </c>
      <c r="C287" s="93" t="s">
        <v>507</v>
      </c>
      <c r="D287" s="93">
        <v>148568</v>
      </c>
      <c r="E287" s="93">
        <v>102</v>
      </c>
      <c r="F287" s="93" t="s">
        <v>159</v>
      </c>
      <c r="G287" s="95">
        <v>1</v>
      </c>
      <c r="H287" s="117">
        <v>15.24</v>
      </c>
      <c r="I287" s="117">
        <v>0.3</v>
      </c>
      <c r="J287" s="117">
        <v>0.74</v>
      </c>
      <c r="K287" s="118">
        <f t="shared" ref="K287" si="326">H287-I287-J287</f>
        <v>14.2</v>
      </c>
      <c r="L287" s="97">
        <v>1.6</v>
      </c>
      <c r="M287" s="97" t="s">
        <v>63</v>
      </c>
      <c r="N287" s="98">
        <v>150</v>
      </c>
      <c r="O287" s="137">
        <f>8.5+2</f>
        <v>10.5</v>
      </c>
      <c r="P287" s="143">
        <v>1.5</v>
      </c>
      <c r="Q287" s="35"/>
      <c r="R287" s="35"/>
      <c r="S287" s="35">
        <f>G287*0.02*N287</f>
        <v>3</v>
      </c>
      <c r="T287" s="35">
        <f>G287*4.6</f>
        <v>4.5999999999999996</v>
      </c>
      <c r="U287" s="35">
        <f t="shared" ref="U287" si="327">IF(RIGHT(F287,2)="WG",K287*$AB$4,IF(RIGHT(F287,3)="WRG",K287*$AB$4+3*G287,IF(RIGHT(F287,3)="WYG",K287*$AB$4+3*G287,IF(RIGHT(F287,3)="WYR",K287*$AB$4+3*G287,0))))</f>
        <v>0</v>
      </c>
      <c r="V287" s="35"/>
      <c r="W287" s="35">
        <f>G287*N287*0.3</f>
        <v>45</v>
      </c>
      <c r="X287" s="35">
        <f t="shared" ref="X287" si="328">K287*O287</f>
        <v>149.1</v>
      </c>
      <c r="Y287" s="35">
        <f t="shared" ref="Y287" si="329">($Y$14/31.1035*IF(LEFT(F287,3)="10K",(0.417*1.07*K287),IF(LEFT(F287,3)="14K",(0.585*1.05*K287),IF(LEFT(F287,3)="18K",(0.75*1.05*K287),0))))*0.5</f>
        <v>429.44383030687857</v>
      </c>
      <c r="Z287" s="83">
        <f t="shared" ref="Z287" si="330">($Z$14/31.1035*IF(LEFT(F287,3)="10K",(0.417*1.07*K287),IF(LEFT(F287,3)="14K",(0.585*1.05*K287),IF(LEFT(F287,3)="18K",(0.75*1.05*K287),0))))*0.5</f>
        <v>429.44383030687857</v>
      </c>
      <c r="AA287" s="100">
        <f t="shared" ref="AA287:AA332" si="331">2*K287</f>
        <v>28.4</v>
      </c>
      <c r="AB287" s="100">
        <f t="shared" ref="AB287:AB332" si="332">(SUM(Q287:W287)+AG287)-AA287</f>
        <v>173.29999999999998</v>
      </c>
      <c r="AC287" s="100">
        <f t="shared" ref="AC287:AC332" si="333">AE287*$AC$13+P287*$AC$14</f>
        <v>1152.9148812077294</v>
      </c>
      <c r="AD287" s="100">
        <f t="shared" ref="AD287:AD332" si="334">SUM(AB287:AC287)</f>
        <v>1326.2148812077294</v>
      </c>
      <c r="AE287" s="100">
        <f t="shared" ref="AE287:AE332" si="335">IF(LEFT(F287,3)="10K",(0.417*1.07*K287),IF(LEFT(F287,3)="14K",(0.585*1.05*K287),IF(LEFT(F287,3)="18K",(0.75*1.05*K287),0)))</f>
        <v>8.7223499999999987</v>
      </c>
      <c r="AG287" s="26">
        <f t="shared" ref="AG287:AG332" si="336">IF(AF287&gt;0,AF287*K287,X287)</f>
        <v>149.1</v>
      </c>
    </row>
    <row r="288" spans="1:33" s="27" customFormat="1" ht="15.9" customHeight="1">
      <c r="A288" s="86" t="s">
        <v>66</v>
      </c>
      <c r="B288" s="63"/>
      <c r="C288" s="63"/>
      <c r="D288" s="63"/>
      <c r="E288" s="63"/>
      <c r="F288" s="63"/>
      <c r="G288" s="64">
        <f>SUM(G287:G287)</f>
        <v>1</v>
      </c>
      <c r="H288" s="119"/>
      <c r="I288" s="119"/>
      <c r="J288" s="119"/>
      <c r="K288" s="119">
        <f>SUM(K287:K287)</f>
        <v>14.2</v>
      </c>
      <c r="L288" s="65"/>
      <c r="M288" s="65"/>
      <c r="N288" s="65"/>
      <c r="O288" s="138"/>
      <c r="P288" s="101">
        <f>SUM(P287:P287)</f>
        <v>1.5</v>
      </c>
      <c r="Q288" s="66">
        <f>SUM(Q287:Q287)</f>
        <v>0</v>
      </c>
      <c r="R288" s="66">
        <f>SUM(R287:R287)</f>
        <v>0</v>
      </c>
      <c r="S288" s="66">
        <f>SUM(S287:S287)</f>
        <v>3</v>
      </c>
      <c r="T288" s="66">
        <f>SUM(T287:T287)</f>
        <v>4.5999999999999996</v>
      </c>
      <c r="U288" s="66">
        <f>SUM(U287:U287)</f>
        <v>0</v>
      </c>
      <c r="V288" s="66">
        <f>SUM(V287:V287)</f>
        <v>0</v>
      </c>
      <c r="W288" s="66">
        <f>SUM(W287:W287)</f>
        <v>45</v>
      </c>
      <c r="X288" s="66">
        <f>SUM(X287:X287)</f>
        <v>149.1</v>
      </c>
      <c r="Y288" s="66">
        <f>SUM(Y287:Y287)</f>
        <v>429.44383030687857</v>
      </c>
      <c r="Z288" s="84">
        <f>SUM(Z287:Z287)</f>
        <v>429.44383030687857</v>
      </c>
      <c r="AA288" s="100"/>
      <c r="AB288" s="100"/>
      <c r="AC288" s="100"/>
      <c r="AD288" s="100"/>
      <c r="AE288" s="100"/>
      <c r="AF288" s="26"/>
      <c r="AG288" s="26"/>
    </row>
    <row r="289" spans="1:33" ht="15.9" customHeight="1">
      <c r="A289" s="52" t="s">
        <v>64</v>
      </c>
      <c r="K289" s="115"/>
      <c r="L289" s="48"/>
      <c r="M289" s="48"/>
      <c r="N289" s="48"/>
      <c r="W289" s="49"/>
      <c r="X289" s="80" t="s">
        <v>503</v>
      </c>
      <c r="Y289" s="92">
        <f>3025.1*1.02</f>
        <v>3085.6019999999999</v>
      </c>
      <c r="Z289" s="92">
        <f>3025.1*1.02</f>
        <v>3085.6019999999999</v>
      </c>
      <c r="AA289" s="100"/>
      <c r="AB289" s="100"/>
      <c r="AC289" s="100"/>
      <c r="AD289" s="100"/>
      <c r="AE289" s="100"/>
      <c r="AF289" s="26"/>
      <c r="AG289" s="26"/>
    </row>
    <row r="290" spans="1:33" s="91" customFormat="1" ht="27.6">
      <c r="A290" s="87" t="s">
        <v>4</v>
      </c>
      <c r="B290" s="88" t="s">
        <v>5</v>
      </c>
      <c r="C290" s="88" t="s">
        <v>24</v>
      </c>
      <c r="D290" s="88" t="s">
        <v>46</v>
      </c>
      <c r="E290" s="88" t="s">
        <v>67</v>
      </c>
      <c r="F290" s="88" t="s">
        <v>6</v>
      </c>
      <c r="G290" s="88" t="s">
        <v>7</v>
      </c>
      <c r="H290" s="116" t="s">
        <v>8</v>
      </c>
      <c r="I290" s="116" t="s">
        <v>47</v>
      </c>
      <c r="J290" s="116" t="s">
        <v>9</v>
      </c>
      <c r="K290" s="116" t="s">
        <v>14</v>
      </c>
      <c r="L290" s="89" t="s">
        <v>20</v>
      </c>
      <c r="M290" s="89" t="s">
        <v>23</v>
      </c>
      <c r="N290" s="89" t="s">
        <v>21</v>
      </c>
      <c r="O290" s="136" t="s">
        <v>10</v>
      </c>
      <c r="P290" s="90" t="s">
        <v>49</v>
      </c>
      <c r="Q290" s="45" t="s">
        <v>50</v>
      </c>
      <c r="R290" s="45" t="s">
        <v>55</v>
      </c>
      <c r="S290" s="45" t="s">
        <v>504</v>
      </c>
      <c r="T290" s="45" t="s">
        <v>13</v>
      </c>
      <c r="U290" s="45" t="s">
        <v>52</v>
      </c>
      <c r="V290" s="45" t="s">
        <v>48</v>
      </c>
      <c r="W290" s="45" t="s">
        <v>15</v>
      </c>
      <c r="X290" s="50" t="s">
        <v>12</v>
      </c>
      <c r="Y290" s="160" t="s">
        <v>22</v>
      </c>
      <c r="Z290" s="50" t="s">
        <v>68</v>
      </c>
      <c r="AA290" s="100"/>
      <c r="AB290" s="100"/>
      <c r="AC290" s="100"/>
      <c r="AD290" s="100"/>
      <c r="AE290" s="100"/>
      <c r="AF290" s="26"/>
      <c r="AG290" s="26"/>
    </row>
    <row r="291" spans="1:33" s="26" customFormat="1" ht="27.6">
      <c r="A291" s="94" t="s">
        <v>508</v>
      </c>
      <c r="B291" s="93" t="s">
        <v>509</v>
      </c>
      <c r="C291" s="93" t="s">
        <v>510</v>
      </c>
      <c r="D291" s="93">
        <v>148574</v>
      </c>
      <c r="E291" s="93">
        <v>101</v>
      </c>
      <c r="F291" s="93" t="s">
        <v>110</v>
      </c>
      <c r="G291" s="95">
        <v>1</v>
      </c>
      <c r="H291" s="117">
        <v>22.59</v>
      </c>
      <c r="I291" s="117">
        <v>0.39</v>
      </c>
      <c r="J291" s="117">
        <v>0.69</v>
      </c>
      <c r="K291" s="118">
        <f t="shared" ref="K291:K294" si="337">H291-I291-J291</f>
        <v>21.509999999999998</v>
      </c>
      <c r="L291" s="97">
        <v>2.5499999999999998</v>
      </c>
      <c r="M291" s="97" t="s">
        <v>63</v>
      </c>
      <c r="N291" s="98">
        <v>33</v>
      </c>
      <c r="O291" s="137">
        <f>9.5+2</f>
        <v>11.5</v>
      </c>
      <c r="P291" s="143">
        <v>1.97</v>
      </c>
      <c r="Q291" s="35"/>
      <c r="R291" s="35"/>
      <c r="S291" s="35">
        <f>G291*0.02*N291</f>
        <v>0.66</v>
      </c>
      <c r="T291" s="35">
        <f>G291*4.6</f>
        <v>4.5999999999999996</v>
      </c>
      <c r="U291" s="35">
        <f t="shared" ref="U291:U294" si="338">IF(RIGHT(F291,2)="WG",K291*$AB$4,IF(RIGHT(F291,3)="WRG",K291*$AB$4+3*G291,IF(RIGHT(F291,3)="WYG",K291*$AB$4+3*G291,IF(RIGHT(F291,3)="WYR",K291*$AB$4+3*G291,0))))</f>
        <v>8.1623999999999981</v>
      </c>
      <c r="V291" s="35"/>
      <c r="W291" s="35">
        <f>G291*N291*0.5</f>
        <v>16.5</v>
      </c>
      <c r="X291" s="35">
        <f t="shared" ref="X291:X294" si="339">K291*O291</f>
        <v>247.36499999999998</v>
      </c>
      <c r="Y291" s="35">
        <f>($Y$289/31.1035*IF(LEFT(F291,3)="10K",(0.417*1.07*K291),IF(LEFT(F291,3)="14K",(0.585*1.05*K291),IF(LEFT(F291,3)="18K",(0.75*1.05*K291),0))))*0.5</f>
        <v>655.36949897977706</v>
      </c>
      <c r="Z291" s="83">
        <f>($Z$289/31.1035*IF(LEFT(F291,3)="10K",(0.417*1.07*K291),IF(LEFT(F291,3)="14K",(0.585*1.05*K291),IF(LEFT(F291,3)="18K",(0.75*1.05*K291),0))))*0.5</f>
        <v>655.36949897977706</v>
      </c>
      <c r="AA291" s="100">
        <f t="shared" si="331"/>
        <v>43.019999999999996</v>
      </c>
      <c r="AB291" s="100">
        <f t="shared" si="332"/>
        <v>234.26740000000001</v>
      </c>
      <c r="AC291" s="100">
        <f t="shared" si="333"/>
        <v>1640.6773879861512</v>
      </c>
      <c r="AD291" s="100">
        <f t="shared" si="334"/>
        <v>1874.9447879861511</v>
      </c>
      <c r="AE291" s="100">
        <f t="shared" si="335"/>
        <v>13.212517499999999</v>
      </c>
      <c r="AG291" s="26">
        <f t="shared" si="336"/>
        <v>247.36499999999998</v>
      </c>
    </row>
    <row r="292" spans="1:33" s="26" customFormat="1" ht="27.6">
      <c r="A292" s="94">
        <v>4</v>
      </c>
      <c r="B292" s="96" t="s">
        <v>512</v>
      </c>
      <c r="C292" s="93" t="s">
        <v>513</v>
      </c>
      <c r="D292" s="96" t="s">
        <v>511</v>
      </c>
      <c r="E292" s="93">
        <v>104</v>
      </c>
      <c r="F292" s="93" t="s">
        <v>110</v>
      </c>
      <c r="G292" s="95">
        <v>1</v>
      </c>
      <c r="H292" s="117">
        <v>20.98</v>
      </c>
      <c r="I292" s="117">
        <v>2</v>
      </c>
      <c r="J292" s="117">
        <v>0.9</v>
      </c>
      <c r="K292" s="118">
        <f t="shared" si="337"/>
        <v>18.080000000000002</v>
      </c>
      <c r="L292" s="97">
        <v>2.75</v>
      </c>
      <c r="M292" s="97" t="s">
        <v>63</v>
      </c>
      <c r="N292" s="98">
        <v>125</v>
      </c>
      <c r="O292" s="137">
        <f>8.5+2</f>
        <v>10.5</v>
      </c>
      <c r="P292" s="143">
        <v>9.99</v>
      </c>
      <c r="Q292" s="35"/>
      <c r="R292" s="35"/>
      <c r="S292" s="35">
        <f>G292*0.02*N292</f>
        <v>2.5</v>
      </c>
      <c r="T292" s="35">
        <f>G292*4.6</f>
        <v>4.5999999999999996</v>
      </c>
      <c r="U292" s="35">
        <f t="shared" si="338"/>
        <v>7.3391999999999999</v>
      </c>
      <c r="V292" s="35"/>
      <c r="W292" s="35">
        <f>G292*N292*0.5</f>
        <v>62.5</v>
      </c>
      <c r="X292" s="35">
        <f t="shared" si="339"/>
        <v>189.84000000000003</v>
      </c>
      <c r="Y292" s="35">
        <f t="shared" ref="Y292:Y294" si="340">($Y$289/31.1035*IF(LEFT(F292,3)="10K",(0.417*1.07*K292),IF(LEFT(F292,3)="14K",(0.585*1.05*K292),IF(LEFT(F292,3)="18K",(0.75*1.05*K292),0))))*0.5</f>
        <v>550.86380946324368</v>
      </c>
      <c r="Z292" s="83">
        <f t="shared" ref="Z292:Z294" si="341">($Z$289/31.1035*IF(LEFT(F292,3)="10K",(0.417*1.07*K292),IF(LEFT(F292,3)="14K",(0.585*1.05*K292),IF(LEFT(F292,3)="18K",(0.75*1.05*K292),0))))*0.5</f>
        <v>550.86380946324368</v>
      </c>
      <c r="AA292" s="100">
        <f t="shared" si="331"/>
        <v>36.160000000000004</v>
      </c>
      <c r="AB292" s="100">
        <f t="shared" si="332"/>
        <v>230.61920000000006</v>
      </c>
      <c r="AC292" s="100">
        <f t="shared" si="333"/>
        <v>4295.4779168434779</v>
      </c>
      <c r="AD292" s="100">
        <f t="shared" si="334"/>
        <v>4526.097116843478</v>
      </c>
      <c r="AE292" s="100">
        <f t="shared" si="335"/>
        <v>11.105640000000001</v>
      </c>
      <c r="AG292" s="26">
        <f t="shared" si="336"/>
        <v>189.84000000000003</v>
      </c>
    </row>
    <row r="293" spans="1:33" s="26" customFormat="1" ht="27.6">
      <c r="A293" s="94">
        <v>5</v>
      </c>
      <c r="B293" s="93" t="s">
        <v>514</v>
      </c>
      <c r="C293" s="93" t="s">
        <v>515</v>
      </c>
      <c r="D293" s="93">
        <v>148574</v>
      </c>
      <c r="E293" s="93">
        <v>105</v>
      </c>
      <c r="F293" s="93" t="s">
        <v>73</v>
      </c>
      <c r="G293" s="95">
        <v>1</v>
      </c>
      <c r="H293" s="117">
        <v>14.37</v>
      </c>
      <c r="I293" s="117">
        <v>1.1399999999999999</v>
      </c>
      <c r="J293" s="117">
        <v>0.5</v>
      </c>
      <c r="K293" s="118">
        <f t="shared" si="337"/>
        <v>12.729999999999999</v>
      </c>
      <c r="L293" s="97">
        <v>3</v>
      </c>
      <c r="M293" s="97" t="s">
        <v>63</v>
      </c>
      <c r="N293" s="98">
        <v>57</v>
      </c>
      <c r="O293" s="137">
        <f>8.5+2</f>
        <v>10.5</v>
      </c>
      <c r="P293" s="143">
        <v>5.69</v>
      </c>
      <c r="Q293" s="35"/>
      <c r="R293" s="35"/>
      <c r="S293" s="35">
        <f>G293*0.02*N293</f>
        <v>1.1400000000000001</v>
      </c>
      <c r="T293" s="35">
        <f>G293*2.3</f>
        <v>2.2999999999999998</v>
      </c>
      <c r="U293" s="35">
        <f t="shared" si="338"/>
        <v>3.0551999999999997</v>
      </c>
      <c r="V293" s="35"/>
      <c r="W293" s="35">
        <f>G293*N293*0.5</f>
        <v>28.5</v>
      </c>
      <c r="X293" s="35">
        <f t="shared" si="339"/>
        <v>133.66499999999999</v>
      </c>
      <c r="Y293" s="35">
        <f t="shared" si="340"/>
        <v>387.85930832229479</v>
      </c>
      <c r="Z293" s="83">
        <f t="shared" si="341"/>
        <v>387.85930832229479</v>
      </c>
      <c r="AA293" s="100">
        <f t="shared" si="331"/>
        <v>25.459999999999997</v>
      </c>
      <c r="AB293" s="100">
        <f t="shared" si="332"/>
        <v>143.20019999999997</v>
      </c>
      <c r="AC293" s="100">
        <f t="shared" si="333"/>
        <v>2554.1391973813206</v>
      </c>
      <c r="AD293" s="100">
        <f t="shared" si="334"/>
        <v>2697.3393973813204</v>
      </c>
      <c r="AE293" s="100">
        <f t="shared" si="335"/>
        <v>7.8194024999999989</v>
      </c>
      <c r="AG293" s="26">
        <f t="shared" si="336"/>
        <v>133.66499999999999</v>
      </c>
    </row>
    <row r="294" spans="1:33" s="26" customFormat="1" ht="111" thickBot="1">
      <c r="A294" s="94">
        <v>6</v>
      </c>
      <c r="B294" s="93" t="s">
        <v>516</v>
      </c>
      <c r="C294" s="93" t="s">
        <v>517</v>
      </c>
      <c r="D294" s="93">
        <v>148574</v>
      </c>
      <c r="E294" s="93">
        <v>106</v>
      </c>
      <c r="F294" s="93" t="s">
        <v>110</v>
      </c>
      <c r="G294" s="95">
        <v>1</v>
      </c>
      <c r="H294" s="117">
        <v>7.73</v>
      </c>
      <c r="I294" s="117">
        <v>0.11</v>
      </c>
      <c r="J294" s="117">
        <v>0.36</v>
      </c>
      <c r="K294" s="118">
        <f t="shared" si="337"/>
        <v>7.26</v>
      </c>
      <c r="L294" s="97" t="s">
        <v>518</v>
      </c>
      <c r="M294" s="97" t="s">
        <v>519</v>
      </c>
      <c r="N294" s="98" t="s">
        <v>520</v>
      </c>
      <c r="O294" s="137">
        <f>9.5+2</f>
        <v>11.5</v>
      </c>
      <c r="P294" s="143">
        <v>0.55000000000000004</v>
      </c>
      <c r="Q294" s="35"/>
      <c r="R294" s="35"/>
      <c r="S294" s="35">
        <f>G294*0.02*(12+7+1+1+1+1+1+1)</f>
        <v>0.5</v>
      </c>
      <c r="T294" s="35">
        <v>2.2999999999999998</v>
      </c>
      <c r="U294" s="35">
        <f t="shared" si="338"/>
        <v>4.7423999999999999</v>
      </c>
      <c r="V294" s="35"/>
      <c r="W294" s="35">
        <f>G294*((12+7+1+1+1)*0.3+(1+1+1)*0.5)</f>
        <v>8.1</v>
      </c>
      <c r="X294" s="35">
        <f t="shared" si="339"/>
        <v>83.49</v>
      </c>
      <c r="Y294" s="35">
        <f t="shared" si="340"/>
        <v>221.19863145482014</v>
      </c>
      <c r="Z294" s="83">
        <f t="shared" si="341"/>
        <v>221.19863145482014</v>
      </c>
      <c r="AA294" s="100">
        <f t="shared" si="331"/>
        <v>14.52</v>
      </c>
      <c r="AB294" s="100">
        <f t="shared" si="332"/>
        <v>84.612399999999994</v>
      </c>
      <c r="AC294" s="100">
        <f t="shared" si="333"/>
        <v>513.54617644283405</v>
      </c>
      <c r="AD294" s="100">
        <f t="shared" si="334"/>
        <v>598.15857644283403</v>
      </c>
      <c r="AE294" s="100">
        <f t="shared" si="335"/>
        <v>4.4594549999999993</v>
      </c>
      <c r="AG294" s="26">
        <f t="shared" si="336"/>
        <v>83.49</v>
      </c>
    </row>
    <row r="295" spans="1:33" s="27" customFormat="1" ht="15.9" customHeight="1">
      <c r="A295" s="86" t="s">
        <v>66</v>
      </c>
      <c r="B295" s="63"/>
      <c r="C295" s="63"/>
      <c r="D295" s="63"/>
      <c r="E295" s="63"/>
      <c r="F295" s="63"/>
      <c r="G295" s="64">
        <f>SUM(G291:G294)</f>
        <v>4</v>
      </c>
      <c r="H295" s="119"/>
      <c r="I295" s="119"/>
      <c r="J295" s="119"/>
      <c r="K295" s="119">
        <f>SUM(K291:K294)</f>
        <v>59.58</v>
      </c>
      <c r="L295" s="65"/>
      <c r="M295" s="65"/>
      <c r="N295" s="65"/>
      <c r="O295" s="138"/>
      <c r="P295" s="101">
        <f>SUM(P291:P294)</f>
        <v>18.200000000000003</v>
      </c>
      <c r="Q295" s="66">
        <f>SUM(Q291:Q294)</f>
        <v>0</v>
      </c>
      <c r="R295" s="66">
        <f>SUM(R291:R294)</f>
        <v>0</v>
      </c>
      <c r="S295" s="66">
        <f>SUM(S291:S294)</f>
        <v>4.8000000000000007</v>
      </c>
      <c r="T295" s="66">
        <f>SUM(T291:T294)</f>
        <v>13.8</v>
      </c>
      <c r="U295" s="66">
        <f>SUM(U291:U294)</f>
        <v>23.299199999999999</v>
      </c>
      <c r="V295" s="66">
        <f>SUM(V291:V294)</f>
        <v>0</v>
      </c>
      <c r="W295" s="66">
        <f>SUM(W291:W294)</f>
        <v>115.6</v>
      </c>
      <c r="X295" s="66">
        <f>SUM(X291:X294)</f>
        <v>654.36</v>
      </c>
      <c r="Y295" s="66">
        <f>SUM(Y291:Y294)</f>
        <v>1815.2912482201355</v>
      </c>
      <c r="Z295" s="84">
        <f>SUM(Z291:Z294)</f>
        <v>1815.2912482201355</v>
      </c>
      <c r="AA295" s="100"/>
      <c r="AB295" s="100"/>
      <c r="AC295" s="100"/>
      <c r="AD295" s="100"/>
      <c r="AE295" s="100"/>
      <c r="AF295" s="26"/>
      <c r="AG295" s="26"/>
    </row>
    <row r="296" spans="1:33" ht="15.9" customHeight="1">
      <c r="A296" s="52" t="s">
        <v>64</v>
      </c>
      <c r="K296" s="115"/>
      <c r="L296" s="48"/>
      <c r="M296" s="48"/>
      <c r="N296" s="48"/>
      <c r="W296" s="49"/>
      <c r="X296" s="80" t="s">
        <v>521</v>
      </c>
      <c r="Y296" s="92">
        <f>3044.7*1.02</f>
        <v>3105.5940000000001</v>
      </c>
      <c r="Z296" s="92">
        <f>3044.7*1.02</f>
        <v>3105.5940000000001</v>
      </c>
      <c r="AA296" s="100"/>
      <c r="AB296" s="100"/>
      <c r="AC296" s="100"/>
      <c r="AD296" s="100"/>
      <c r="AE296" s="100"/>
      <c r="AF296" s="26"/>
      <c r="AG296" s="26"/>
    </row>
    <row r="297" spans="1:33" s="91" customFormat="1" ht="27.6">
      <c r="A297" s="87" t="s">
        <v>4</v>
      </c>
      <c r="B297" s="88" t="s">
        <v>5</v>
      </c>
      <c r="C297" s="88" t="s">
        <v>24</v>
      </c>
      <c r="D297" s="88" t="s">
        <v>46</v>
      </c>
      <c r="E297" s="88" t="s">
        <v>67</v>
      </c>
      <c r="F297" s="88" t="s">
        <v>6</v>
      </c>
      <c r="G297" s="88" t="s">
        <v>7</v>
      </c>
      <c r="H297" s="116" t="s">
        <v>8</v>
      </c>
      <c r="I297" s="116" t="s">
        <v>47</v>
      </c>
      <c r="J297" s="116" t="s">
        <v>9</v>
      </c>
      <c r="K297" s="116" t="s">
        <v>14</v>
      </c>
      <c r="L297" s="89" t="s">
        <v>20</v>
      </c>
      <c r="M297" s="89" t="s">
        <v>23</v>
      </c>
      <c r="N297" s="89" t="s">
        <v>21</v>
      </c>
      <c r="O297" s="136" t="s">
        <v>10</v>
      </c>
      <c r="P297" s="90" t="s">
        <v>49</v>
      </c>
      <c r="Q297" s="45" t="s">
        <v>50</v>
      </c>
      <c r="R297" s="45" t="s">
        <v>55</v>
      </c>
      <c r="S297" s="45" t="s">
        <v>504</v>
      </c>
      <c r="T297" s="45" t="s">
        <v>13</v>
      </c>
      <c r="U297" s="45" t="s">
        <v>52</v>
      </c>
      <c r="V297" s="45" t="s">
        <v>48</v>
      </c>
      <c r="W297" s="45" t="s">
        <v>15</v>
      </c>
      <c r="X297" s="50" t="s">
        <v>12</v>
      </c>
      <c r="Y297" s="160" t="s">
        <v>22</v>
      </c>
      <c r="Z297" s="50" t="s">
        <v>68</v>
      </c>
      <c r="AA297" s="100"/>
      <c r="AB297" s="100"/>
      <c r="AC297" s="100"/>
      <c r="AD297" s="100"/>
      <c r="AE297" s="100"/>
      <c r="AF297" s="26"/>
      <c r="AG297" s="26"/>
    </row>
    <row r="298" spans="1:33" s="26" customFormat="1" ht="27.6">
      <c r="A298" s="165" t="s">
        <v>522</v>
      </c>
      <c r="B298" s="93" t="s">
        <v>523</v>
      </c>
      <c r="C298" s="93" t="s">
        <v>524</v>
      </c>
      <c r="D298" s="93">
        <v>148505</v>
      </c>
      <c r="E298" s="93">
        <v>103</v>
      </c>
      <c r="F298" s="93" t="s">
        <v>110</v>
      </c>
      <c r="G298" s="167">
        <v>1</v>
      </c>
      <c r="H298" s="168">
        <v>6.71</v>
      </c>
      <c r="I298" s="168">
        <v>0.15</v>
      </c>
      <c r="J298" s="168">
        <v>0.36</v>
      </c>
      <c r="K298" s="169">
        <f t="shared" ref="K298:K299" si="342">H298-I298-J298</f>
        <v>6.1999999999999993</v>
      </c>
      <c r="L298" s="97">
        <v>1.7</v>
      </c>
      <c r="M298" s="97" t="s">
        <v>63</v>
      </c>
      <c r="N298" s="98">
        <v>41</v>
      </c>
      <c r="O298" s="137">
        <f>9.5+2</f>
        <v>11.5</v>
      </c>
      <c r="P298" s="143">
        <v>0.77</v>
      </c>
      <c r="Q298" s="35"/>
      <c r="R298" s="35"/>
      <c r="S298" s="35">
        <f>G298*0.02*N298</f>
        <v>0.82000000000000006</v>
      </c>
      <c r="T298" s="164">
        <f>2.3*G298</f>
        <v>2.2999999999999998</v>
      </c>
      <c r="U298" s="35">
        <f t="shared" ref="U298:U299" si="343">IF(RIGHT(F298,2)="WG",K298*$AB$4,IF(RIGHT(F298,3)="WRG",K298*$AB$4+3*G298,IF(RIGHT(F298,3)="WYG",K298*$AB$4+3*G298,IF(RIGHT(F298,3)="WYR",K298*$AB$4+3*G298,0))))</f>
        <v>4.4879999999999995</v>
      </c>
      <c r="V298" s="35"/>
      <c r="W298" s="35">
        <f>G298*N298*0.3</f>
        <v>12.299999999999999</v>
      </c>
      <c r="X298" s="35">
        <f>K298*O298</f>
        <v>71.3</v>
      </c>
      <c r="Y298" s="35">
        <f t="shared" ref="Y298:Y299" si="344">($Y$24/31.1035*IF(LEFT(F298,3)="10K",(0.417*1.07*K298),IF(LEFT(F298,3)="14K",(0.585*1.05*K298),IF(LEFT(F298,3)="18K",(0.75*1.05*K298),0))))*0.5</f>
        <v>11.756829880814722</v>
      </c>
      <c r="Z298" s="83">
        <f t="shared" ref="Z298:Z299" si="345">($Z$24/31.1035*IF(LEFT(F298,3)="10K",(0.417*1.07*K298),IF(LEFT(F298,3)="14K",(0.585*1.05*K298),IF(LEFT(F298,3)="18K",(0.75*1.05*K298),0))))*0.5</f>
        <v>11.756829880814722</v>
      </c>
      <c r="AA298" s="100">
        <f t="shared" si="331"/>
        <v>12.399999999999999</v>
      </c>
      <c r="AB298" s="100">
        <f t="shared" si="332"/>
        <v>78.807999999999993</v>
      </c>
      <c r="AC298" s="100">
        <f t="shared" si="333"/>
        <v>543.65278301996773</v>
      </c>
      <c r="AD298" s="100">
        <f t="shared" si="334"/>
        <v>622.46078301996772</v>
      </c>
      <c r="AE298" s="100">
        <f t="shared" si="335"/>
        <v>3.8083499999999995</v>
      </c>
      <c r="AG298" s="26">
        <f t="shared" si="336"/>
        <v>71.3</v>
      </c>
    </row>
    <row r="299" spans="1:33" s="26" customFormat="1" ht="42" thickBot="1">
      <c r="A299" s="94">
        <v>4</v>
      </c>
      <c r="B299" s="96" t="s">
        <v>525</v>
      </c>
      <c r="C299" s="93" t="s">
        <v>526</v>
      </c>
      <c r="D299" s="93">
        <v>148505</v>
      </c>
      <c r="E299" s="93">
        <v>104</v>
      </c>
      <c r="F299" s="93" t="s">
        <v>73</v>
      </c>
      <c r="G299" s="167">
        <v>1</v>
      </c>
      <c r="H299" s="168">
        <v>6.95</v>
      </c>
      <c r="I299" s="168">
        <v>0.14000000000000001</v>
      </c>
      <c r="J299" s="168">
        <v>0.33</v>
      </c>
      <c r="K299" s="169">
        <f t="shared" si="342"/>
        <v>6.48</v>
      </c>
      <c r="L299" s="97" t="s">
        <v>345</v>
      </c>
      <c r="M299" s="97" t="s">
        <v>91</v>
      </c>
      <c r="N299" s="98" t="s">
        <v>527</v>
      </c>
      <c r="O299" s="137">
        <f>9.5+2</f>
        <v>11.5</v>
      </c>
      <c r="P299" s="143">
        <v>0.71</v>
      </c>
      <c r="Q299" s="35"/>
      <c r="R299" s="35"/>
      <c r="S299" s="35">
        <f>G299*0.02*(12+6+3)</f>
        <v>0.42</v>
      </c>
      <c r="T299" s="164">
        <f>2.3*G299</f>
        <v>2.2999999999999998</v>
      </c>
      <c r="U299" s="35">
        <f t="shared" si="343"/>
        <v>1.5552000000000001</v>
      </c>
      <c r="V299" s="35"/>
      <c r="W299" s="35">
        <f>G299*(12*0.3+(6+3)*0.5)</f>
        <v>8.1</v>
      </c>
      <c r="X299" s="35">
        <f t="shared" ref="X299" si="346">K299*O299</f>
        <v>74.52000000000001</v>
      </c>
      <c r="Y299" s="35">
        <f t="shared" si="344"/>
        <v>12.287783488335389</v>
      </c>
      <c r="Z299" s="83">
        <f t="shared" si="345"/>
        <v>12.287783488335389</v>
      </c>
      <c r="AA299" s="100">
        <f t="shared" si="331"/>
        <v>12.96</v>
      </c>
      <c r="AB299" s="100">
        <f t="shared" si="332"/>
        <v>73.935200000000009</v>
      </c>
      <c r="AC299" s="100">
        <f t="shared" si="333"/>
        <v>535.03983577165855</v>
      </c>
      <c r="AD299" s="100">
        <f t="shared" si="334"/>
        <v>608.97503577165855</v>
      </c>
      <c r="AE299" s="100">
        <f t="shared" si="335"/>
        <v>3.98034</v>
      </c>
      <c r="AG299" s="26">
        <f t="shared" si="336"/>
        <v>74.52000000000001</v>
      </c>
    </row>
    <row r="300" spans="1:33" s="27" customFormat="1" ht="15.9" customHeight="1">
      <c r="A300" s="86" t="s">
        <v>66</v>
      </c>
      <c r="B300" s="63"/>
      <c r="C300" s="63"/>
      <c r="D300" s="63"/>
      <c r="E300" s="63"/>
      <c r="F300" s="63"/>
      <c r="G300" s="170">
        <f>SUM(G298:G299)</f>
        <v>2</v>
      </c>
      <c r="H300" s="171"/>
      <c r="I300" s="171"/>
      <c r="J300" s="171"/>
      <c r="K300" s="171">
        <f>SUM(K298:K299)</f>
        <v>12.68</v>
      </c>
      <c r="L300" s="65"/>
      <c r="M300" s="65"/>
      <c r="N300" s="65"/>
      <c r="O300" s="138"/>
      <c r="P300" s="101">
        <f t="shared" ref="P300:Z300" si="347">SUM(P298:P299)</f>
        <v>1.48</v>
      </c>
      <c r="Q300" s="66">
        <f t="shared" si="347"/>
        <v>0</v>
      </c>
      <c r="R300" s="66">
        <f t="shared" si="347"/>
        <v>0</v>
      </c>
      <c r="S300" s="66">
        <f t="shared" si="347"/>
        <v>1.24</v>
      </c>
      <c r="T300" s="66">
        <f t="shared" si="347"/>
        <v>4.5999999999999996</v>
      </c>
      <c r="U300" s="66">
        <f t="shared" si="347"/>
        <v>6.0431999999999997</v>
      </c>
      <c r="V300" s="66">
        <f t="shared" si="347"/>
        <v>0</v>
      </c>
      <c r="W300" s="66">
        <f t="shared" si="347"/>
        <v>20.399999999999999</v>
      </c>
      <c r="X300" s="66">
        <f t="shared" si="347"/>
        <v>145.82</v>
      </c>
      <c r="Y300" s="66">
        <f t="shared" si="347"/>
        <v>24.044613369150113</v>
      </c>
      <c r="Z300" s="84">
        <f t="shared" si="347"/>
        <v>24.044613369150113</v>
      </c>
      <c r="AA300" s="100"/>
      <c r="AB300" s="100"/>
      <c r="AC300" s="100"/>
      <c r="AD300" s="100"/>
      <c r="AE300" s="100"/>
      <c r="AF300" s="26"/>
      <c r="AG300" s="26"/>
    </row>
    <row r="301" spans="1:33" ht="16.5" customHeight="1">
      <c r="A301" s="52" t="s">
        <v>64</v>
      </c>
      <c r="K301" s="115"/>
      <c r="L301" s="48"/>
      <c r="M301" s="48"/>
      <c r="N301" s="48"/>
      <c r="W301" s="49"/>
      <c r="X301" s="80" t="s">
        <v>528</v>
      </c>
      <c r="Y301" s="92">
        <f>3090.3*1.02</f>
        <v>3152.1060000000002</v>
      </c>
      <c r="Z301" s="92">
        <f>3090.3*1.02</f>
        <v>3152.1060000000002</v>
      </c>
      <c r="AA301" s="100"/>
      <c r="AB301" s="100"/>
      <c r="AC301" s="100"/>
      <c r="AD301" s="100"/>
      <c r="AE301" s="100"/>
      <c r="AF301" s="26"/>
      <c r="AG301" s="26"/>
    </row>
    <row r="302" spans="1:33" s="91" customFormat="1" ht="27.6">
      <c r="A302" s="87" t="s">
        <v>4</v>
      </c>
      <c r="B302" s="88" t="s">
        <v>5</v>
      </c>
      <c r="C302" s="88" t="s">
        <v>24</v>
      </c>
      <c r="D302" s="88" t="s">
        <v>46</v>
      </c>
      <c r="E302" s="88" t="s">
        <v>67</v>
      </c>
      <c r="F302" s="88" t="s">
        <v>6</v>
      </c>
      <c r="G302" s="88" t="s">
        <v>7</v>
      </c>
      <c r="H302" s="116" t="s">
        <v>8</v>
      </c>
      <c r="I302" s="116" t="s">
        <v>47</v>
      </c>
      <c r="J302" s="116" t="s">
        <v>9</v>
      </c>
      <c r="K302" s="116" t="s">
        <v>14</v>
      </c>
      <c r="L302" s="89" t="s">
        <v>20</v>
      </c>
      <c r="M302" s="89" t="s">
        <v>23</v>
      </c>
      <c r="N302" s="89" t="s">
        <v>21</v>
      </c>
      <c r="O302" s="136" t="s">
        <v>10</v>
      </c>
      <c r="P302" s="90" t="s">
        <v>49</v>
      </c>
      <c r="Q302" s="45" t="s">
        <v>50</v>
      </c>
      <c r="R302" s="45" t="s">
        <v>55</v>
      </c>
      <c r="S302" s="45" t="s">
        <v>504</v>
      </c>
      <c r="T302" s="45" t="s">
        <v>13</v>
      </c>
      <c r="U302" s="45" t="s">
        <v>52</v>
      </c>
      <c r="V302" s="45" t="s">
        <v>48</v>
      </c>
      <c r="W302" s="45" t="s">
        <v>15</v>
      </c>
      <c r="X302" s="50" t="s">
        <v>12</v>
      </c>
      <c r="Y302" s="160" t="s">
        <v>22</v>
      </c>
      <c r="Z302" s="50" t="s">
        <v>68</v>
      </c>
      <c r="AA302" s="100"/>
      <c r="AB302" s="100"/>
      <c r="AC302" s="100"/>
      <c r="AD302" s="100"/>
      <c r="AE302" s="100"/>
      <c r="AF302" s="26"/>
      <c r="AG302" s="26"/>
    </row>
    <row r="303" spans="1:33" s="26" customFormat="1" ht="28.2" thickBot="1">
      <c r="A303" s="94" t="s">
        <v>529</v>
      </c>
      <c r="B303" s="93" t="s">
        <v>530</v>
      </c>
      <c r="C303" s="93" t="s">
        <v>439</v>
      </c>
      <c r="D303" s="93" t="s">
        <v>531</v>
      </c>
      <c r="E303" s="93">
        <v>101</v>
      </c>
      <c r="F303" s="93" t="s">
        <v>74</v>
      </c>
      <c r="G303" s="95">
        <v>3</v>
      </c>
      <c r="H303" s="117">
        <v>27.04</v>
      </c>
      <c r="I303" s="117">
        <v>0.60000000000000009</v>
      </c>
      <c r="J303" s="117">
        <v>0.96</v>
      </c>
      <c r="K303" s="118">
        <f t="shared" ref="K303" si="348">H303-I303-J303</f>
        <v>25.479999999999997</v>
      </c>
      <c r="L303" s="97">
        <v>1.85</v>
      </c>
      <c r="M303" s="97" t="s">
        <v>63</v>
      </c>
      <c r="N303" s="98">
        <v>41</v>
      </c>
      <c r="O303" s="137">
        <v>8.5</v>
      </c>
      <c r="P303" s="143">
        <v>2.9699999999999998</v>
      </c>
      <c r="Q303" s="35"/>
      <c r="R303" s="35"/>
      <c r="S303" s="35">
        <f>G303*0.02*N303</f>
        <v>2.46</v>
      </c>
      <c r="T303" s="35">
        <f>G303*2.3</f>
        <v>6.8999999999999995</v>
      </c>
      <c r="U303" s="35">
        <f t="shared" ref="U303" si="349">IF(RIGHT(F303,2)="WG",K303*$AB$4,IF(RIGHT(F303,3)="WRG",K303*$AB$4+3*G303,IF(RIGHT(F303,3)="WYG",K303*$AB$4+3*G303,IF(RIGHT(F303,3)="WYR",K303*$AB$4+3*G303,0))))</f>
        <v>0</v>
      </c>
      <c r="V303" s="35"/>
      <c r="W303" s="35">
        <f>G303*N303*0.3</f>
        <v>36.9</v>
      </c>
      <c r="X303" s="35">
        <f t="shared" ref="X303" si="350">K303*O303</f>
        <v>216.57999999999998</v>
      </c>
      <c r="Y303" s="35">
        <f>($Y$30/31.1035*IF(LEFT(F303,3)="10K",(0.417*1.07*K303),IF(LEFT(F303,3)="14K",(0.585*1.05*K303),IF(LEFT(F303,3)="18K",(0.75*1.05*K303),0))))*0.5</f>
        <v>800.73338431944944</v>
      </c>
      <c r="Z303" s="83">
        <f>($Z$30/31.1035*IF(LEFT(F303,3)="10K",(0.417*1.07*K303),IF(LEFT(F303,3)="14K",(0.585*1.05*K303),IF(LEFT(F303,3)="18K",(0.75*1.05*K303),0))))*0.5</f>
        <v>800.73338431944944</v>
      </c>
      <c r="AA303" s="100">
        <f t="shared" si="331"/>
        <v>50.959999999999994</v>
      </c>
      <c r="AB303" s="100">
        <f t="shared" si="332"/>
        <v>211.88</v>
      </c>
      <c r="AC303" s="100">
        <f t="shared" si="333"/>
        <v>2166.1917287913038</v>
      </c>
      <c r="AD303" s="100">
        <f t="shared" si="334"/>
        <v>2378.0717287913039</v>
      </c>
      <c r="AE303" s="100">
        <f t="shared" si="335"/>
        <v>15.651089999999996</v>
      </c>
      <c r="AG303" s="26">
        <f t="shared" si="336"/>
        <v>216.57999999999998</v>
      </c>
    </row>
    <row r="304" spans="1:33" s="27" customFormat="1" ht="16.5" customHeight="1">
      <c r="A304" s="86" t="s">
        <v>66</v>
      </c>
      <c r="B304" s="63"/>
      <c r="C304" s="63"/>
      <c r="D304" s="63"/>
      <c r="E304" s="63"/>
      <c r="F304" s="63"/>
      <c r="G304" s="64">
        <f>SUM(G303:G303)</f>
        <v>3</v>
      </c>
      <c r="H304" s="119"/>
      <c r="I304" s="119"/>
      <c r="J304" s="119"/>
      <c r="K304" s="119">
        <f>SUM(K303:K303)</f>
        <v>25.479999999999997</v>
      </c>
      <c r="L304" s="65"/>
      <c r="M304" s="65"/>
      <c r="N304" s="65"/>
      <c r="O304" s="138"/>
      <c r="P304" s="101">
        <f t="shared" ref="P304:Z304" si="351">SUM(P303:P303)</f>
        <v>2.9699999999999998</v>
      </c>
      <c r="Q304" s="66">
        <f t="shared" si="351"/>
        <v>0</v>
      </c>
      <c r="R304" s="66">
        <f t="shared" si="351"/>
        <v>0</v>
      </c>
      <c r="S304" s="66">
        <f t="shared" si="351"/>
        <v>2.46</v>
      </c>
      <c r="T304" s="66">
        <f t="shared" si="351"/>
        <v>6.8999999999999995</v>
      </c>
      <c r="U304" s="66">
        <f t="shared" si="351"/>
        <v>0</v>
      </c>
      <c r="V304" s="66">
        <f t="shared" si="351"/>
        <v>0</v>
      </c>
      <c r="W304" s="66">
        <f t="shared" si="351"/>
        <v>36.9</v>
      </c>
      <c r="X304" s="66">
        <f t="shared" si="351"/>
        <v>216.57999999999998</v>
      </c>
      <c r="Y304" s="66">
        <f t="shared" si="351"/>
        <v>800.73338431944944</v>
      </c>
      <c r="Z304" s="84">
        <f t="shared" si="351"/>
        <v>800.73338431944944</v>
      </c>
      <c r="AA304" s="100"/>
      <c r="AB304" s="100"/>
      <c r="AC304" s="100"/>
      <c r="AD304" s="100"/>
      <c r="AE304" s="100"/>
      <c r="AF304" s="26"/>
      <c r="AG304" s="26"/>
    </row>
    <row r="305" spans="1:33" ht="16.05" customHeight="1">
      <c r="A305" s="52" t="s">
        <v>64</v>
      </c>
      <c r="K305" s="115"/>
      <c r="L305" s="48"/>
      <c r="M305" s="48"/>
      <c r="N305" s="48"/>
      <c r="W305" s="49"/>
      <c r="X305" s="80" t="s">
        <v>72</v>
      </c>
      <c r="Y305" s="92">
        <f>3002.7*1.02</f>
        <v>3062.7539999999999</v>
      </c>
      <c r="Z305" s="92">
        <f>3002.7*1.02</f>
        <v>3062.7539999999999</v>
      </c>
      <c r="AA305" s="100"/>
      <c r="AB305" s="100"/>
      <c r="AC305" s="100"/>
      <c r="AD305" s="100"/>
      <c r="AE305" s="100"/>
      <c r="AF305" s="26"/>
      <c r="AG305" s="26"/>
    </row>
    <row r="306" spans="1:33" s="91" customFormat="1" ht="27.6">
      <c r="A306" s="87" t="s">
        <v>4</v>
      </c>
      <c r="B306" s="88" t="s">
        <v>5</v>
      </c>
      <c r="C306" s="88" t="s">
        <v>24</v>
      </c>
      <c r="D306" s="88" t="s">
        <v>46</v>
      </c>
      <c r="E306" s="88" t="s">
        <v>67</v>
      </c>
      <c r="F306" s="88" t="s">
        <v>6</v>
      </c>
      <c r="G306" s="88" t="s">
        <v>7</v>
      </c>
      <c r="H306" s="116" t="s">
        <v>8</v>
      </c>
      <c r="I306" s="116" t="s">
        <v>47</v>
      </c>
      <c r="J306" s="116" t="s">
        <v>9</v>
      </c>
      <c r="K306" s="116" t="s">
        <v>14</v>
      </c>
      <c r="L306" s="89" t="s">
        <v>20</v>
      </c>
      <c r="M306" s="89" t="s">
        <v>23</v>
      </c>
      <c r="N306" s="89" t="s">
        <v>21</v>
      </c>
      <c r="O306" s="136" t="s">
        <v>10</v>
      </c>
      <c r="P306" s="90" t="s">
        <v>49</v>
      </c>
      <c r="Q306" s="45" t="s">
        <v>50</v>
      </c>
      <c r="R306" s="45" t="s">
        <v>55</v>
      </c>
      <c r="S306" s="45" t="s">
        <v>70</v>
      </c>
      <c r="T306" s="45" t="s">
        <v>13</v>
      </c>
      <c r="U306" s="45" t="s">
        <v>52</v>
      </c>
      <c r="V306" s="45" t="s">
        <v>48</v>
      </c>
      <c r="W306" s="45" t="s">
        <v>15</v>
      </c>
      <c r="X306" s="50" t="s">
        <v>12</v>
      </c>
      <c r="Y306" s="160" t="s">
        <v>22</v>
      </c>
      <c r="Z306" s="50" t="s">
        <v>68</v>
      </c>
      <c r="AA306" s="100"/>
      <c r="AB306" s="100"/>
      <c r="AC306" s="100"/>
      <c r="AD306" s="100"/>
      <c r="AE306" s="100"/>
      <c r="AF306" s="26"/>
      <c r="AG306" s="26"/>
    </row>
    <row r="307" spans="1:33" s="26" customFormat="1" ht="27.6">
      <c r="A307" s="94" t="s">
        <v>532</v>
      </c>
      <c r="B307" s="93" t="s">
        <v>533</v>
      </c>
      <c r="C307" s="93" t="s">
        <v>534</v>
      </c>
      <c r="D307" s="93">
        <v>148439</v>
      </c>
      <c r="E307" s="93">
        <v>101</v>
      </c>
      <c r="F307" s="93" t="s">
        <v>110</v>
      </c>
      <c r="G307" s="167">
        <v>2</v>
      </c>
      <c r="H307" s="168">
        <v>20.880000000000003</v>
      </c>
      <c r="I307" s="168">
        <v>0.26</v>
      </c>
      <c r="J307" s="168">
        <v>0.62</v>
      </c>
      <c r="K307" s="169">
        <f>H307-I307-J307</f>
        <v>20</v>
      </c>
      <c r="L307" s="97">
        <v>1.7</v>
      </c>
      <c r="M307" s="97" t="s">
        <v>63</v>
      </c>
      <c r="N307" s="98">
        <v>35</v>
      </c>
      <c r="O307" s="137">
        <v>8.5</v>
      </c>
      <c r="P307" s="143">
        <v>1.27</v>
      </c>
      <c r="Q307" s="35"/>
      <c r="R307" s="35"/>
      <c r="S307" s="35">
        <f>G307*N307*0.02</f>
        <v>1.4000000000000001</v>
      </c>
      <c r="T307" s="35">
        <f>G307*2.3</f>
        <v>4.5999999999999996</v>
      </c>
      <c r="U307" s="35">
        <f>IF(RIGHT(F307,2)="WG",K307*$AB$4,IF(RIGHT(F307,3)="WRG",K307*$AB$4+3*G307,IF(RIGHT(F307,3)="WYG",K307*$AB$4+3*G307,IF(RIGHT(F307,3)="WYR",K307*$AB$4+3*G307,0))))</f>
        <v>10.8</v>
      </c>
      <c r="V307" s="35"/>
      <c r="W307" s="35">
        <f>G307*N307*0.3</f>
        <v>21</v>
      </c>
      <c r="X307" s="35">
        <f t="shared" ref="X307:X314" si="352">K307*O307</f>
        <v>170</v>
      </c>
      <c r="Y307" s="35">
        <f>($Y$14/31.1035*IF(LEFT(F307,3)="10K",(0.417*1.07*K307),IF(LEFT(F307,3)="14K",(0.585*1.05*K307),IF(LEFT(F307,3)="18K",(0.75*1.05*K307),0))))*0.5</f>
        <v>604.85046522095581</v>
      </c>
      <c r="Z307" s="83">
        <f>($Z$14/31.1035*IF(LEFT(F307,3)="10K",(0.417*1.07*K307),IF(LEFT(F307,3)="14K",(0.585*1.05*K307),IF(LEFT(F307,3)="18K",(0.75*1.05*K307),0))))*0.5</f>
        <v>604.85046522095581</v>
      </c>
      <c r="AA307" s="100">
        <f t="shared" si="331"/>
        <v>40</v>
      </c>
      <c r="AB307" s="100">
        <f t="shared" si="332"/>
        <v>167.8</v>
      </c>
      <c r="AC307" s="100">
        <f t="shared" si="333"/>
        <v>1328.9401434225442</v>
      </c>
      <c r="AD307" s="100">
        <f t="shared" si="334"/>
        <v>1496.7401434225442</v>
      </c>
      <c r="AE307" s="100">
        <f t="shared" si="335"/>
        <v>12.285</v>
      </c>
      <c r="AG307" s="26">
        <f t="shared" si="336"/>
        <v>170</v>
      </c>
    </row>
    <row r="308" spans="1:33" s="26" customFormat="1" ht="27.6">
      <c r="A308" s="94">
        <v>2</v>
      </c>
      <c r="B308" s="93" t="s">
        <v>535</v>
      </c>
      <c r="C308" s="93" t="s">
        <v>377</v>
      </c>
      <c r="D308" s="93">
        <v>148439</v>
      </c>
      <c r="E308" s="93">
        <v>105</v>
      </c>
      <c r="F308" s="93" t="s">
        <v>74</v>
      </c>
      <c r="G308" s="167">
        <v>2</v>
      </c>
      <c r="H308" s="168">
        <v>18.079999999999998</v>
      </c>
      <c r="I308" s="168">
        <v>0.39</v>
      </c>
      <c r="J308" s="168">
        <v>0.62</v>
      </c>
      <c r="K308" s="169">
        <f t="shared" ref="K308:K314" si="353">H308-I308-J308</f>
        <v>17.069999999999997</v>
      </c>
      <c r="L308" s="97">
        <v>2</v>
      </c>
      <c r="M308" s="97" t="s">
        <v>63</v>
      </c>
      <c r="N308" s="98">
        <v>29</v>
      </c>
      <c r="O308" s="137">
        <v>10</v>
      </c>
      <c r="P308" s="143">
        <v>1.95</v>
      </c>
      <c r="Q308" s="35"/>
      <c r="R308" s="35"/>
      <c r="S308" s="35">
        <f>G308*N308*0.02</f>
        <v>1.1599999999999999</v>
      </c>
      <c r="T308" s="35">
        <f t="shared" ref="T308:T313" si="354">G308*2.3</f>
        <v>4.5999999999999996</v>
      </c>
      <c r="U308" s="35"/>
      <c r="V308" s="35"/>
      <c r="W308" s="35">
        <f>G308*N308*1</f>
        <v>58</v>
      </c>
      <c r="X308" s="35">
        <f t="shared" si="352"/>
        <v>170.69999999999996</v>
      </c>
      <c r="Y308" s="35">
        <f t="shared" ref="Y308:Y314" si="355">($Y$14/31.1035*IF(LEFT(F308,3)="10K",(0.417*1.07*K308),IF(LEFT(F308,3)="14K",(0.585*1.05*K308),IF(LEFT(F308,3)="18K",(0.75*1.05*K308),0))))*0.5</f>
        <v>516.2398720660857</v>
      </c>
      <c r="Z308" s="83">
        <f t="shared" ref="Z308:Z314" si="356">($Z$14/31.1035*IF(LEFT(F308,3)="10K",(0.417*1.07*K308),IF(LEFT(F308,3)="14K",(0.585*1.05*K308),IF(LEFT(F308,3)="18K",(0.75*1.05*K308),0))))*0.5</f>
        <v>516.2398720660857</v>
      </c>
      <c r="AA308" s="100">
        <f t="shared" si="331"/>
        <v>34.139999999999993</v>
      </c>
      <c r="AB308" s="100">
        <f t="shared" si="332"/>
        <v>200.31999999999996</v>
      </c>
      <c r="AC308" s="100">
        <f t="shared" si="333"/>
        <v>1437.3152055700482</v>
      </c>
      <c r="AD308" s="100">
        <f t="shared" si="334"/>
        <v>1637.6352055700481</v>
      </c>
      <c r="AE308" s="100">
        <f t="shared" si="335"/>
        <v>10.485247499999998</v>
      </c>
      <c r="AG308" s="26">
        <f t="shared" si="336"/>
        <v>170.69999999999996</v>
      </c>
    </row>
    <row r="309" spans="1:33" s="26" customFormat="1" ht="27.6">
      <c r="A309" s="94">
        <v>3</v>
      </c>
      <c r="B309" s="96" t="s">
        <v>394</v>
      </c>
      <c r="C309" s="93" t="s">
        <v>472</v>
      </c>
      <c r="D309" s="93">
        <v>148439</v>
      </c>
      <c r="E309" s="93">
        <v>103</v>
      </c>
      <c r="F309" s="93" t="s">
        <v>73</v>
      </c>
      <c r="G309" s="167">
        <v>1</v>
      </c>
      <c r="H309" s="168">
        <v>8.48</v>
      </c>
      <c r="I309" s="168">
        <v>0</v>
      </c>
      <c r="J309" s="168">
        <v>0.32</v>
      </c>
      <c r="K309" s="169">
        <f t="shared" si="353"/>
        <v>8.16</v>
      </c>
      <c r="L309" s="97"/>
      <c r="M309" s="97"/>
      <c r="N309" s="98"/>
      <c r="O309" s="137">
        <v>11.5</v>
      </c>
      <c r="P309" s="143">
        <v>0</v>
      </c>
      <c r="Q309" s="35"/>
      <c r="R309" s="35"/>
      <c r="S309" s="35"/>
      <c r="T309" s="35">
        <f t="shared" si="354"/>
        <v>2.2999999999999998</v>
      </c>
      <c r="U309" s="35">
        <f>IF(RIGHT(F309,2)="WG",K309*$AB$4,IF(RIGHT(F309,3)="WRG",K309*$AB$4+3*G309,IF(RIGHT(F309,3)="WYG",K309*$AB$4+3*G309,IF(RIGHT(F309,3)="WYR",K309*$AB$4+3*G309,0))))</f>
        <v>1.9583999999999999</v>
      </c>
      <c r="V309" s="35"/>
      <c r="W309" s="35"/>
      <c r="X309" s="35">
        <f t="shared" si="352"/>
        <v>93.84</v>
      </c>
      <c r="Y309" s="35">
        <f t="shared" si="355"/>
        <v>246.77898981014994</v>
      </c>
      <c r="Z309" s="83">
        <f t="shared" si="356"/>
        <v>246.77898981014994</v>
      </c>
      <c r="AA309" s="100">
        <f t="shared" si="331"/>
        <v>16.32</v>
      </c>
      <c r="AB309" s="100">
        <f t="shared" si="332"/>
        <v>81.778400000000005</v>
      </c>
      <c r="AC309" s="100">
        <f t="shared" si="333"/>
        <v>360.88415999999995</v>
      </c>
      <c r="AD309" s="100">
        <f t="shared" si="334"/>
        <v>442.66255999999998</v>
      </c>
      <c r="AE309" s="100">
        <f t="shared" si="335"/>
        <v>5.0122799999999996</v>
      </c>
      <c r="AG309" s="26">
        <f t="shared" si="336"/>
        <v>93.84</v>
      </c>
    </row>
    <row r="310" spans="1:33" s="26" customFormat="1" ht="27.6">
      <c r="A310" s="94">
        <v>3</v>
      </c>
      <c r="B310" s="96" t="s">
        <v>394</v>
      </c>
      <c r="C310" s="93" t="s">
        <v>473</v>
      </c>
      <c r="D310" s="93">
        <v>148439</v>
      </c>
      <c r="E310" s="93">
        <v>106</v>
      </c>
      <c r="F310" s="93" t="s">
        <v>159</v>
      </c>
      <c r="G310" s="167">
        <v>1</v>
      </c>
      <c r="H310" s="168">
        <v>8.2799999999999994</v>
      </c>
      <c r="I310" s="168">
        <v>0</v>
      </c>
      <c r="J310" s="168">
        <v>0.32</v>
      </c>
      <c r="K310" s="169">
        <f t="shared" si="353"/>
        <v>7.9599999999999991</v>
      </c>
      <c r="L310" s="97"/>
      <c r="M310" s="97"/>
      <c r="N310" s="98"/>
      <c r="O310" s="137">
        <v>11.5</v>
      </c>
      <c r="P310" s="143">
        <v>0</v>
      </c>
      <c r="Q310" s="35"/>
      <c r="R310" s="35"/>
      <c r="S310" s="35"/>
      <c r="T310" s="35">
        <f t="shared" si="354"/>
        <v>2.2999999999999998</v>
      </c>
      <c r="U310" s="35"/>
      <c r="V310" s="35"/>
      <c r="W310" s="35"/>
      <c r="X310" s="35">
        <f t="shared" si="352"/>
        <v>91.539999999999992</v>
      </c>
      <c r="Y310" s="35">
        <f t="shared" si="355"/>
        <v>240.73048515794036</v>
      </c>
      <c r="Z310" s="83">
        <f t="shared" si="356"/>
        <v>240.73048515794036</v>
      </c>
      <c r="AA310" s="100">
        <f t="shared" si="331"/>
        <v>15.919999999999998</v>
      </c>
      <c r="AB310" s="100">
        <f t="shared" si="332"/>
        <v>77.919999999999987</v>
      </c>
      <c r="AC310" s="100">
        <f t="shared" si="333"/>
        <v>352.03895999999992</v>
      </c>
      <c r="AD310" s="100">
        <f t="shared" si="334"/>
        <v>429.95895999999993</v>
      </c>
      <c r="AE310" s="100">
        <f t="shared" si="335"/>
        <v>4.8894299999999991</v>
      </c>
      <c r="AG310" s="26">
        <f t="shared" si="336"/>
        <v>91.539999999999992</v>
      </c>
    </row>
    <row r="311" spans="1:33" s="26" customFormat="1" ht="27.6">
      <c r="A311" s="94">
        <v>8</v>
      </c>
      <c r="B311" s="96" t="s">
        <v>536</v>
      </c>
      <c r="C311" s="93" t="s">
        <v>537</v>
      </c>
      <c r="D311" s="93">
        <v>148439</v>
      </c>
      <c r="E311" s="93">
        <v>112</v>
      </c>
      <c r="F311" s="93" t="s">
        <v>73</v>
      </c>
      <c r="G311" s="167">
        <v>1</v>
      </c>
      <c r="H311" s="168">
        <v>8.7100000000000009</v>
      </c>
      <c r="I311" s="168">
        <v>7.0000000000000007E-2</v>
      </c>
      <c r="J311" s="168">
        <v>0.32</v>
      </c>
      <c r="K311" s="169">
        <f t="shared" si="353"/>
        <v>8.32</v>
      </c>
      <c r="L311" s="97">
        <v>1</v>
      </c>
      <c r="M311" s="97" t="s">
        <v>63</v>
      </c>
      <c r="N311" s="98">
        <v>72</v>
      </c>
      <c r="O311" s="137">
        <v>9.5</v>
      </c>
      <c r="P311" s="143">
        <v>0.34</v>
      </c>
      <c r="Q311" s="35"/>
      <c r="R311" s="35"/>
      <c r="S311" s="35">
        <f>G311*(N311)*0.02</f>
        <v>1.44</v>
      </c>
      <c r="T311" s="35">
        <f>G311*2.3</f>
        <v>2.2999999999999998</v>
      </c>
      <c r="U311" s="35">
        <f t="shared" ref="U311:U314" si="357">IF(RIGHT(F311,2)="WG",K311*$AB$4,IF(RIGHT(F311,3)="WRG",K311*$AB$4+3*G311,IF(RIGHT(F311,3)="WYG",K311*$AB$4+3*G311,IF(RIGHT(F311,3)="WYR",K311*$AB$4+3*G311,0))))</f>
        <v>1.9967999999999999</v>
      </c>
      <c r="V311" s="35"/>
      <c r="W311" s="35">
        <f t="shared" ref="W311:W312" si="358">G311*N311*0.3</f>
        <v>21.599999999999998</v>
      </c>
      <c r="X311" s="35">
        <f t="shared" si="352"/>
        <v>79.040000000000006</v>
      </c>
      <c r="Y311" s="35">
        <f t="shared" si="355"/>
        <v>251.61779353191758</v>
      </c>
      <c r="Z311" s="83">
        <f t="shared" si="356"/>
        <v>251.61779353191758</v>
      </c>
      <c r="AA311" s="100">
        <f t="shared" si="331"/>
        <v>16.64</v>
      </c>
      <c r="AB311" s="100">
        <f t="shared" si="332"/>
        <v>89.736800000000002</v>
      </c>
      <c r="AC311" s="100">
        <f t="shared" si="333"/>
        <v>486.93894107375201</v>
      </c>
      <c r="AD311" s="100">
        <f t="shared" si="334"/>
        <v>576.67574107375196</v>
      </c>
      <c r="AE311" s="100">
        <f t="shared" si="335"/>
        <v>5.1105599999999995</v>
      </c>
      <c r="AG311" s="26">
        <f t="shared" si="336"/>
        <v>79.040000000000006</v>
      </c>
    </row>
    <row r="312" spans="1:33" s="26" customFormat="1" ht="27.6">
      <c r="A312" s="94">
        <v>8</v>
      </c>
      <c r="B312" s="96" t="s">
        <v>536</v>
      </c>
      <c r="C312" s="93" t="s">
        <v>538</v>
      </c>
      <c r="D312" s="93">
        <v>148439</v>
      </c>
      <c r="E312" s="93">
        <v>111</v>
      </c>
      <c r="F312" s="93" t="s">
        <v>74</v>
      </c>
      <c r="G312" s="167">
        <v>2</v>
      </c>
      <c r="H312" s="168">
        <v>17.47</v>
      </c>
      <c r="I312" s="168">
        <v>0.14000000000000001</v>
      </c>
      <c r="J312" s="168">
        <v>0.64</v>
      </c>
      <c r="K312" s="169">
        <f t="shared" si="353"/>
        <v>16.689999999999998</v>
      </c>
      <c r="L312" s="97">
        <v>1</v>
      </c>
      <c r="M312" s="97" t="s">
        <v>63</v>
      </c>
      <c r="N312" s="98">
        <v>72</v>
      </c>
      <c r="O312" s="137">
        <v>9.5</v>
      </c>
      <c r="P312" s="143">
        <v>0.67</v>
      </c>
      <c r="Q312" s="35"/>
      <c r="R312" s="35"/>
      <c r="S312" s="35">
        <f>G312*(N312)*0.02</f>
        <v>2.88</v>
      </c>
      <c r="T312" s="35">
        <f>G312*2.3</f>
        <v>4.5999999999999996</v>
      </c>
      <c r="U312" s="35">
        <f t="shared" si="357"/>
        <v>0</v>
      </c>
      <c r="V312" s="35"/>
      <c r="W312" s="35">
        <f t="shared" si="358"/>
        <v>43.199999999999996</v>
      </c>
      <c r="X312" s="35">
        <f t="shared" si="352"/>
        <v>158.55499999999998</v>
      </c>
      <c r="Y312" s="35">
        <f t="shared" si="355"/>
        <v>504.74771322688747</v>
      </c>
      <c r="Z312" s="83">
        <f t="shared" si="356"/>
        <v>504.74771322688747</v>
      </c>
      <c r="AA312" s="100">
        <f t="shared" si="331"/>
        <v>33.379999999999995</v>
      </c>
      <c r="AB312" s="100">
        <f t="shared" si="332"/>
        <v>175.85499999999996</v>
      </c>
      <c r="AC312" s="100">
        <f t="shared" si="333"/>
        <v>972.58981093945226</v>
      </c>
      <c r="AD312" s="100">
        <f t="shared" si="334"/>
        <v>1148.4448109394523</v>
      </c>
      <c r="AE312" s="100">
        <f t="shared" si="335"/>
        <v>10.251832499999997</v>
      </c>
      <c r="AG312" s="26">
        <f t="shared" si="336"/>
        <v>158.55499999999998</v>
      </c>
    </row>
    <row r="313" spans="1:33" s="26" customFormat="1" ht="96.6">
      <c r="A313" s="94">
        <v>9</v>
      </c>
      <c r="B313" s="93" t="s">
        <v>539</v>
      </c>
      <c r="C313" s="93" t="s">
        <v>540</v>
      </c>
      <c r="D313" s="93">
        <v>148439</v>
      </c>
      <c r="E313" s="93">
        <v>113</v>
      </c>
      <c r="F313" s="93" t="s">
        <v>73</v>
      </c>
      <c r="G313" s="167">
        <v>1</v>
      </c>
      <c r="H313" s="168">
        <v>7.45</v>
      </c>
      <c r="I313" s="168">
        <v>0.2</v>
      </c>
      <c r="J313" s="168">
        <v>0.32</v>
      </c>
      <c r="K313" s="169">
        <f t="shared" si="353"/>
        <v>6.93</v>
      </c>
      <c r="L313" s="97" t="s">
        <v>541</v>
      </c>
      <c r="M313" s="97" t="s">
        <v>383</v>
      </c>
      <c r="N313" s="98" t="s">
        <v>542</v>
      </c>
      <c r="O313" s="137">
        <v>10.5</v>
      </c>
      <c r="P313" s="143">
        <v>1.01</v>
      </c>
      <c r="Q313" s="35"/>
      <c r="R313" s="35"/>
      <c r="S313" s="35">
        <f>G313*(2+2+4+2+4+2+2)*0.02</f>
        <v>0.36</v>
      </c>
      <c r="T313" s="35">
        <f t="shared" si="354"/>
        <v>2.2999999999999998</v>
      </c>
      <c r="U313" s="35">
        <f t="shared" si="357"/>
        <v>1.6631999999999998</v>
      </c>
      <c r="V313" s="35"/>
      <c r="W313" s="35">
        <f>G313*((2+2+4+2)*0.3+(4+2+2)*0.5)</f>
        <v>7</v>
      </c>
      <c r="X313" s="35">
        <f t="shared" si="352"/>
        <v>72.765000000000001</v>
      </c>
      <c r="Y313" s="35">
        <f t="shared" si="355"/>
        <v>209.58068619906115</v>
      </c>
      <c r="Z313" s="83">
        <f t="shared" si="356"/>
        <v>209.58068619906115</v>
      </c>
      <c r="AA313" s="100">
        <f t="shared" si="331"/>
        <v>13.86</v>
      </c>
      <c r="AB313" s="100">
        <f t="shared" si="332"/>
        <v>70.228200000000001</v>
      </c>
      <c r="AC313" s="100">
        <f t="shared" si="333"/>
        <v>659.92267201320442</v>
      </c>
      <c r="AD313" s="100">
        <f t="shared" si="334"/>
        <v>730.15087201320443</v>
      </c>
      <c r="AE313" s="100">
        <f t="shared" si="335"/>
        <v>4.2567524999999993</v>
      </c>
      <c r="AG313" s="26">
        <f t="shared" si="336"/>
        <v>72.765000000000001</v>
      </c>
    </row>
    <row r="314" spans="1:33" s="26" customFormat="1" ht="28.2" thickBot="1">
      <c r="A314" s="94">
        <v>10</v>
      </c>
      <c r="B314" s="93" t="s">
        <v>476</v>
      </c>
      <c r="C314" s="93" t="s">
        <v>543</v>
      </c>
      <c r="D314" s="93">
        <v>148439</v>
      </c>
      <c r="E314" s="93">
        <v>114</v>
      </c>
      <c r="F314" s="93" t="s">
        <v>73</v>
      </c>
      <c r="G314" s="167">
        <v>2</v>
      </c>
      <c r="H314" s="168">
        <v>12.57</v>
      </c>
      <c r="I314" s="168">
        <v>0.26</v>
      </c>
      <c r="J314" s="168">
        <v>0.52</v>
      </c>
      <c r="K314" s="169">
        <f t="shared" si="353"/>
        <v>11.790000000000001</v>
      </c>
      <c r="L314" s="97" t="s">
        <v>86</v>
      </c>
      <c r="M314" s="97" t="s">
        <v>75</v>
      </c>
      <c r="N314" s="98" t="s">
        <v>87</v>
      </c>
      <c r="O314" s="137">
        <v>10</v>
      </c>
      <c r="P314" s="143">
        <v>1.27</v>
      </c>
      <c r="Q314" s="35"/>
      <c r="R314" s="35"/>
      <c r="S314" s="35">
        <f>G314*(2+60)*0.02</f>
        <v>2.48</v>
      </c>
      <c r="T314" s="35">
        <f>G314*3.225</f>
        <v>6.45</v>
      </c>
      <c r="U314" s="35">
        <f t="shared" si="357"/>
        <v>2.8296000000000001</v>
      </c>
      <c r="V314" s="35"/>
      <c r="W314" s="35">
        <f>G314*(2*3+60*0.3)</f>
        <v>48</v>
      </c>
      <c r="X314" s="35">
        <f t="shared" si="352"/>
        <v>117.9</v>
      </c>
      <c r="Y314" s="35">
        <f t="shared" si="355"/>
        <v>356.55934924775346</v>
      </c>
      <c r="Z314" s="83">
        <f t="shared" si="356"/>
        <v>356.55934924775346</v>
      </c>
      <c r="AA314" s="100">
        <f t="shared" si="331"/>
        <v>23.580000000000002</v>
      </c>
      <c r="AB314" s="100">
        <f t="shared" si="332"/>
        <v>154.0796</v>
      </c>
      <c r="AC314" s="100">
        <f t="shared" si="333"/>
        <v>965.84468342254422</v>
      </c>
      <c r="AD314" s="100">
        <f t="shared" si="334"/>
        <v>1119.9242834225442</v>
      </c>
      <c r="AE314" s="100">
        <f t="shared" si="335"/>
        <v>7.2420074999999997</v>
      </c>
      <c r="AG314" s="26">
        <f t="shared" si="336"/>
        <v>117.9</v>
      </c>
    </row>
    <row r="315" spans="1:33" s="27" customFormat="1" ht="16.05" customHeight="1">
      <c r="A315" s="86" t="s">
        <v>66</v>
      </c>
      <c r="B315" s="63"/>
      <c r="C315" s="63"/>
      <c r="D315" s="63"/>
      <c r="E315" s="63"/>
      <c r="F315" s="63"/>
      <c r="G315" s="170">
        <f>SUM(G307:G314)</f>
        <v>12</v>
      </c>
      <c r="H315" s="171"/>
      <c r="I315" s="171"/>
      <c r="J315" s="171"/>
      <c r="K315" s="171">
        <f>SUM(K307:K314)</f>
        <v>96.92</v>
      </c>
      <c r="L315" s="65"/>
      <c r="M315" s="65"/>
      <c r="N315" s="65"/>
      <c r="O315" s="138"/>
      <c r="P315" s="101">
        <f>SUM(P307:P314)</f>
        <v>6.51</v>
      </c>
      <c r="Q315" s="66">
        <f>SUM(Q307:Q314)</f>
        <v>0</v>
      </c>
      <c r="R315" s="66">
        <f>SUM(R307:R314)</f>
        <v>0</v>
      </c>
      <c r="S315" s="66"/>
      <c r="T315" s="66">
        <f t="shared" ref="T315:Z315" si="359">SUM(T307:T314)</f>
        <v>29.450000000000003</v>
      </c>
      <c r="U315" s="66">
        <f t="shared" si="359"/>
        <v>19.247999999999998</v>
      </c>
      <c r="V315" s="66">
        <f t="shared" si="359"/>
        <v>0</v>
      </c>
      <c r="W315" s="66">
        <f t="shared" si="359"/>
        <v>198.79999999999998</v>
      </c>
      <c r="X315" s="66">
        <f t="shared" si="359"/>
        <v>954.3399999999998</v>
      </c>
      <c r="Y315" s="66">
        <f t="shared" si="359"/>
        <v>2931.1053544607516</v>
      </c>
      <c r="Z315" s="84">
        <f t="shared" si="359"/>
        <v>2931.1053544607516</v>
      </c>
      <c r="AA315" s="100"/>
      <c r="AB315" s="100"/>
      <c r="AC315" s="100"/>
      <c r="AD315" s="100"/>
      <c r="AE315" s="100"/>
      <c r="AF315" s="26"/>
      <c r="AG315" s="26"/>
    </row>
    <row r="316" spans="1:33" ht="15.9" customHeight="1">
      <c r="A316" s="52" t="s">
        <v>64</v>
      </c>
      <c r="K316" s="115"/>
      <c r="L316" s="48"/>
      <c r="M316" s="48"/>
      <c r="N316" s="48"/>
      <c r="W316" s="49"/>
      <c r="X316" s="80" t="s">
        <v>544</v>
      </c>
      <c r="Y316" s="92">
        <f>1.02*3070.4</f>
        <v>3131.808</v>
      </c>
      <c r="Z316" s="92">
        <f>1.02*3070.4</f>
        <v>3131.808</v>
      </c>
      <c r="AA316" s="100"/>
      <c r="AB316" s="100"/>
      <c r="AC316" s="100"/>
      <c r="AD316" s="100"/>
      <c r="AE316" s="100"/>
      <c r="AF316" s="26"/>
      <c r="AG316" s="26"/>
    </row>
    <row r="317" spans="1:33" s="91" customFormat="1" ht="27.6">
      <c r="A317" s="87" t="s">
        <v>4</v>
      </c>
      <c r="B317" s="88" t="s">
        <v>5</v>
      </c>
      <c r="C317" s="88" t="s">
        <v>24</v>
      </c>
      <c r="D317" s="88" t="s">
        <v>46</v>
      </c>
      <c r="E317" s="88" t="s">
        <v>67</v>
      </c>
      <c r="F317" s="88" t="s">
        <v>6</v>
      </c>
      <c r="G317" s="88" t="s">
        <v>7</v>
      </c>
      <c r="H317" s="116" t="s">
        <v>8</v>
      </c>
      <c r="I317" s="116" t="s">
        <v>47</v>
      </c>
      <c r="J317" s="116" t="s">
        <v>9</v>
      </c>
      <c r="K317" s="116" t="s">
        <v>14</v>
      </c>
      <c r="L317" s="89" t="s">
        <v>20</v>
      </c>
      <c r="M317" s="89" t="s">
        <v>23</v>
      </c>
      <c r="N317" s="89" t="s">
        <v>21</v>
      </c>
      <c r="O317" s="136" t="s">
        <v>10</v>
      </c>
      <c r="P317" s="90" t="s">
        <v>49</v>
      </c>
      <c r="Q317" s="45" t="s">
        <v>50</v>
      </c>
      <c r="R317" s="45" t="s">
        <v>55</v>
      </c>
      <c r="S317" s="45" t="s">
        <v>504</v>
      </c>
      <c r="T317" s="45" t="s">
        <v>13</v>
      </c>
      <c r="U317" s="45" t="s">
        <v>52</v>
      </c>
      <c r="V317" s="45" t="s">
        <v>48</v>
      </c>
      <c r="W317" s="45" t="s">
        <v>15</v>
      </c>
      <c r="X317" s="50" t="s">
        <v>12</v>
      </c>
      <c r="Y317" s="160" t="s">
        <v>22</v>
      </c>
      <c r="Z317" s="50" t="s">
        <v>68</v>
      </c>
      <c r="AA317" s="100"/>
      <c r="AB317" s="100"/>
      <c r="AC317" s="100"/>
      <c r="AD317" s="100"/>
      <c r="AE317" s="100"/>
      <c r="AF317" s="26"/>
      <c r="AG317" s="26"/>
    </row>
    <row r="318" spans="1:33" s="26" customFormat="1" ht="27.6">
      <c r="A318" s="94" t="s">
        <v>545</v>
      </c>
      <c r="B318" s="93" t="s">
        <v>384</v>
      </c>
      <c r="C318" s="93" t="s">
        <v>385</v>
      </c>
      <c r="D318" s="93">
        <v>148391</v>
      </c>
      <c r="E318" s="93">
        <v>102</v>
      </c>
      <c r="F318" s="93" t="s">
        <v>74</v>
      </c>
      <c r="G318" s="167">
        <v>2</v>
      </c>
      <c r="H318" s="168">
        <v>15.92</v>
      </c>
      <c r="I318" s="168">
        <v>0</v>
      </c>
      <c r="J318" s="168">
        <v>0.64</v>
      </c>
      <c r="K318" s="169">
        <f t="shared" ref="K318:K322" si="360">H318-I318-J318</f>
        <v>15.28</v>
      </c>
      <c r="L318" s="97"/>
      <c r="M318" s="97"/>
      <c r="N318" s="98"/>
      <c r="O318" s="137">
        <v>9.5</v>
      </c>
      <c r="P318" s="143">
        <v>0</v>
      </c>
      <c r="Q318" s="35"/>
      <c r="R318" s="35"/>
      <c r="S318" s="35"/>
      <c r="T318" s="35">
        <f>G318*2.3</f>
        <v>4.5999999999999996</v>
      </c>
      <c r="U318" s="35">
        <f t="shared" ref="U318:U322" si="361">IF(RIGHT(F318,2)="WG",K318*$AB$4,IF(RIGHT(F318,3)="WRG",K318*$AB$4+3*G318,IF(RIGHT(F318,3)="WYG",K318*$AB$4+3*G318,IF(RIGHT(F318,3)="WYR",K318*$AB$4+3*G318,0))))</f>
        <v>0</v>
      </c>
      <c r="V318" s="35"/>
      <c r="W318" s="35">
        <f t="shared" ref="W318" si="362">G318*N318*0.3</f>
        <v>0</v>
      </c>
      <c r="X318" s="35">
        <f t="shared" ref="X318:X322" si="363">K318*O318</f>
        <v>145.16</v>
      </c>
      <c r="Y318" s="35">
        <f t="shared" ref="Y318:Y322" si="364">($Y$14/31.1035*IF(LEFT(F318,3)="10K",(0.417*1.07*K318),IF(LEFT(F318,3)="14K",(0.585*1.05*K318),IF(LEFT(F318,3)="18K",(0.75*1.05*K318),0))))*0.5</f>
        <v>462.10575542881014</v>
      </c>
      <c r="Z318" s="83">
        <f t="shared" ref="Z318:Z322" si="365">($Z$14/31.1035*IF(LEFT(F318,3)="10K",(0.417*1.07*K318),IF(LEFT(F318,3)="14K",(0.585*1.05*K318),IF(LEFT(F318,3)="18K",(0.75*1.05*K318),0))))*0.5</f>
        <v>462.10575542881014</v>
      </c>
      <c r="AA318" s="100">
        <f t="shared" si="331"/>
        <v>30.56</v>
      </c>
      <c r="AB318" s="100">
        <f t="shared" si="332"/>
        <v>119.19999999999999</v>
      </c>
      <c r="AC318" s="100">
        <f t="shared" si="333"/>
        <v>675.77327999999989</v>
      </c>
      <c r="AD318" s="100">
        <f t="shared" si="334"/>
        <v>794.97327999999993</v>
      </c>
      <c r="AE318" s="100">
        <f t="shared" si="335"/>
        <v>9.3857399999999984</v>
      </c>
      <c r="AG318" s="26">
        <f t="shared" si="336"/>
        <v>145.16</v>
      </c>
    </row>
    <row r="319" spans="1:33" s="26" customFormat="1" ht="27.6">
      <c r="A319" s="94">
        <v>3</v>
      </c>
      <c r="B319" s="96" t="s">
        <v>546</v>
      </c>
      <c r="C319" s="93" t="s">
        <v>547</v>
      </c>
      <c r="D319" s="93">
        <v>148391</v>
      </c>
      <c r="E319" s="93">
        <v>103</v>
      </c>
      <c r="F319" s="93" t="s">
        <v>73</v>
      </c>
      <c r="G319" s="167">
        <v>3</v>
      </c>
      <c r="H319" s="168">
        <v>20.75</v>
      </c>
      <c r="I319" s="168">
        <v>0.90999999999999992</v>
      </c>
      <c r="J319" s="168">
        <v>0.92999999999999994</v>
      </c>
      <c r="K319" s="169">
        <f t="shared" si="360"/>
        <v>18.91</v>
      </c>
      <c r="L319" s="97" t="s">
        <v>548</v>
      </c>
      <c r="M319" s="97" t="s">
        <v>63</v>
      </c>
      <c r="N319" s="98" t="s">
        <v>483</v>
      </c>
      <c r="O319" s="137">
        <v>8.5</v>
      </c>
      <c r="P319" s="143">
        <v>4.5600000000000005</v>
      </c>
      <c r="Q319" s="35"/>
      <c r="R319" s="35"/>
      <c r="S319" s="35">
        <f>G319*0.02*(12+11)</f>
        <v>1.38</v>
      </c>
      <c r="T319" s="35">
        <f>G319*2.3</f>
        <v>6.8999999999999995</v>
      </c>
      <c r="U319" s="35">
        <f t="shared" si="361"/>
        <v>4.5384000000000002</v>
      </c>
      <c r="V319" s="35"/>
      <c r="W319" s="35">
        <f>G319*(12*1+11*8)</f>
        <v>300</v>
      </c>
      <c r="X319" s="35">
        <f t="shared" si="363"/>
        <v>160.73500000000001</v>
      </c>
      <c r="Y319" s="35">
        <f t="shared" si="364"/>
        <v>571.88611486641366</v>
      </c>
      <c r="Z319" s="83">
        <f t="shared" si="365"/>
        <v>571.88611486641366</v>
      </c>
      <c r="AA319" s="100">
        <f t="shared" si="331"/>
        <v>37.82</v>
      </c>
      <c r="AB319" s="100">
        <f t="shared" si="332"/>
        <v>435.73340000000002</v>
      </c>
      <c r="AC319" s="100">
        <f t="shared" si="333"/>
        <v>2432.0269308714978</v>
      </c>
      <c r="AD319" s="100">
        <f t="shared" si="334"/>
        <v>2867.7603308714979</v>
      </c>
      <c r="AE319" s="100">
        <f t="shared" si="335"/>
        <v>11.615467499999999</v>
      </c>
      <c r="AG319" s="26">
        <f t="shared" si="336"/>
        <v>160.73500000000001</v>
      </c>
    </row>
    <row r="320" spans="1:33" s="26" customFormat="1" ht="27.6">
      <c r="A320" s="94">
        <v>4</v>
      </c>
      <c r="B320" s="96" t="s">
        <v>406</v>
      </c>
      <c r="C320" s="93" t="s">
        <v>407</v>
      </c>
      <c r="D320" s="93">
        <v>148391</v>
      </c>
      <c r="E320" s="93">
        <v>104</v>
      </c>
      <c r="F320" s="93" t="s">
        <v>74</v>
      </c>
      <c r="G320" s="167">
        <v>1</v>
      </c>
      <c r="H320" s="168">
        <v>5.87</v>
      </c>
      <c r="I320" s="168">
        <v>0.18</v>
      </c>
      <c r="J320" s="168">
        <v>0.32</v>
      </c>
      <c r="K320" s="169">
        <f t="shared" si="360"/>
        <v>5.37</v>
      </c>
      <c r="L320" s="97">
        <v>2.1</v>
      </c>
      <c r="M320" s="97" t="s">
        <v>63</v>
      </c>
      <c r="N320" s="98">
        <v>24</v>
      </c>
      <c r="O320" s="137">
        <v>9.5</v>
      </c>
      <c r="P320" s="143">
        <v>0.88</v>
      </c>
      <c r="Q320" s="35"/>
      <c r="R320" s="35"/>
      <c r="S320" s="35">
        <f>G320*0.02*N320</f>
        <v>0.48</v>
      </c>
      <c r="T320" s="35">
        <f>G320*2.3</f>
        <v>2.2999999999999998</v>
      </c>
      <c r="U320" s="35">
        <f t="shared" si="361"/>
        <v>0</v>
      </c>
      <c r="V320" s="35"/>
      <c r="W320" s="35">
        <f>G320*N320*0.3</f>
        <v>7.1999999999999993</v>
      </c>
      <c r="X320" s="35">
        <f t="shared" si="363"/>
        <v>51.015000000000001</v>
      </c>
      <c r="Y320" s="35">
        <f t="shared" si="364"/>
        <v>162.40234991182663</v>
      </c>
      <c r="Z320" s="83">
        <f t="shared" si="365"/>
        <v>162.40234991182663</v>
      </c>
      <c r="AA320" s="100">
        <f t="shared" si="331"/>
        <v>10.74</v>
      </c>
      <c r="AB320" s="100">
        <f t="shared" si="332"/>
        <v>50.254999999999995</v>
      </c>
      <c r="AC320" s="100">
        <f t="shared" si="333"/>
        <v>545.43828630853466</v>
      </c>
      <c r="AD320" s="100">
        <f t="shared" si="334"/>
        <v>595.69328630853465</v>
      </c>
      <c r="AE320" s="100">
        <f t="shared" si="335"/>
        <v>3.2985224999999998</v>
      </c>
      <c r="AG320" s="26">
        <f t="shared" si="336"/>
        <v>51.015000000000001</v>
      </c>
    </row>
    <row r="321" spans="1:33" s="26" customFormat="1" ht="27.6">
      <c r="A321" s="94">
        <v>5</v>
      </c>
      <c r="B321" s="93" t="s">
        <v>448</v>
      </c>
      <c r="C321" s="93" t="s">
        <v>449</v>
      </c>
      <c r="D321" s="93">
        <v>148391</v>
      </c>
      <c r="E321" s="93">
        <v>105</v>
      </c>
      <c r="F321" s="93" t="s">
        <v>74</v>
      </c>
      <c r="G321" s="167">
        <v>1</v>
      </c>
      <c r="H321" s="168">
        <v>5.07</v>
      </c>
      <c r="I321" s="168">
        <v>0.09</v>
      </c>
      <c r="J321" s="168">
        <v>0.32</v>
      </c>
      <c r="K321" s="169">
        <f t="shared" si="360"/>
        <v>4.66</v>
      </c>
      <c r="L321" s="97">
        <v>1.9</v>
      </c>
      <c r="M321" s="97" t="s">
        <v>63</v>
      </c>
      <c r="N321" s="98">
        <v>16</v>
      </c>
      <c r="O321" s="137">
        <v>9.5</v>
      </c>
      <c r="P321" s="143">
        <v>0.46</v>
      </c>
      <c r="Q321" s="35"/>
      <c r="R321" s="35"/>
      <c r="S321" s="35">
        <f>G321*0.02*N321</f>
        <v>0.32</v>
      </c>
      <c r="T321" s="35">
        <f>G321*2.3</f>
        <v>2.2999999999999998</v>
      </c>
      <c r="U321" s="35">
        <f t="shared" si="361"/>
        <v>0</v>
      </c>
      <c r="V321" s="35"/>
      <c r="W321" s="35">
        <f>G321*N321*0.3</f>
        <v>4.8</v>
      </c>
      <c r="X321" s="35">
        <f t="shared" si="363"/>
        <v>44.27</v>
      </c>
      <c r="Y321" s="35">
        <f t="shared" si="364"/>
        <v>140.93015839648271</v>
      </c>
      <c r="Z321" s="83">
        <f t="shared" si="365"/>
        <v>140.93015839648271</v>
      </c>
      <c r="AA321" s="100">
        <f t="shared" si="331"/>
        <v>9.32</v>
      </c>
      <c r="AB321" s="100">
        <f t="shared" si="332"/>
        <v>42.370000000000005</v>
      </c>
      <c r="AC321" s="100">
        <f t="shared" si="333"/>
        <v>367.06423557037033</v>
      </c>
      <c r="AD321" s="100">
        <f t="shared" si="334"/>
        <v>409.43423557037033</v>
      </c>
      <c r="AE321" s="100">
        <f t="shared" si="335"/>
        <v>2.8624049999999999</v>
      </c>
      <c r="AG321" s="26">
        <f t="shared" si="336"/>
        <v>44.27</v>
      </c>
    </row>
    <row r="322" spans="1:33" s="26" customFormat="1" ht="28.2" thickBot="1">
      <c r="A322" s="94">
        <v>6</v>
      </c>
      <c r="B322" s="93" t="s">
        <v>474</v>
      </c>
      <c r="C322" s="93" t="s">
        <v>495</v>
      </c>
      <c r="D322" s="93">
        <v>148391</v>
      </c>
      <c r="E322" s="93">
        <v>106</v>
      </c>
      <c r="F322" s="93" t="s">
        <v>110</v>
      </c>
      <c r="G322" s="167">
        <v>3</v>
      </c>
      <c r="H322" s="168">
        <v>17.07</v>
      </c>
      <c r="I322" s="168">
        <v>0.18</v>
      </c>
      <c r="J322" s="168">
        <v>0.96</v>
      </c>
      <c r="K322" s="169">
        <f t="shared" si="360"/>
        <v>15.93</v>
      </c>
      <c r="L322" s="97">
        <v>1.75</v>
      </c>
      <c r="M322" s="97" t="s">
        <v>63</v>
      </c>
      <c r="N322" s="98">
        <v>15</v>
      </c>
      <c r="O322" s="137">
        <v>9.5</v>
      </c>
      <c r="P322" s="143">
        <v>0.91999999999999993</v>
      </c>
      <c r="Q322" s="35"/>
      <c r="R322" s="35"/>
      <c r="S322" s="35">
        <f>G322*0.02*N322</f>
        <v>0.89999999999999991</v>
      </c>
      <c r="T322" s="35">
        <f>G322*2.3</f>
        <v>6.8999999999999995</v>
      </c>
      <c r="U322" s="35">
        <f t="shared" si="361"/>
        <v>12.8232</v>
      </c>
      <c r="V322" s="35"/>
      <c r="W322" s="35">
        <f>G322*N322*0.3</f>
        <v>13.5</v>
      </c>
      <c r="X322" s="35">
        <f t="shared" si="363"/>
        <v>151.33500000000001</v>
      </c>
      <c r="Y322" s="35">
        <f t="shared" si="364"/>
        <v>481.76339554849125</v>
      </c>
      <c r="Z322" s="83">
        <f t="shared" si="365"/>
        <v>481.76339554849125</v>
      </c>
      <c r="AA322" s="100">
        <f t="shared" si="331"/>
        <v>31.86</v>
      </c>
      <c r="AB322" s="100">
        <f t="shared" si="332"/>
        <v>153.59820000000002</v>
      </c>
      <c r="AC322" s="100">
        <f t="shared" si="333"/>
        <v>1026.4623311407406</v>
      </c>
      <c r="AD322" s="100">
        <f t="shared" si="334"/>
        <v>1180.0605311407407</v>
      </c>
      <c r="AE322" s="100">
        <f t="shared" si="335"/>
        <v>9.7850024999999992</v>
      </c>
      <c r="AG322" s="26">
        <f t="shared" si="336"/>
        <v>151.33500000000001</v>
      </c>
    </row>
    <row r="323" spans="1:33" s="27" customFormat="1" ht="15.9" customHeight="1">
      <c r="A323" s="86" t="s">
        <v>66</v>
      </c>
      <c r="B323" s="63"/>
      <c r="C323" s="63"/>
      <c r="D323" s="63"/>
      <c r="E323" s="63"/>
      <c r="F323" s="63"/>
      <c r="G323" s="170">
        <f>SUM(G318:G322)</f>
        <v>10</v>
      </c>
      <c r="H323" s="171"/>
      <c r="I323" s="171"/>
      <c r="J323" s="171"/>
      <c r="K323" s="171">
        <f>SUM(K318:K322)</f>
        <v>60.15</v>
      </c>
      <c r="L323" s="65"/>
      <c r="M323" s="65"/>
      <c r="N323" s="65"/>
      <c r="O323" s="138"/>
      <c r="P323" s="101">
        <f t="shared" ref="P323:Z323" si="366">SUM(P318:P322)</f>
        <v>6.82</v>
      </c>
      <c r="Q323" s="66">
        <f t="shared" si="366"/>
        <v>0</v>
      </c>
      <c r="R323" s="66">
        <f t="shared" si="366"/>
        <v>0</v>
      </c>
      <c r="S323" s="66">
        <f t="shared" si="366"/>
        <v>3.0799999999999996</v>
      </c>
      <c r="T323" s="66">
        <f t="shared" si="366"/>
        <v>23</v>
      </c>
      <c r="U323" s="66">
        <f t="shared" si="366"/>
        <v>17.361599999999999</v>
      </c>
      <c r="V323" s="66">
        <f t="shared" si="366"/>
        <v>0</v>
      </c>
      <c r="W323" s="66">
        <f t="shared" si="366"/>
        <v>325.5</v>
      </c>
      <c r="X323" s="66">
        <f t="shared" si="366"/>
        <v>552.51499999999999</v>
      </c>
      <c r="Y323" s="66">
        <f t="shared" si="366"/>
        <v>1819.0877741520244</v>
      </c>
      <c r="Z323" s="84">
        <f t="shared" si="366"/>
        <v>1819.0877741520244</v>
      </c>
      <c r="AA323" s="100"/>
      <c r="AB323" s="100"/>
      <c r="AC323" s="100"/>
      <c r="AD323" s="100"/>
      <c r="AE323" s="100"/>
      <c r="AF323" s="26"/>
      <c r="AG323" s="26"/>
    </row>
    <row r="324" spans="1:33" ht="15.9" customHeight="1">
      <c r="A324" s="52" t="s">
        <v>64</v>
      </c>
      <c r="K324" s="115"/>
      <c r="L324" s="48"/>
      <c r="M324" s="48"/>
      <c r="N324" s="48"/>
      <c r="W324" s="49"/>
      <c r="X324" s="80" t="s">
        <v>549</v>
      </c>
      <c r="Y324" s="92">
        <f>3120.2*1.02</f>
        <v>3182.6039999999998</v>
      </c>
      <c r="Z324" s="92">
        <f>3120.2*1.02</f>
        <v>3182.6039999999998</v>
      </c>
      <c r="AA324" s="100"/>
      <c r="AB324" s="100"/>
      <c r="AC324" s="100"/>
      <c r="AD324" s="100"/>
      <c r="AE324" s="100"/>
      <c r="AF324" s="26"/>
      <c r="AG324" s="26"/>
    </row>
    <row r="325" spans="1:33" s="91" customFormat="1" ht="27.6">
      <c r="A325" s="87" t="s">
        <v>4</v>
      </c>
      <c r="B325" s="88" t="s">
        <v>5</v>
      </c>
      <c r="C325" s="88" t="s">
        <v>24</v>
      </c>
      <c r="D325" s="88" t="s">
        <v>46</v>
      </c>
      <c r="E325" s="88" t="s">
        <v>67</v>
      </c>
      <c r="F325" s="88" t="s">
        <v>6</v>
      </c>
      <c r="G325" s="88" t="s">
        <v>7</v>
      </c>
      <c r="H325" s="116" t="s">
        <v>8</v>
      </c>
      <c r="I325" s="116" t="s">
        <v>47</v>
      </c>
      <c r="J325" s="116" t="s">
        <v>9</v>
      </c>
      <c r="K325" s="116" t="s">
        <v>14</v>
      </c>
      <c r="L325" s="89" t="s">
        <v>20</v>
      </c>
      <c r="M325" s="89" t="s">
        <v>23</v>
      </c>
      <c r="N325" s="89" t="s">
        <v>21</v>
      </c>
      <c r="O325" s="136" t="s">
        <v>10</v>
      </c>
      <c r="P325" s="90" t="s">
        <v>49</v>
      </c>
      <c r="Q325" s="45" t="s">
        <v>50</v>
      </c>
      <c r="R325" s="45" t="s">
        <v>55</v>
      </c>
      <c r="S325" s="45" t="s">
        <v>504</v>
      </c>
      <c r="T325" s="45" t="s">
        <v>13</v>
      </c>
      <c r="U325" s="45" t="s">
        <v>52</v>
      </c>
      <c r="V325" s="45" t="s">
        <v>48</v>
      </c>
      <c r="W325" s="45" t="s">
        <v>15</v>
      </c>
      <c r="X325" s="50" t="s">
        <v>12</v>
      </c>
      <c r="Y325" s="160" t="s">
        <v>22</v>
      </c>
      <c r="Z325" s="50" t="s">
        <v>68</v>
      </c>
      <c r="AA325" s="100"/>
      <c r="AB325" s="100"/>
      <c r="AC325" s="100"/>
      <c r="AD325" s="100"/>
      <c r="AE325" s="100"/>
      <c r="AF325" s="26"/>
      <c r="AG325" s="26"/>
    </row>
    <row r="326" spans="1:33" s="26" customFormat="1" ht="28.2" thickBot="1">
      <c r="A326" s="94" t="s">
        <v>550</v>
      </c>
      <c r="B326" s="96" t="s">
        <v>433</v>
      </c>
      <c r="C326" s="93" t="s">
        <v>434</v>
      </c>
      <c r="D326" s="93">
        <v>148398</v>
      </c>
      <c r="E326" s="93">
        <v>102</v>
      </c>
      <c r="F326" s="93" t="s">
        <v>73</v>
      </c>
      <c r="G326" s="167">
        <v>1</v>
      </c>
      <c r="H326" s="168">
        <v>9.92</v>
      </c>
      <c r="I326" s="168">
        <v>0.21</v>
      </c>
      <c r="J326" s="168">
        <v>0.5</v>
      </c>
      <c r="K326" s="169">
        <f t="shared" ref="K326" si="367">H326-I326-J326</f>
        <v>9.2099999999999991</v>
      </c>
      <c r="L326" s="97">
        <v>2.65</v>
      </c>
      <c r="M326" s="97" t="s">
        <v>63</v>
      </c>
      <c r="N326" s="98">
        <v>15</v>
      </c>
      <c r="O326" s="137">
        <f>9.5+2</f>
        <v>11.5</v>
      </c>
      <c r="P326" s="143">
        <v>1.03</v>
      </c>
      <c r="Q326" s="35"/>
      <c r="R326" s="35"/>
      <c r="S326" s="35">
        <f>G326*0.02*N326</f>
        <v>0.3</v>
      </c>
      <c r="T326" s="35">
        <f>G326*2.3</f>
        <v>2.2999999999999998</v>
      </c>
      <c r="U326" s="35">
        <f t="shared" ref="U326" si="368">IF(RIGHT(F326,2)="WG",K326*$AB$4,IF(RIGHT(F326,3)="WRG",K326*$AB$4+3*G326,IF(RIGHT(F326,3)="WYG",K326*$AB$4+3*G326,IF(RIGHT(F326,3)="WYR",K326*$AB$4+3*G326,0))))</f>
        <v>2.2103999999999995</v>
      </c>
      <c r="V326" s="35"/>
      <c r="W326" s="35">
        <f>G326*N326*1</f>
        <v>15</v>
      </c>
      <c r="X326" s="35">
        <f t="shared" ref="X326" si="369">K326*O326</f>
        <v>105.91499999999999</v>
      </c>
      <c r="Y326" s="35">
        <f t="shared" ref="Y326" si="370">($Y$24/31.1035*IF(LEFT(F326,3)="10K",(0.417*1.07*K326),IF(LEFT(F326,3)="14K",(0.585*1.05*K326),IF(LEFT(F326,3)="18K",(0.75*1.05*K326),0))))*0.5</f>
        <v>17.464581161661869</v>
      </c>
      <c r="Z326" s="83">
        <f t="shared" ref="Z326" si="371">($Z$24/31.1035*IF(LEFT(F326,3)="10K",(0.417*1.07*K326),IF(LEFT(F326,3)="14K",(0.585*1.05*K326),IF(LEFT(F326,3)="18K",(0.75*1.05*K326),0))))*0.5</f>
        <v>17.464581161661869</v>
      </c>
      <c r="AA326" s="100">
        <f t="shared" si="331"/>
        <v>18.419999999999998</v>
      </c>
      <c r="AB326" s="100">
        <f t="shared" si="332"/>
        <v>107.30539999999999</v>
      </c>
      <c r="AC326" s="100">
        <f t="shared" si="333"/>
        <v>767.75669442930746</v>
      </c>
      <c r="AD326" s="100">
        <f t="shared" si="334"/>
        <v>875.06209442930742</v>
      </c>
      <c r="AE326" s="100">
        <f t="shared" si="335"/>
        <v>5.6572424999999988</v>
      </c>
      <c r="AG326" s="26">
        <f t="shared" si="336"/>
        <v>105.91499999999999</v>
      </c>
    </row>
    <row r="327" spans="1:33" s="27" customFormat="1">
      <c r="A327" s="86" t="s">
        <v>66</v>
      </c>
      <c r="B327" s="63"/>
      <c r="C327" s="63"/>
      <c r="D327" s="63"/>
      <c r="E327" s="63"/>
      <c r="F327" s="63"/>
      <c r="G327" s="170">
        <f>SUM(G326:G326)</f>
        <v>1</v>
      </c>
      <c r="H327" s="171"/>
      <c r="I327" s="171"/>
      <c r="J327" s="171"/>
      <c r="K327" s="171">
        <f>SUM(K326:K326)</f>
        <v>9.2099999999999991</v>
      </c>
      <c r="L327" s="65"/>
      <c r="M327" s="65"/>
      <c r="N327" s="65"/>
      <c r="O327" s="138"/>
      <c r="P327" s="101">
        <f t="shared" ref="P327:Z327" si="372">SUM(P326:P326)</f>
        <v>1.03</v>
      </c>
      <c r="Q327" s="66">
        <f t="shared" si="372"/>
        <v>0</v>
      </c>
      <c r="R327" s="66">
        <f t="shared" si="372"/>
        <v>0</v>
      </c>
      <c r="S327" s="66">
        <f t="shared" si="372"/>
        <v>0.3</v>
      </c>
      <c r="T327" s="66">
        <f t="shared" si="372"/>
        <v>2.2999999999999998</v>
      </c>
      <c r="U327" s="66">
        <f t="shared" si="372"/>
        <v>2.2103999999999995</v>
      </c>
      <c r="V327" s="66">
        <f t="shared" si="372"/>
        <v>0</v>
      </c>
      <c r="W327" s="66">
        <f t="shared" si="372"/>
        <v>15</v>
      </c>
      <c r="X327" s="66">
        <f t="shared" si="372"/>
        <v>105.91499999999999</v>
      </c>
      <c r="Y327" s="66">
        <f t="shared" si="372"/>
        <v>17.464581161661869</v>
      </c>
      <c r="Z327" s="84">
        <f t="shared" si="372"/>
        <v>17.464581161661869</v>
      </c>
      <c r="AA327" s="100"/>
      <c r="AB327" s="100"/>
      <c r="AC327" s="100"/>
      <c r="AD327" s="100"/>
      <c r="AE327" s="100"/>
      <c r="AF327" s="26"/>
      <c r="AG327" s="26"/>
    </row>
    <row r="328" spans="1:33" ht="15.9" customHeight="1">
      <c r="A328" s="52" t="s">
        <v>64</v>
      </c>
      <c r="K328" s="115"/>
      <c r="L328" s="48"/>
      <c r="M328" s="48"/>
      <c r="N328" s="48"/>
      <c r="W328" s="49"/>
      <c r="X328" s="80" t="s">
        <v>551</v>
      </c>
      <c r="Y328" s="92">
        <f>3030.25*1.02</f>
        <v>3090.855</v>
      </c>
      <c r="Z328" s="92">
        <f>3030.25*1.02</f>
        <v>3090.855</v>
      </c>
      <c r="AA328" s="100"/>
      <c r="AB328" s="100"/>
      <c r="AC328" s="100"/>
      <c r="AD328" s="100"/>
      <c r="AE328" s="100"/>
      <c r="AF328" s="26"/>
      <c r="AG328" s="26"/>
    </row>
    <row r="329" spans="1:33" s="91" customFormat="1" ht="27.6">
      <c r="A329" s="87" t="s">
        <v>4</v>
      </c>
      <c r="B329" s="88" t="s">
        <v>5</v>
      </c>
      <c r="C329" s="88" t="s">
        <v>24</v>
      </c>
      <c r="D329" s="88" t="s">
        <v>46</v>
      </c>
      <c r="E329" s="88" t="s">
        <v>67</v>
      </c>
      <c r="F329" s="88" t="s">
        <v>6</v>
      </c>
      <c r="G329" s="88" t="s">
        <v>7</v>
      </c>
      <c r="H329" s="116" t="s">
        <v>8</v>
      </c>
      <c r="I329" s="116" t="s">
        <v>47</v>
      </c>
      <c r="J329" s="116" t="s">
        <v>9</v>
      </c>
      <c r="K329" s="116" t="s">
        <v>14</v>
      </c>
      <c r="L329" s="89" t="s">
        <v>20</v>
      </c>
      <c r="M329" s="89" t="s">
        <v>23</v>
      </c>
      <c r="N329" s="89" t="s">
        <v>21</v>
      </c>
      <c r="O329" s="136" t="s">
        <v>10</v>
      </c>
      <c r="P329" s="90" t="s">
        <v>49</v>
      </c>
      <c r="Q329" s="45" t="s">
        <v>50</v>
      </c>
      <c r="R329" s="45" t="s">
        <v>55</v>
      </c>
      <c r="S329" s="45" t="s">
        <v>504</v>
      </c>
      <c r="T329" s="45" t="s">
        <v>13</v>
      </c>
      <c r="U329" s="45" t="s">
        <v>52</v>
      </c>
      <c r="V329" s="45" t="s">
        <v>48</v>
      </c>
      <c r="W329" s="45" t="s">
        <v>15</v>
      </c>
      <c r="X329" s="50" t="s">
        <v>12</v>
      </c>
      <c r="Y329" s="160" t="s">
        <v>22</v>
      </c>
      <c r="Z329" s="50" t="s">
        <v>68</v>
      </c>
      <c r="AA329" s="100"/>
      <c r="AB329" s="100"/>
      <c r="AC329" s="100"/>
      <c r="AD329" s="100"/>
      <c r="AE329" s="100"/>
      <c r="AF329" s="26"/>
      <c r="AG329" s="26"/>
    </row>
    <row r="330" spans="1:33" s="26" customFormat="1" ht="27.6">
      <c r="A330" s="165" t="s">
        <v>552</v>
      </c>
      <c r="B330" s="93" t="s">
        <v>553</v>
      </c>
      <c r="C330" s="93" t="s">
        <v>554</v>
      </c>
      <c r="D330" s="93">
        <v>148374</v>
      </c>
      <c r="E330" s="93">
        <v>101</v>
      </c>
      <c r="F330" s="93" t="s">
        <v>74</v>
      </c>
      <c r="G330" s="95">
        <v>1</v>
      </c>
      <c r="H330" s="117">
        <v>6.28</v>
      </c>
      <c r="I330" s="117">
        <v>0</v>
      </c>
      <c r="J330" s="117">
        <v>1.2</v>
      </c>
      <c r="K330" s="118">
        <f>H330-I330-J330</f>
        <v>5.08</v>
      </c>
      <c r="L330" s="97">
        <v>3.4</v>
      </c>
      <c r="M330" s="97" t="s">
        <v>63</v>
      </c>
      <c r="N330" s="98">
        <v>2</v>
      </c>
      <c r="O330" s="137">
        <v>9.5</v>
      </c>
      <c r="P330" s="143">
        <v>0.28999999999999998</v>
      </c>
      <c r="Q330" s="35">
        <f t="shared" ref="Q330:Q334" si="373">200/1*G330</f>
        <v>200</v>
      </c>
      <c r="R330" s="35"/>
      <c r="S330" s="35">
        <f>G330*0.02*N330</f>
        <v>0.04</v>
      </c>
      <c r="T330" s="35">
        <f>G330*3.45</f>
        <v>3.45</v>
      </c>
      <c r="U330" s="35">
        <f t="shared" ref="U330:U334" si="374">IF(RIGHT(F330,2)="WG",K330*$AB$4,IF(RIGHT(F330,3)="WRG",K330*$AB$4+3*G330,IF(RIGHT(F330,3)="WYG",K330*$AB$4+3*G330,IF(RIGHT(F330,3)="WYR",K330*$AB$4+3*G330,0))))</f>
        <v>0</v>
      </c>
      <c r="V330" s="35"/>
      <c r="W330" s="35">
        <f>G330*N330*1.25</f>
        <v>2.5</v>
      </c>
      <c r="X330" s="35">
        <f t="shared" ref="X330:X334" si="375">K330*O330</f>
        <v>48.26</v>
      </c>
      <c r="Y330" s="35">
        <f>($Y$14/31.1035*IF(LEFT(F330,3)="10K",(0.417*1.07*K330),IF(LEFT(F330,3)="14K",(0.585*1.05*K330),IF(LEFT(F330,3)="18K",(0.75*1.05*K330),0))))*0.5</f>
        <v>153.63201816612278</v>
      </c>
      <c r="Z330" s="83">
        <f>($Z$14/31.1035*IF(LEFT(F330,3)="10K",(0.417*1.07*K330),IF(LEFT(F330,3)="14K",(0.585*1.05*K330),IF(LEFT(F330,3)="18K",(0.75*1.05*K330),0))))*0.5</f>
        <v>153.63201816612278</v>
      </c>
      <c r="AA330" s="100">
        <f t="shared" si="331"/>
        <v>10.16</v>
      </c>
      <c r="AB330" s="100">
        <f t="shared" si="332"/>
        <v>244.08999999999997</v>
      </c>
      <c r="AC330" s="100">
        <f t="shared" si="333"/>
        <v>326.14984503349433</v>
      </c>
      <c r="AD330" s="100">
        <f t="shared" si="334"/>
        <v>570.23984503349425</v>
      </c>
      <c r="AE330" s="100">
        <f t="shared" si="335"/>
        <v>3.12039</v>
      </c>
      <c r="AG330" s="26">
        <f t="shared" si="336"/>
        <v>48.26</v>
      </c>
    </row>
    <row r="331" spans="1:33" s="26" customFormat="1" ht="27.6">
      <c r="A331" s="94">
        <v>2</v>
      </c>
      <c r="B331" s="93" t="s">
        <v>555</v>
      </c>
      <c r="C331" s="93" t="s">
        <v>556</v>
      </c>
      <c r="D331" s="93">
        <v>148374</v>
      </c>
      <c r="E331" s="93">
        <v>102</v>
      </c>
      <c r="F331" s="93" t="s">
        <v>74</v>
      </c>
      <c r="G331" s="95">
        <v>1</v>
      </c>
      <c r="H331" s="117">
        <v>4.6900000000000004</v>
      </c>
      <c r="I331" s="117">
        <v>0.06</v>
      </c>
      <c r="J331" s="117">
        <v>0.32</v>
      </c>
      <c r="K331" s="118">
        <f t="shared" ref="K331:K334" si="376">H331-I331-J331</f>
        <v>4.3100000000000005</v>
      </c>
      <c r="L331" s="97">
        <v>3.4</v>
      </c>
      <c r="M331" s="97" t="s">
        <v>63</v>
      </c>
      <c r="N331" s="98">
        <v>2</v>
      </c>
      <c r="O331" s="137">
        <v>9.5</v>
      </c>
      <c r="P331" s="143">
        <v>0.3</v>
      </c>
      <c r="Q331" s="35">
        <f t="shared" si="373"/>
        <v>200</v>
      </c>
      <c r="R331" s="35"/>
      <c r="S331" s="35">
        <f>G331*0.02*N331</f>
        <v>0.04</v>
      </c>
      <c r="T331" s="35">
        <f>G331*2.3</f>
        <v>2.2999999999999998</v>
      </c>
      <c r="U331" s="35">
        <f t="shared" si="374"/>
        <v>0</v>
      </c>
      <c r="V331" s="35"/>
      <c r="W331" s="35">
        <f>G331*N331*1.25</f>
        <v>2.5</v>
      </c>
      <c r="X331" s="35">
        <f t="shared" si="375"/>
        <v>40.945000000000007</v>
      </c>
      <c r="Y331" s="35">
        <f t="shared" ref="Y331:Y334" si="377">($Y$14/31.1035*IF(LEFT(F331,3)="10K",(0.417*1.07*K331),IF(LEFT(F331,3)="14K",(0.585*1.05*K331),IF(LEFT(F331,3)="18K",(0.75*1.05*K331),0))))*0.5</f>
        <v>130.34527525511598</v>
      </c>
      <c r="Z331" s="83">
        <f t="shared" ref="Z331:Z334" si="378">($Z$14/31.1035*IF(LEFT(F331,3)="10K",(0.417*1.07*K331),IF(LEFT(F331,3)="14K",(0.585*1.05*K331),IF(LEFT(F331,3)="18K",(0.75*1.05*K331),0))))*0.5</f>
        <v>130.34527525511598</v>
      </c>
      <c r="AA331" s="100">
        <f t="shared" si="331"/>
        <v>8.620000000000001</v>
      </c>
      <c r="AB331" s="100">
        <f t="shared" si="332"/>
        <v>237.16500000000002</v>
      </c>
      <c r="AC331" s="100">
        <f t="shared" si="333"/>
        <v>295.59519624154586</v>
      </c>
      <c r="AD331" s="100">
        <f t="shared" si="334"/>
        <v>532.76019624154583</v>
      </c>
      <c r="AE331" s="100">
        <f t="shared" si="335"/>
        <v>2.6474175</v>
      </c>
      <c r="AG331" s="26">
        <f t="shared" si="336"/>
        <v>40.945000000000007</v>
      </c>
    </row>
    <row r="332" spans="1:33" s="26" customFormat="1" ht="41.4">
      <c r="A332" s="94">
        <v>3</v>
      </c>
      <c r="B332" s="96" t="s">
        <v>557</v>
      </c>
      <c r="C332" s="93" t="s">
        <v>558</v>
      </c>
      <c r="D332" s="93">
        <v>148374</v>
      </c>
      <c r="E332" s="93">
        <v>103</v>
      </c>
      <c r="F332" s="93" t="s">
        <v>74</v>
      </c>
      <c r="G332" s="95">
        <v>1</v>
      </c>
      <c r="H332" s="117">
        <v>7.61</v>
      </c>
      <c r="I332" s="117">
        <v>0</v>
      </c>
      <c r="J332" s="117">
        <v>1.2</v>
      </c>
      <c r="K332" s="118">
        <f t="shared" si="376"/>
        <v>6.41</v>
      </c>
      <c r="L332" s="97" t="s">
        <v>559</v>
      </c>
      <c r="M332" s="97" t="s">
        <v>91</v>
      </c>
      <c r="N332" s="98" t="s">
        <v>560</v>
      </c>
      <c r="O332" s="137">
        <v>9.5</v>
      </c>
      <c r="P332" s="143">
        <v>0</v>
      </c>
      <c r="Q332" s="35">
        <f t="shared" si="373"/>
        <v>200</v>
      </c>
      <c r="R332" s="35"/>
      <c r="S332" s="35">
        <f>G332*0.02*(1+2+1)</f>
        <v>0.08</v>
      </c>
      <c r="T332" s="35">
        <f>G332*3.45</f>
        <v>3.45</v>
      </c>
      <c r="U332" s="35">
        <f t="shared" si="374"/>
        <v>0</v>
      </c>
      <c r="V332" s="35"/>
      <c r="W332" s="35">
        <f>G332*((1+2)*0.5+1*1.25)</f>
        <v>2.75</v>
      </c>
      <c r="X332" s="35">
        <f t="shared" si="375"/>
        <v>60.895000000000003</v>
      </c>
      <c r="Y332" s="35">
        <f t="shared" si="377"/>
        <v>193.85457410331634</v>
      </c>
      <c r="Z332" s="83">
        <f t="shared" si="378"/>
        <v>193.85457410331634</v>
      </c>
      <c r="AA332" s="100">
        <f t="shared" si="331"/>
        <v>12.82</v>
      </c>
      <c r="AB332" s="100">
        <f t="shared" si="332"/>
        <v>254.35500000000002</v>
      </c>
      <c r="AC332" s="100">
        <f t="shared" si="333"/>
        <v>283.48865999999998</v>
      </c>
      <c r="AD332" s="100">
        <f t="shared" si="334"/>
        <v>537.84366</v>
      </c>
      <c r="AE332" s="100">
        <f t="shared" si="335"/>
        <v>3.9373424999999997</v>
      </c>
      <c r="AG332" s="26">
        <f t="shared" si="336"/>
        <v>60.895000000000003</v>
      </c>
    </row>
    <row r="333" spans="1:33" s="26" customFormat="1" ht="41.4">
      <c r="A333" s="94">
        <v>5</v>
      </c>
      <c r="B333" s="93" t="s">
        <v>561</v>
      </c>
      <c r="C333" s="93" t="s">
        <v>562</v>
      </c>
      <c r="D333" s="93">
        <v>148374</v>
      </c>
      <c r="E333" s="93">
        <v>105</v>
      </c>
      <c r="F333" s="93" t="s">
        <v>74</v>
      </c>
      <c r="G333" s="95">
        <v>1</v>
      </c>
      <c r="H333" s="117">
        <v>6.9</v>
      </c>
      <c r="I333" s="117">
        <v>0</v>
      </c>
      <c r="J333" s="117">
        <v>1.2</v>
      </c>
      <c r="K333" s="118">
        <f t="shared" si="376"/>
        <v>5.7</v>
      </c>
      <c r="L333" s="97" t="s">
        <v>559</v>
      </c>
      <c r="M333" s="97" t="s">
        <v>91</v>
      </c>
      <c r="N333" s="98" t="s">
        <v>560</v>
      </c>
      <c r="O333" s="137">
        <v>9.5</v>
      </c>
      <c r="P333" s="143">
        <v>0</v>
      </c>
      <c r="Q333" s="35">
        <f t="shared" si="373"/>
        <v>200</v>
      </c>
      <c r="R333" s="35"/>
      <c r="S333" s="35">
        <f>G333*0.02*(1+2+1)</f>
        <v>0.08</v>
      </c>
      <c r="T333" s="35">
        <f t="shared" ref="T333" si="379">G333*2.3</f>
        <v>2.2999999999999998</v>
      </c>
      <c r="U333" s="35">
        <f t="shared" si="374"/>
        <v>0</v>
      </c>
      <c r="V333" s="35"/>
      <c r="W333" s="35">
        <f>G333*((1+2)*0.5+1*1.25)</f>
        <v>2.75</v>
      </c>
      <c r="X333" s="35">
        <f t="shared" si="375"/>
        <v>54.15</v>
      </c>
      <c r="Y333" s="35">
        <f t="shared" si="377"/>
        <v>172.38238258797239</v>
      </c>
      <c r="Z333" s="83">
        <f t="shared" si="378"/>
        <v>172.38238258797239</v>
      </c>
      <c r="AA333" s="100">
        <f t="shared" ref="AA333:AA357" si="380">2*K333</f>
        <v>11.4</v>
      </c>
      <c r="AB333" s="100">
        <f t="shared" ref="AB333:AB357" si="381">(SUM(Q333:W333)+AG333)-AA333</f>
        <v>247.88000000000002</v>
      </c>
      <c r="AC333" s="100">
        <f t="shared" ref="AC333:AC357" si="382">AE333*$AC$13+P333*$AC$14</f>
        <v>252.08819999999997</v>
      </c>
      <c r="AD333" s="100">
        <f t="shared" ref="AD333:AD357" si="383">SUM(AB333:AC333)</f>
        <v>499.96820000000002</v>
      </c>
      <c r="AE333" s="100">
        <f t="shared" ref="AE333:AE357" si="384">IF(LEFT(F333,3)="10K",(0.417*1.07*K333),IF(LEFT(F333,3)="14K",(0.585*1.05*K333),IF(LEFT(F333,3)="18K",(0.75*1.05*K333),0)))</f>
        <v>3.5012249999999998</v>
      </c>
      <c r="AG333" s="26">
        <f t="shared" ref="AG333:AG357" si="385">IF(AF333&gt;0,AF333*K333,X333)</f>
        <v>54.15</v>
      </c>
    </row>
    <row r="334" spans="1:33" s="26" customFormat="1" ht="42" thickBot="1">
      <c r="A334" s="94">
        <v>17</v>
      </c>
      <c r="B334" s="93" t="s">
        <v>563</v>
      </c>
      <c r="C334" s="93" t="s">
        <v>564</v>
      </c>
      <c r="D334" s="93">
        <v>148374</v>
      </c>
      <c r="E334" s="93">
        <v>117</v>
      </c>
      <c r="F334" s="93" t="s">
        <v>74</v>
      </c>
      <c r="G334" s="95">
        <v>1</v>
      </c>
      <c r="H334" s="117">
        <v>7.49</v>
      </c>
      <c r="I334" s="117">
        <v>0.06</v>
      </c>
      <c r="J334" s="117">
        <v>0.32</v>
      </c>
      <c r="K334" s="118">
        <f t="shared" si="376"/>
        <v>7.11</v>
      </c>
      <c r="L334" s="97" t="s">
        <v>565</v>
      </c>
      <c r="M334" s="97" t="s">
        <v>91</v>
      </c>
      <c r="N334" s="98" t="s">
        <v>566</v>
      </c>
      <c r="O334" s="137">
        <v>8.5</v>
      </c>
      <c r="P334" s="143">
        <v>0.3</v>
      </c>
      <c r="Q334" s="35">
        <f t="shared" si="373"/>
        <v>200</v>
      </c>
      <c r="R334" s="35"/>
      <c r="S334" s="35">
        <f>G334*0.02*(2+2+2)</f>
        <v>0.12</v>
      </c>
      <c r="T334" s="35">
        <f t="shared" ref="T334" si="386">G334*2.3</f>
        <v>2.2999999999999998</v>
      </c>
      <c r="U334" s="35">
        <f t="shared" si="374"/>
        <v>0</v>
      </c>
      <c r="V334" s="35"/>
      <c r="W334" s="35">
        <f>G334*(2*0.3+(2+2)*0.5)</f>
        <v>2.6</v>
      </c>
      <c r="X334" s="35">
        <f t="shared" si="375"/>
        <v>60.435000000000002</v>
      </c>
      <c r="Y334" s="35">
        <f t="shared" si="377"/>
        <v>215.02434038604977</v>
      </c>
      <c r="Z334" s="83">
        <f t="shared" si="378"/>
        <v>215.02434038604977</v>
      </c>
      <c r="AA334" s="100">
        <f t="shared" si="380"/>
        <v>14.22</v>
      </c>
      <c r="AB334" s="100">
        <f t="shared" si="381"/>
        <v>251.23500000000004</v>
      </c>
      <c r="AC334" s="100">
        <f t="shared" si="382"/>
        <v>419.42799624154583</v>
      </c>
      <c r="AD334" s="100">
        <f t="shared" si="383"/>
        <v>670.6629962415459</v>
      </c>
      <c r="AE334" s="100">
        <f t="shared" si="384"/>
        <v>4.3673174999999995</v>
      </c>
      <c r="AG334" s="26">
        <f t="shared" si="385"/>
        <v>60.435000000000002</v>
      </c>
    </row>
    <row r="335" spans="1:33" s="27" customFormat="1" ht="15.9" customHeight="1">
      <c r="A335" s="86" t="s">
        <v>66</v>
      </c>
      <c r="B335" s="63"/>
      <c r="C335" s="63"/>
      <c r="D335" s="63"/>
      <c r="E335" s="63"/>
      <c r="F335" s="63"/>
      <c r="G335" s="64">
        <f>SUM(G330:G334)</f>
        <v>5</v>
      </c>
      <c r="H335" s="119"/>
      <c r="I335" s="119"/>
      <c r="J335" s="119"/>
      <c r="K335" s="119">
        <f>SUM(K330:K334)</f>
        <v>28.61</v>
      </c>
      <c r="L335" s="65"/>
      <c r="M335" s="65"/>
      <c r="N335" s="65"/>
      <c r="O335" s="138"/>
      <c r="P335" s="101">
        <f>SUM(P330:P334)</f>
        <v>0.8899999999999999</v>
      </c>
      <c r="Q335" s="66">
        <f>SUM(Q330:Q334)</f>
        <v>1000</v>
      </c>
      <c r="R335" s="66">
        <f>SUM(R330:R334)</f>
        <v>0</v>
      </c>
      <c r="S335" s="66">
        <f>SUM(S330:S334)</f>
        <v>0.36</v>
      </c>
      <c r="T335" s="66">
        <f>SUM(T330:T334)</f>
        <v>13.8</v>
      </c>
      <c r="U335" s="66">
        <f>SUM(U330:U334)</f>
        <v>0</v>
      </c>
      <c r="V335" s="66">
        <f>SUM(V330:V334)</f>
        <v>0</v>
      </c>
      <c r="W335" s="66">
        <f>SUM(W330:W334)</f>
        <v>13.1</v>
      </c>
      <c r="X335" s="66">
        <f>SUM(X330:X334)</f>
        <v>264.68500000000006</v>
      </c>
      <c r="Y335" s="66">
        <f>SUM(Y330:Y334)</f>
        <v>865.2385904985772</v>
      </c>
      <c r="Z335" s="84">
        <f>SUM(Z330:Z334)</f>
        <v>865.2385904985772</v>
      </c>
      <c r="AA335" s="100"/>
      <c r="AB335" s="100"/>
      <c r="AC335" s="100"/>
      <c r="AD335" s="100"/>
      <c r="AE335" s="100"/>
      <c r="AF335" s="26"/>
      <c r="AG335" s="26"/>
    </row>
    <row r="336" spans="1:33" ht="15.9" customHeight="1">
      <c r="A336" s="52" t="s">
        <v>64</v>
      </c>
      <c r="K336" s="115"/>
      <c r="L336" s="48"/>
      <c r="M336" s="48"/>
      <c r="N336" s="48"/>
      <c r="W336" s="49"/>
      <c r="X336" s="80" t="s">
        <v>551</v>
      </c>
      <c r="Y336" s="92">
        <f>3030.25*1.02</f>
        <v>3090.855</v>
      </c>
      <c r="Z336" s="92">
        <f>3030.25*1.02</f>
        <v>3090.855</v>
      </c>
      <c r="AA336" s="100"/>
      <c r="AB336" s="100"/>
      <c r="AC336" s="100"/>
      <c r="AD336" s="100"/>
      <c r="AE336" s="100"/>
      <c r="AF336" s="26"/>
      <c r="AG336" s="26"/>
    </row>
    <row r="337" spans="1:33" s="91" customFormat="1" ht="27.6">
      <c r="A337" s="87" t="s">
        <v>4</v>
      </c>
      <c r="B337" s="88" t="s">
        <v>5</v>
      </c>
      <c r="C337" s="88" t="s">
        <v>24</v>
      </c>
      <c r="D337" s="88" t="s">
        <v>46</v>
      </c>
      <c r="E337" s="88" t="s">
        <v>67</v>
      </c>
      <c r="F337" s="88" t="s">
        <v>6</v>
      </c>
      <c r="G337" s="88" t="s">
        <v>7</v>
      </c>
      <c r="H337" s="116" t="s">
        <v>8</v>
      </c>
      <c r="I337" s="116" t="s">
        <v>47</v>
      </c>
      <c r="J337" s="116" t="s">
        <v>9</v>
      </c>
      <c r="K337" s="116" t="s">
        <v>14</v>
      </c>
      <c r="L337" s="89" t="s">
        <v>20</v>
      </c>
      <c r="M337" s="89" t="s">
        <v>23</v>
      </c>
      <c r="N337" s="89" t="s">
        <v>21</v>
      </c>
      <c r="O337" s="136" t="s">
        <v>10</v>
      </c>
      <c r="P337" s="90" t="s">
        <v>49</v>
      </c>
      <c r="Q337" s="45" t="s">
        <v>50</v>
      </c>
      <c r="R337" s="45" t="s">
        <v>55</v>
      </c>
      <c r="S337" s="45" t="s">
        <v>504</v>
      </c>
      <c r="T337" s="45" t="s">
        <v>13</v>
      </c>
      <c r="U337" s="45" t="s">
        <v>52</v>
      </c>
      <c r="V337" s="45" t="s">
        <v>48</v>
      </c>
      <c r="W337" s="45" t="s">
        <v>15</v>
      </c>
      <c r="X337" s="50" t="s">
        <v>12</v>
      </c>
      <c r="Y337" s="160" t="s">
        <v>22</v>
      </c>
      <c r="Z337" s="50" t="s">
        <v>68</v>
      </c>
      <c r="AA337" s="100"/>
      <c r="AB337" s="100"/>
      <c r="AC337" s="100"/>
      <c r="AD337" s="100"/>
      <c r="AE337" s="100"/>
      <c r="AF337" s="26"/>
      <c r="AG337" s="26"/>
    </row>
    <row r="338" spans="1:33" s="26" customFormat="1" ht="55.2">
      <c r="A338" s="165" t="s">
        <v>567</v>
      </c>
      <c r="B338" s="93" t="s">
        <v>450</v>
      </c>
      <c r="C338" s="93" t="s">
        <v>451</v>
      </c>
      <c r="D338" s="96">
        <v>148373</v>
      </c>
      <c r="E338" s="93">
        <v>101</v>
      </c>
      <c r="F338" s="93" t="s">
        <v>73</v>
      </c>
      <c r="G338" s="167">
        <v>1</v>
      </c>
      <c r="H338" s="168">
        <v>6.62</v>
      </c>
      <c r="I338" s="168">
        <v>0.04</v>
      </c>
      <c r="J338" s="168">
        <v>0.32</v>
      </c>
      <c r="K338" s="169">
        <f t="shared" ref="K338:K340" si="387">H338-I338-J338</f>
        <v>6.26</v>
      </c>
      <c r="L338" s="97" t="s">
        <v>452</v>
      </c>
      <c r="M338" s="97" t="s">
        <v>174</v>
      </c>
      <c r="N338" s="98" t="s">
        <v>453</v>
      </c>
      <c r="O338" s="137">
        <f>8.5+2</f>
        <v>10.5</v>
      </c>
      <c r="P338" s="143">
        <v>0.2</v>
      </c>
      <c r="Q338" s="35"/>
      <c r="R338" s="35"/>
      <c r="S338" s="35">
        <f>G338*0.02*(2+2+2+1)</f>
        <v>0.14000000000000001</v>
      </c>
      <c r="T338" s="35">
        <f t="shared" ref="T338:T339" si="388">G338*2.3</f>
        <v>2.2999999999999998</v>
      </c>
      <c r="U338" s="35">
        <f t="shared" ref="U338:U340" si="389">IF(RIGHT(F338,2)="WG",K338*$AB$4,IF(RIGHT(F338,3)="WRG",K338*$AB$4+3*G338,IF(RIGHT(F338,3)="WYG",K338*$AB$4+3*G338,IF(RIGHT(F338,3)="WYR",K338*$AB$4+3*G338,0))))</f>
        <v>1.5024</v>
      </c>
      <c r="V338" s="35"/>
      <c r="W338" s="35">
        <f>G338*((2+2+2)*0.3+1*0.5)</f>
        <v>2.2999999999999998</v>
      </c>
      <c r="X338" s="35">
        <f t="shared" ref="X338:X340" si="390">K338*O338</f>
        <v>65.73</v>
      </c>
      <c r="Y338" s="35">
        <f>($Y$336/31.1035*IF(LEFT(F338,3)="10K",(0.417*1.07*K338),IF(LEFT(F338,3)="14K",(0.585*1.05*K338),IF(LEFT(F338,3)="18K",(0.75*1.05*K338),0))))*0.5</f>
        <v>191.05520440263956</v>
      </c>
      <c r="Z338" s="83">
        <f>($Z$336/31.1035*IF(LEFT(F338,3)="10K",(0.417*1.07*K338),IF(LEFT(F338,3)="14K",(0.585*1.05*K338),IF(LEFT(F338,3)="18K",(0.75*1.05*K338),0))))*0.5</f>
        <v>191.05520440263956</v>
      </c>
      <c r="AA338" s="100">
        <f t="shared" si="380"/>
        <v>12.52</v>
      </c>
      <c r="AB338" s="100">
        <f t="shared" si="381"/>
        <v>59.452400000000011</v>
      </c>
      <c r="AC338" s="100">
        <f t="shared" si="382"/>
        <v>346.84218416103056</v>
      </c>
      <c r="AD338" s="100">
        <f t="shared" si="383"/>
        <v>406.29458416103057</v>
      </c>
      <c r="AE338" s="100">
        <f t="shared" si="384"/>
        <v>3.8452049999999995</v>
      </c>
      <c r="AG338" s="26">
        <f t="shared" si="385"/>
        <v>65.73</v>
      </c>
    </row>
    <row r="339" spans="1:33" s="26" customFormat="1" ht="69">
      <c r="A339" s="94">
        <v>3</v>
      </c>
      <c r="B339" s="93" t="s">
        <v>568</v>
      </c>
      <c r="C339" s="93" t="s">
        <v>569</v>
      </c>
      <c r="D339" s="96">
        <v>148373</v>
      </c>
      <c r="E339" s="93">
        <v>103</v>
      </c>
      <c r="F339" s="93" t="s">
        <v>73</v>
      </c>
      <c r="G339" s="167">
        <v>1</v>
      </c>
      <c r="H339" s="168">
        <v>6.47</v>
      </c>
      <c r="I339" s="168">
        <v>0.11</v>
      </c>
      <c r="J339" s="168">
        <v>0.31</v>
      </c>
      <c r="K339" s="169">
        <f t="shared" si="387"/>
        <v>6.05</v>
      </c>
      <c r="L339" s="97" t="s">
        <v>570</v>
      </c>
      <c r="M339" s="97" t="s">
        <v>112</v>
      </c>
      <c r="N339" s="98" t="s">
        <v>571</v>
      </c>
      <c r="O339" s="137">
        <f>9.5+2</f>
        <v>11.5</v>
      </c>
      <c r="P339" s="143">
        <v>0.53</v>
      </c>
      <c r="Q339" s="35"/>
      <c r="R339" s="35"/>
      <c r="S339" s="35">
        <f>G339*0.02*(36+9+3+3+6)</f>
        <v>1.1400000000000001</v>
      </c>
      <c r="T339" s="35">
        <f t="shared" si="388"/>
        <v>2.2999999999999998</v>
      </c>
      <c r="U339" s="35">
        <f t="shared" si="389"/>
        <v>1.452</v>
      </c>
      <c r="V339" s="35"/>
      <c r="W339" s="35">
        <f>G339*(36+9+3+3+6)*0.3</f>
        <v>17.099999999999998</v>
      </c>
      <c r="X339" s="35">
        <f t="shared" si="390"/>
        <v>69.575000000000003</v>
      </c>
      <c r="Y339" s="35">
        <f t="shared" ref="Y339:Y340" si="391">($Y$336/31.1035*IF(LEFT(F339,3)="10K",(0.417*1.07*K339),IF(LEFT(F339,3)="14K",(0.585*1.05*K339),IF(LEFT(F339,3)="18K",(0.75*1.05*K339),0))))*0.5</f>
        <v>184.64600425494717</v>
      </c>
      <c r="Z339" s="83">
        <f t="shared" ref="Z339:Z340" si="392">($Z$336/31.1035*IF(LEFT(F339,3)="10K",(0.417*1.07*K339),IF(LEFT(F339,3)="14K",(0.585*1.05*K339),IF(LEFT(F339,3)="18K",(0.75*1.05*K339),0))))*0.5</f>
        <v>184.64600425494717</v>
      </c>
      <c r="AA339" s="100">
        <f t="shared" si="380"/>
        <v>12.1</v>
      </c>
      <c r="AB339" s="100">
        <f t="shared" si="381"/>
        <v>79.467000000000013</v>
      </c>
      <c r="AC339" s="100">
        <f t="shared" si="382"/>
        <v>453.03397402673107</v>
      </c>
      <c r="AD339" s="100">
        <f t="shared" si="383"/>
        <v>532.50097402673111</v>
      </c>
      <c r="AE339" s="100">
        <f t="shared" si="384"/>
        <v>3.7162124999999997</v>
      </c>
      <c r="AG339" s="26">
        <f t="shared" si="385"/>
        <v>69.575000000000003</v>
      </c>
    </row>
    <row r="340" spans="1:33" s="26" customFormat="1" ht="55.8" thickBot="1">
      <c r="A340" s="94">
        <v>6</v>
      </c>
      <c r="B340" s="93" t="s">
        <v>352</v>
      </c>
      <c r="C340" s="93" t="s">
        <v>356</v>
      </c>
      <c r="D340" s="96">
        <v>148373</v>
      </c>
      <c r="E340" s="93">
        <v>107</v>
      </c>
      <c r="F340" s="93" t="s">
        <v>74</v>
      </c>
      <c r="G340" s="167">
        <v>1</v>
      </c>
      <c r="H340" s="168">
        <v>4.5</v>
      </c>
      <c r="I340" s="168">
        <v>0.4</v>
      </c>
      <c r="J340" s="168">
        <v>0.18</v>
      </c>
      <c r="K340" s="169">
        <f t="shared" si="387"/>
        <v>3.9199999999999995</v>
      </c>
      <c r="L340" s="97" t="s">
        <v>354</v>
      </c>
      <c r="M340" s="97" t="s">
        <v>174</v>
      </c>
      <c r="N340" s="98" t="s">
        <v>355</v>
      </c>
      <c r="O340" s="137">
        <f>10+2</f>
        <v>12</v>
      </c>
      <c r="P340" s="143">
        <v>2</v>
      </c>
      <c r="Q340" s="35"/>
      <c r="R340" s="35"/>
      <c r="S340" s="35">
        <f>G340*0.02*(8+2+2+41)</f>
        <v>1.06</v>
      </c>
      <c r="T340" s="35">
        <f>G340*3.225</f>
        <v>3.2250000000000001</v>
      </c>
      <c r="U340" s="35">
        <f t="shared" si="389"/>
        <v>0</v>
      </c>
      <c r="V340" s="35"/>
      <c r="W340" s="35">
        <f>G340*(8*0.75+2*0.5+(2+41)*0.3)</f>
        <v>19.899999999999999</v>
      </c>
      <c r="X340" s="35">
        <f t="shared" si="390"/>
        <v>47.039999999999992</v>
      </c>
      <c r="Y340" s="35">
        <f t="shared" si="391"/>
        <v>119.63840275692444</v>
      </c>
      <c r="Z340" s="83">
        <f t="shared" si="392"/>
        <v>119.63840275692444</v>
      </c>
      <c r="AA340" s="100">
        <f t="shared" si="380"/>
        <v>7.839999999999999</v>
      </c>
      <c r="AB340" s="100">
        <f t="shared" si="381"/>
        <v>63.384999999999998</v>
      </c>
      <c r="AC340" s="100">
        <f t="shared" si="382"/>
        <v>873.2401616103059</v>
      </c>
      <c r="AD340" s="100">
        <f t="shared" si="383"/>
        <v>936.6251616103059</v>
      </c>
      <c r="AE340" s="100">
        <f t="shared" si="384"/>
        <v>2.4078599999999994</v>
      </c>
      <c r="AG340" s="26">
        <f t="shared" si="385"/>
        <v>47.039999999999992</v>
      </c>
    </row>
    <row r="341" spans="1:33" s="27" customFormat="1" ht="15.9" customHeight="1">
      <c r="A341" s="86" t="s">
        <v>66</v>
      </c>
      <c r="B341" s="63"/>
      <c r="C341" s="63"/>
      <c r="D341" s="63"/>
      <c r="E341" s="63"/>
      <c r="F341" s="63"/>
      <c r="G341" s="170">
        <f>SUM(G338:G340)</f>
        <v>3</v>
      </c>
      <c r="H341" s="171"/>
      <c r="I341" s="171"/>
      <c r="J341" s="171"/>
      <c r="K341" s="171">
        <f>SUM(K338:K340)</f>
        <v>16.229999999999997</v>
      </c>
      <c r="L341" s="65"/>
      <c r="M341" s="65"/>
      <c r="N341" s="65"/>
      <c r="O341" s="138"/>
      <c r="P341" s="101">
        <f t="shared" ref="P341:Z341" si="393">SUM(P338:P340)</f>
        <v>2.73</v>
      </c>
      <c r="Q341" s="66">
        <f t="shared" si="393"/>
        <v>0</v>
      </c>
      <c r="R341" s="66">
        <f t="shared" si="393"/>
        <v>0</v>
      </c>
      <c r="S341" s="66">
        <f t="shared" si="393"/>
        <v>2.3400000000000003</v>
      </c>
      <c r="T341" s="66">
        <f t="shared" si="393"/>
        <v>7.8249999999999993</v>
      </c>
      <c r="U341" s="66">
        <f t="shared" si="393"/>
        <v>2.9543999999999997</v>
      </c>
      <c r="V341" s="66">
        <f t="shared" si="393"/>
        <v>0</v>
      </c>
      <c r="W341" s="66">
        <f t="shared" si="393"/>
        <v>39.299999999999997</v>
      </c>
      <c r="X341" s="66">
        <f t="shared" si="393"/>
        <v>182.345</v>
      </c>
      <c r="Y341" s="66">
        <f t="shared" si="393"/>
        <v>495.33961141451118</v>
      </c>
      <c r="Z341" s="84">
        <f t="shared" si="393"/>
        <v>495.33961141451118</v>
      </c>
      <c r="AA341" s="100"/>
      <c r="AB341" s="100"/>
      <c r="AC341" s="100"/>
      <c r="AD341" s="100"/>
      <c r="AE341" s="100"/>
      <c r="AF341" s="26"/>
      <c r="AG341" s="26"/>
    </row>
    <row r="342" spans="1:33" ht="15.9" customHeight="1">
      <c r="A342" s="52" t="s">
        <v>64</v>
      </c>
      <c r="K342" s="115"/>
      <c r="L342" s="48"/>
      <c r="M342" s="48"/>
      <c r="N342" s="48"/>
      <c r="W342" s="49"/>
      <c r="X342" s="80" t="s">
        <v>246</v>
      </c>
      <c r="Y342" s="92">
        <f>1.02*3021.35</f>
        <v>3081.777</v>
      </c>
      <c r="Z342" s="92">
        <f>1.02*3021.35</f>
        <v>3081.777</v>
      </c>
      <c r="AA342" s="100"/>
      <c r="AB342" s="100"/>
      <c r="AC342" s="100"/>
      <c r="AD342" s="100"/>
      <c r="AE342" s="100"/>
      <c r="AF342" s="26"/>
      <c r="AG342" s="26"/>
    </row>
    <row r="343" spans="1:33" s="91" customFormat="1" ht="27.6">
      <c r="A343" s="87" t="s">
        <v>4</v>
      </c>
      <c r="B343" s="88" t="s">
        <v>5</v>
      </c>
      <c r="C343" s="88" t="s">
        <v>24</v>
      </c>
      <c r="D343" s="88" t="s">
        <v>46</v>
      </c>
      <c r="E343" s="88" t="s">
        <v>67</v>
      </c>
      <c r="F343" s="88" t="s">
        <v>6</v>
      </c>
      <c r="G343" s="88" t="s">
        <v>7</v>
      </c>
      <c r="H343" s="116" t="s">
        <v>8</v>
      </c>
      <c r="I343" s="116" t="s">
        <v>47</v>
      </c>
      <c r="J343" s="116" t="s">
        <v>9</v>
      </c>
      <c r="K343" s="116" t="s">
        <v>14</v>
      </c>
      <c r="L343" s="89" t="s">
        <v>20</v>
      </c>
      <c r="M343" s="89" t="s">
        <v>23</v>
      </c>
      <c r="N343" s="89" t="s">
        <v>21</v>
      </c>
      <c r="O343" s="136" t="s">
        <v>10</v>
      </c>
      <c r="P343" s="90" t="s">
        <v>49</v>
      </c>
      <c r="Q343" s="45" t="s">
        <v>50</v>
      </c>
      <c r="R343" s="45" t="s">
        <v>55</v>
      </c>
      <c r="S343" s="45" t="s">
        <v>70</v>
      </c>
      <c r="T343" s="45" t="s">
        <v>13</v>
      </c>
      <c r="U343" s="45" t="s">
        <v>52</v>
      </c>
      <c r="V343" s="45" t="s">
        <v>48</v>
      </c>
      <c r="W343" s="45" t="s">
        <v>15</v>
      </c>
      <c r="X343" s="50" t="s">
        <v>12</v>
      </c>
      <c r="Y343" s="160" t="s">
        <v>22</v>
      </c>
      <c r="Z343" s="50" t="s">
        <v>68</v>
      </c>
      <c r="AA343" s="100"/>
      <c r="AB343" s="100"/>
      <c r="AC343" s="100"/>
      <c r="AD343" s="100"/>
      <c r="AE343" s="100"/>
      <c r="AF343" s="26"/>
      <c r="AG343" s="26"/>
    </row>
    <row r="344" spans="1:33" s="26" customFormat="1" ht="42" thickBot="1">
      <c r="A344" s="94" t="s">
        <v>572</v>
      </c>
      <c r="B344" s="93" t="s">
        <v>573</v>
      </c>
      <c r="C344" s="93" t="s">
        <v>574</v>
      </c>
      <c r="D344" s="93">
        <v>148385</v>
      </c>
      <c r="E344" s="93">
        <v>101</v>
      </c>
      <c r="F344" s="93" t="s">
        <v>73</v>
      </c>
      <c r="G344" s="95">
        <v>1</v>
      </c>
      <c r="H344" s="117">
        <v>4.32</v>
      </c>
      <c r="I344" s="117">
        <v>0.28000000000000003</v>
      </c>
      <c r="J344" s="117">
        <v>0.16</v>
      </c>
      <c r="K344" s="118">
        <f>H344-I344-J344</f>
        <v>3.88</v>
      </c>
      <c r="L344" s="97" t="s">
        <v>575</v>
      </c>
      <c r="M344" s="97" t="s">
        <v>91</v>
      </c>
      <c r="N344" s="98" t="s">
        <v>576</v>
      </c>
      <c r="O344" s="137">
        <f>10+2</f>
        <v>12</v>
      </c>
      <c r="P344" s="143">
        <v>1.42</v>
      </c>
      <c r="Q344" s="35"/>
      <c r="R344" s="35"/>
      <c r="S344" s="35">
        <f>0.02*(16+104+1)*G344</f>
        <v>2.42</v>
      </c>
      <c r="T344" s="35">
        <f>3.15*G344</f>
        <v>3.15</v>
      </c>
      <c r="U344" s="35">
        <f t="shared" ref="U344" si="394">IF(RIGHT(F344,2)="WG",K344*$AB$4,IF(RIGHT(F344,3)="WRG",K344*$AB$4+3*G344,IF(RIGHT(F344,3)="WYG",K344*$AB$4+3*G344,IF(RIGHT(F344,3)="WYR",K344*$AB$4+3*G344,0))))</f>
        <v>0.93119999999999992</v>
      </c>
      <c r="V344" s="35"/>
      <c r="W344" s="35">
        <f>((16+104)*0.3+(3.75*1))*G344</f>
        <v>39.75</v>
      </c>
      <c r="X344" s="35">
        <f t="shared" ref="X344" si="395">K344*O344</f>
        <v>46.56</v>
      </c>
      <c r="Y344" s="35">
        <f>($Y$14/31.1035*IF(LEFT(F344,3)="10K",(0.417*1.07*K344),IF(LEFT(F344,3)="14K",(0.585*1.05*K344),IF(LEFT(F344,3)="18K",(0.75*1.05*K344),0))))*0.5</f>
        <v>117.34099025286541</v>
      </c>
      <c r="Z344" s="83">
        <f>($Z$14/31.1035*IF(LEFT(F344,3)="10K",(0.417*1.07*K344),IF(LEFT(F344,3)="14K",(0.585*1.05*K344),IF(LEFT(F344,3)="18K",(0.75*1.05*K344),0))))*0.5</f>
        <v>117.34099025286541</v>
      </c>
      <c r="AA344" s="100">
        <f t="shared" si="380"/>
        <v>7.76</v>
      </c>
      <c r="AB344" s="100">
        <f t="shared" si="381"/>
        <v>85.051199999999994</v>
      </c>
      <c r="AC344" s="100">
        <f t="shared" si="382"/>
        <v>668.50759154331718</v>
      </c>
      <c r="AD344" s="100">
        <f t="shared" si="383"/>
        <v>753.55879154331717</v>
      </c>
      <c r="AE344" s="100">
        <f t="shared" si="384"/>
        <v>2.3832899999999997</v>
      </c>
      <c r="AG344" s="26">
        <f t="shared" si="385"/>
        <v>46.56</v>
      </c>
    </row>
    <row r="345" spans="1:33" s="27" customFormat="1" ht="15.9" customHeight="1">
      <c r="A345" s="86" t="s">
        <v>66</v>
      </c>
      <c r="B345" s="63"/>
      <c r="C345" s="63"/>
      <c r="D345" s="63"/>
      <c r="E345" s="63"/>
      <c r="F345" s="63"/>
      <c r="G345" s="64">
        <f>SUM(G344:G344)</f>
        <v>1</v>
      </c>
      <c r="H345" s="119"/>
      <c r="I345" s="119"/>
      <c r="J345" s="119"/>
      <c r="K345" s="119">
        <f>SUM(K344:K344)</f>
        <v>3.88</v>
      </c>
      <c r="L345" s="65"/>
      <c r="M345" s="65"/>
      <c r="N345" s="65"/>
      <c r="O345" s="138"/>
      <c r="P345" s="101">
        <f>SUM(P344:P344)</f>
        <v>1.42</v>
      </c>
      <c r="Q345" s="66">
        <f>SUM(Q344:Q344)</f>
        <v>0</v>
      </c>
      <c r="R345" s="66">
        <f>SUM(R344:R344)</f>
        <v>0</v>
      </c>
      <c r="S345" s="66">
        <f>SUM(S344:S344)</f>
        <v>2.42</v>
      </c>
      <c r="T345" s="66">
        <f>SUM(T344:T344)</f>
        <v>3.15</v>
      </c>
      <c r="U345" s="66">
        <f>SUM(U344:U344)</f>
        <v>0.93119999999999992</v>
      </c>
      <c r="V345" s="66">
        <f>SUM(V344:V344)</f>
        <v>0</v>
      </c>
      <c r="W345" s="66">
        <f>SUM(W344:W344)</f>
        <v>39.75</v>
      </c>
      <c r="X345" s="66">
        <f>SUM(X344:X344)</f>
        <v>46.56</v>
      </c>
      <c r="Y345" s="66">
        <f>SUM(Y344:Y344)</f>
        <v>117.34099025286541</v>
      </c>
      <c r="Z345" s="84">
        <f>SUM(Z344:Z344)</f>
        <v>117.34099025286541</v>
      </c>
      <c r="AA345" s="100"/>
      <c r="AB345" s="100"/>
      <c r="AC345" s="100"/>
      <c r="AD345" s="100"/>
      <c r="AE345" s="100"/>
      <c r="AF345" s="26"/>
      <c r="AG345" s="26"/>
    </row>
    <row r="346" spans="1:33" ht="15.9" customHeight="1">
      <c r="A346" s="52" t="s">
        <v>64</v>
      </c>
      <c r="K346" s="115"/>
      <c r="L346" s="48"/>
      <c r="M346" s="48"/>
      <c r="N346" s="48"/>
      <c r="W346" s="49"/>
      <c r="X346" s="80" t="s">
        <v>577</v>
      </c>
      <c r="Y346" s="92">
        <f>2999.85*1.02</f>
        <v>3059.8469999999998</v>
      </c>
      <c r="Z346" s="92">
        <f>2999.85*1.02</f>
        <v>3059.8469999999998</v>
      </c>
      <c r="AA346" s="100"/>
      <c r="AB346" s="100"/>
      <c r="AC346" s="100"/>
      <c r="AD346" s="100"/>
      <c r="AE346" s="100"/>
      <c r="AF346" s="26"/>
      <c r="AG346" s="26"/>
    </row>
    <row r="347" spans="1:33" s="91" customFormat="1" ht="27.6">
      <c r="A347" s="87" t="s">
        <v>4</v>
      </c>
      <c r="B347" s="88" t="s">
        <v>5</v>
      </c>
      <c r="C347" s="88" t="s">
        <v>24</v>
      </c>
      <c r="D347" s="88" t="s">
        <v>46</v>
      </c>
      <c r="E347" s="88" t="s">
        <v>67</v>
      </c>
      <c r="F347" s="88" t="s">
        <v>6</v>
      </c>
      <c r="G347" s="88" t="s">
        <v>7</v>
      </c>
      <c r="H347" s="116" t="s">
        <v>8</v>
      </c>
      <c r="I347" s="116" t="s">
        <v>47</v>
      </c>
      <c r="J347" s="116" t="s">
        <v>9</v>
      </c>
      <c r="K347" s="116" t="s">
        <v>14</v>
      </c>
      <c r="L347" s="89" t="s">
        <v>20</v>
      </c>
      <c r="M347" s="89" t="s">
        <v>23</v>
      </c>
      <c r="N347" s="89" t="s">
        <v>21</v>
      </c>
      <c r="O347" s="136" t="s">
        <v>10</v>
      </c>
      <c r="P347" s="90" t="s">
        <v>49</v>
      </c>
      <c r="Q347" s="45" t="s">
        <v>50</v>
      </c>
      <c r="R347" s="45" t="s">
        <v>55</v>
      </c>
      <c r="S347" s="45" t="s">
        <v>504</v>
      </c>
      <c r="T347" s="45" t="s">
        <v>13</v>
      </c>
      <c r="U347" s="45" t="s">
        <v>52</v>
      </c>
      <c r="V347" s="45" t="s">
        <v>48</v>
      </c>
      <c r="W347" s="45" t="s">
        <v>15</v>
      </c>
      <c r="X347" s="50" t="s">
        <v>12</v>
      </c>
      <c r="Y347" s="160" t="s">
        <v>22</v>
      </c>
      <c r="Z347" s="50" t="s">
        <v>68</v>
      </c>
      <c r="AA347" s="100"/>
      <c r="AB347" s="100"/>
      <c r="AC347" s="100"/>
      <c r="AD347" s="100"/>
      <c r="AE347" s="100"/>
      <c r="AF347" s="26"/>
      <c r="AG347" s="26"/>
    </row>
    <row r="348" spans="1:33" s="26" customFormat="1" ht="28.2" thickBot="1">
      <c r="A348" s="165" t="s">
        <v>578</v>
      </c>
      <c r="B348" s="93" t="s">
        <v>579</v>
      </c>
      <c r="C348" s="93" t="s">
        <v>580</v>
      </c>
      <c r="D348" s="93">
        <v>148202</v>
      </c>
      <c r="E348" s="93">
        <v>103</v>
      </c>
      <c r="F348" s="93" t="s">
        <v>73</v>
      </c>
      <c r="G348" s="95">
        <v>1</v>
      </c>
      <c r="H348" s="117">
        <v>26.68</v>
      </c>
      <c r="I348" s="117">
        <v>3.83</v>
      </c>
      <c r="J348" s="117">
        <v>0.78</v>
      </c>
      <c r="K348" s="118">
        <f>H348-I348-J348</f>
        <v>22.07</v>
      </c>
      <c r="L348" s="97">
        <v>5.35</v>
      </c>
      <c r="M348" s="97" t="s">
        <v>63</v>
      </c>
      <c r="N348" s="166">
        <v>31</v>
      </c>
      <c r="O348" s="137">
        <f>8.5+2</f>
        <v>10.5</v>
      </c>
      <c r="P348" s="143">
        <v>19.170000000000002</v>
      </c>
      <c r="Q348" s="35">
        <v>200</v>
      </c>
      <c r="R348" s="35"/>
      <c r="S348" s="35">
        <f>G348*0.02*N348</f>
        <v>0.62</v>
      </c>
      <c r="T348" s="35">
        <f>G348*2</f>
        <v>2</v>
      </c>
      <c r="U348" s="35">
        <f t="shared" ref="U348" si="396">IF(RIGHT(F348,2)="WG",K348*$AB$4,IF(RIGHT(F348,3)="WRG",K348*$AB$4+3*G348,IF(RIGHT(F348,3)="WYG",K348*$AB$4+3*G348,IF(RIGHT(F348,3)="WYR",K348*$AB$4+3*G348,0))))</f>
        <v>5.2968000000000002</v>
      </c>
      <c r="V348" s="35"/>
      <c r="W348" s="35">
        <f>G348*N348*1.5</f>
        <v>46.5</v>
      </c>
      <c r="X348" s="35">
        <f t="shared" ref="X348" si="397">K348*O348</f>
        <v>231.73500000000001</v>
      </c>
      <c r="Y348" s="35">
        <f>($Y$14/31.1035*IF(LEFT(F348,3)="10K",(0.417*1.07*K348),IF(LEFT(F348,3)="14K",(0.585*1.05*K348),IF(LEFT(F348,3)="18K",(0.75*1.05*K348),0))))*0.5</f>
        <v>667.45248837132465</v>
      </c>
      <c r="Z348" s="83">
        <f>($Z$14/31.1035*IF(LEFT(F348,3)="10K",(0.417*1.07*K348),IF(LEFT(F348,3)="14K",(0.585*1.05*K348),IF(LEFT(F348,3)="18K",(0.75*1.05*K348),0))))*0.5</f>
        <v>667.45248837132465</v>
      </c>
      <c r="AA348" s="100">
        <f t="shared" si="380"/>
        <v>44.14</v>
      </c>
      <c r="AB348" s="100">
        <f t="shared" si="381"/>
        <v>442.01179999999999</v>
      </c>
      <c r="AC348" s="100">
        <f t="shared" si="382"/>
        <v>7684.3624258347836</v>
      </c>
      <c r="AD348" s="100">
        <f t="shared" si="383"/>
        <v>8126.3742258347838</v>
      </c>
      <c r="AE348" s="100">
        <f t="shared" si="384"/>
        <v>13.556497499999999</v>
      </c>
      <c r="AG348" s="26">
        <f t="shared" si="385"/>
        <v>231.73500000000001</v>
      </c>
    </row>
    <row r="349" spans="1:33" s="27" customFormat="1" ht="15.9" customHeight="1">
      <c r="A349" s="86" t="s">
        <v>66</v>
      </c>
      <c r="B349" s="63"/>
      <c r="C349" s="63"/>
      <c r="D349" s="63"/>
      <c r="E349" s="63"/>
      <c r="F349" s="63"/>
      <c r="G349" s="64">
        <f>SUM(G348:G348)</f>
        <v>1</v>
      </c>
      <c r="H349" s="119"/>
      <c r="I349" s="119"/>
      <c r="J349" s="119"/>
      <c r="K349" s="119">
        <f>SUM(K348:K348)</f>
        <v>22.07</v>
      </c>
      <c r="L349" s="65"/>
      <c r="M349" s="65"/>
      <c r="N349" s="65"/>
      <c r="O349" s="138"/>
      <c r="P349" s="101">
        <f t="shared" ref="P349:Z349" si="398">SUM(P348:P348)</f>
        <v>19.170000000000002</v>
      </c>
      <c r="Q349" s="66">
        <f t="shared" si="398"/>
        <v>200</v>
      </c>
      <c r="R349" s="66">
        <f t="shared" si="398"/>
        <v>0</v>
      </c>
      <c r="S349" s="66">
        <f t="shared" si="398"/>
        <v>0.62</v>
      </c>
      <c r="T349" s="66">
        <f t="shared" si="398"/>
        <v>2</v>
      </c>
      <c r="U349" s="66">
        <f t="shared" si="398"/>
        <v>5.2968000000000002</v>
      </c>
      <c r="V349" s="66">
        <f t="shared" si="398"/>
        <v>0</v>
      </c>
      <c r="W349" s="66">
        <f t="shared" si="398"/>
        <v>46.5</v>
      </c>
      <c r="X349" s="66">
        <f t="shared" si="398"/>
        <v>231.73500000000001</v>
      </c>
      <c r="Y349" s="66">
        <f t="shared" si="398"/>
        <v>667.45248837132465</v>
      </c>
      <c r="Z349" s="84">
        <f t="shared" si="398"/>
        <v>667.45248837132465</v>
      </c>
      <c r="AA349" s="100"/>
      <c r="AB349" s="100"/>
      <c r="AC349" s="100"/>
      <c r="AD349" s="100"/>
      <c r="AE349" s="100"/>
      <c r="AF349" s="26"/>
      <c r="AG349" s="26"/>
    </row>
    <row r="350" spans="1:33" ht="15.9" customHeight="1">
      <c r="A350" s="52" t="s">
        <v>64</v>
      </c>
      <c r="K350" s="115"/>
      <c r="L350" s="48"/>
      <c r="M350" s="48"/>
      <c r="N350" s="48"/>
      <c r="W350" s="49"/>
      <c r="X350" s="80" t="s">
        <v>581</v>
      </c>
      <c r="Y350" s="92">
        <f>2913.6*1.02</f>
        <v>2971.8719999999998</v>
      </c>
      <c r="Z350" s="92">
        <f>2913.6*1.02</f>
        <v>2971.8719999999998</v>
      </c>
      <c r="AA350" s="100"/>
      <c r="AB350" s="100"/>
      <c r="AC350" s="100"/>
      <c r="AD350" s="100"/>
      <c r="AE350" s="100"/>
      <c r="AF350" s="26"/>
      <c r="AG350" s="26"/>
    </row>
    <row r="351" spans="1:33" s="91" customFormat="1" ht="27.6">
      <c r="A351" s="87" t="s">
        <v>4</v>
      </c>
      <c r="B351" s="88" t="s">
        <v>5</v>
      </c>
      <c r="C351" s="88" t="s">
        <v>24</v>
      </c>
      <c r="D351" s="88" t="s">
        <v>46</v>
      </c>
      <c r="E351" s="88" t="s">
        <v>67</v>
      </c>
      <c r="F351" s="88" t="s">
        <v>6</v>
      </c>
      <c r="G351" s="88" t="s">
        <v>7</v>
      </c>
      <c r="H351" s="116" t="s">
        <v>8</v>
      </c>
      <c r="I351" s="116" t="s">
        <v>47</v>
      </c>
      <c r="J351" s="116" t="s">
        <v>9</v>
      </c>
      <c r="K351" s="116" t="s">
        <v>14</v>
      </c>
      <c r="L351" s="89" t="s">
        <v>20</v>
      </c>
      <c r="M351" s="89" t="s">
        <v>23</v>
      </c>
      <c r="N351" s="89" t="s">
        <v>21</v>
      </c>
      <c r="O351" s="136" t="s">
        <v>10</v>
      </c>
      <c r="P351" s="90" t="s">
        <v>49</v>
      </c>
      <c r="Q351" s="45" t="s">
        <v>50</v>
      </c>
      <c r="R351" s="45" t="s">
        <v>55</v>
      </c>
      <c r="S351" s="45" t="s">
        <v>504</v>
      </c>
      <c r="T351" s="45" t="s">
        <v>13</v>
      </c>
      <c r="U351" s="45" t="s">
        <v>52</v>
      </c>
      <c r="V351" s="45" t="s">
        <v>48</v>
      </c>
      <c r="W351" s="45" t="s">
        <v>15</v>
      </c>
      <c r="X351" s="50" t="s">
        <v>12</v>
      </c>
      <c r="Y351" s="160" t="s">
        <v>22</v>
      </c>
      <c r="Z351" s="50" t="s">
        <v>68</v>
      </c>
      <c r="AA351" s="100"/>
      <c r="AB351" s="100"/>
      <c r="AC351" s="100"/>
      <c r="AD351" s="100"/>
      <c r="AE351" s="100"/>
      <c r="AF351" s="26"/>
      <c r="AG351" s="26"/>
    </row>
    <row r="352" spans="1:33" s="26" customFormat="1" ht="27.6">
      <c r="A352" s="165" t="s">
        <v>582</v>
      </c>
      <c r="B352" s="93" t="s">
        <v>585</v>
      </c>
      <c r="C352" s="93" t="s">
        <v>586</v>
      </c>
      <c r="D352" s="93">
        <v>148213</v>
      </c>
      <c r="E352" s="93">
        <v>104</v>
      </c>
      <c r="F352" s="93" t="s">
        <v>73</v>
      </c>
      <c r="G352" s="95">
        <v>2</v>
      </c>
      <c r="H352" s="117">
        <v>7.67</v>
      </c>
      <c r="I352" s="117">
        <v>0.6</v>
      </c>
      <c r="J352" s="117">
        <v>0.64</v>
      </c>
      <c r="K352" s="118">
        <f t="shared" ref="K352:K357" si="399">H352-I352-J352</f>
        <v>6.4300000000000006</v>
      </c>
      <c r="L352" s="97">
        <v>1.6</v>
      </c>
      <c r="M352" s="97" t="s">
        <v>63</v>
      </c>
      <c r="N352" s="98">
        <v>94</v>
      </c>
      <c r="O352" s="137">
        <v>8.5</v>
      </c>
      <c r="P352" s="143">
        <v>3.04</v>
      </c>
      <c r="Q352" s="35"/>
      <c r="R352" s="35"/>
      <c r="S352" s="35">
        <f t="shared" ref="S352:S353" si="400">G352*0.02*N352</f>
        <v>3.7600000000000002</v>
      </c>
      <c r="T352" s="35">
        <f t="shared" ref="T352:T353" si="401">G352*2</f>
        <v>4</v>
      </c>
      <c r="U352" s="35">
        <f t="shared" ref="U352:U357" si="402">IF(RIGHT(F352,2)="WG",K352*$AB$4,IF(RIGHT(F352,3)="WRG",K352*$AB$4+3*G352,IF(RIGHT(F352,3)="WYG",K352*$AB$4+3*G352,IF(RIGHT(F352,3)="WYR",K352*$AB$4+3*G352,0))))</f>
        <v>1.5432000000000001</v>
      </c>
      <c r="V352" s="35"/>
      <c r="W352" s="35">
        <f t="shared" ref="W352:W353" si="403">G352*N352*0.3</f>
        <v>56.4</v>
      </c>
      <c r="X352" s="35">
        <f t="shared" ref="X352:X357" si="404">K352*O352</f>
        <v>54.655000000000008</v>
      </c>
      <c r="Y352" s="35">
        <f t="shared" ref="Y352:Y357" si="405">($Y$18/31.1035*IF(LEFT(F352,3)="10K",(0.417*1.07*K352),IF(LEFT(F352,3)="14K",(0.585*1.05*K352),IF(LEFT(F352,3)="18K",(0.75*1.05*K352),0))))*0.5</f>
        <v>198.84377966338195</v>
      </c>
      <c r="Z352" s="83">
        <f t="shared" ref="Z352:Z357" si="406">($Z$18/31.1035*IF(LEFT(F352,3)="10K",(0.417*1.07*K352),IF(LEFT(F352,3)="14K",(0.585*1.05*K352),IF(LEFT(F352,3)="18K",(0.75*1.05*K352),0))))*0.5</f>
        <v>198.84377966338195</v>
      </c>
      <c r="AA352" s="100">
        <f t="shared" si="380"/>
        <v>12.860000000000001</v>
      </c>
      <c r="AB352" s="100">
        <f t="shared" si="381"/>
        <v>107.49820000000001</v>
      </c>
      <c r="AC352" s="100">
        <f t="shared" si="382"/>
        <v>1348.182027247665</v>
      </c>
      <c r="AD352" s="100">
        <f t="shared" si="383"/>
        <v>1455.680227247665</v>
      </c>
      <c r="AE352" s="100">
        <f t="shared" si="384"/>
        <v>3.9496275000000001</v>
      </c>
      <c r="AG352" s="26">
        <f t="shared" si="385"/>
        <v>54.655000000000008</v>
      </c>
    </row>
    <row r="353" spans="1:33" s="26" customFormat="1" ht="27.6">
      <c r="A353" s="94">
        <v>2</v>
      </c>
      <c r="B353" s="93" t="s">
        <v>585</v>
      </c>
      <c r="C353" s="93" t="s">
        <v>587</v>
      </c>
      <c r="D353" s="93">
        <v>148213</v>
      </c>
      <c r="E353" s="93">
        <v>105</v>
      </c>
      <c r="F353" s="93" t="s">
        <v>74</v>
      </c>
      <c r="G353" s="95">
        <v>2</v>
      </c>
      <c r="H353" s="117">
        <v>8.41</v>
      </c>
      <c r="I353" s="117">
        <v>0.65</v>
      </c>
      <c r="J353" s="117">
        <v>0.64</v>
      </c>
      <c r="K353" s="118">
        <f t="shared" si="399"/>
        <v>7.12</v>
      </c>
      <c r="L353" s="97">
        <v>1.6</v>
      </c>
      <c r="M353" s="97" t="s">
        <v>63</v>
      </c>
      <c r="N353" s="98">
        <v>94</v>
      </c>
      <c r="O353" s="137">
        <v>8.5</v>
      </c>
      <c r="P353" s="143">
        <v>3.23</v>
      </c>
      <c r="Q353" s="35"/>
      <c r="R353" s="35"/>
      <c r="S353" s="35">
        <f t="shared" si="400"/>
        <v>3.7600000000000002</v>
      </c>
      <c r="T353" s="35">
        <f t="shared" si="401"/>
        <v>4</v>
      </c>
      <c r="U353" s="35">
        <f t="shared" si="402"/>
        <v>0</v>
      </c>
      <c r="V353" s="35"/>
      <c r="W353" s="35">
        <f t="shared" si="403"/>
        <v>56.4</v>
      </c>
      <c r="X353" s="35">
        <f t="shared" si="404"/>
        <v>60.52</v>
      </c>
      <c r="Y353" s="35">
        <f t="shared" si="405"/>
        <v>220.1816036085971</v>
      </c>
      <c r="Z353" s="83">
        <f t="shared" si="406"/>
        <v>220.1816036085971</v>
      </c>
      <c r="AA353" s="100">
        <f t="shared" si="380"/>
        <v>14.24</v>
      </c>
      <c r="AB353" s="100">
        <f t="shared" si="381"/>
        <v>110.44000000000001</v>
      </c>
      <c r="AC353" s="100">
        <f t="shared" si="382"/>
        <v>1445.1860202006442</v>
      </c>
      <c r="AD353" s="100">
        <f t="shared" si="383"/>
        <v>1555.6260202006442</v>
      </c>
      <c r="AE353" s="100">
        <f t="shared" si="384"/>
        <v>4.3734599999999997</v>
      </c>
      <c r="AG353" s="26">
        <f t="shared" si="385"/>
        <v>60.52</v>
      </c>
    </row>
    <row r="354" spans="1:33" s="26" customFormat="1" ht="27.6">
      <c r="A354" s="94">
        <v>10</v>
      </c>
      <c r="B354" s="93" t="s">
        <v>590</v>
      </c>
      <c r="C354" s="93" t="s">
        <v>591</v>
      </c>
      <c r="D354" s="93">
        <v>148213</v>
      </c>
      <c r="E354" s="93">
        <v>119</v>
      </c>
      <c r="F354" s="93" t="s">
        <v>73</v>
      </c>
      <c r="G354" s="95">
        <v>2</v>
      </c>
      <c r="H354" s="117">
        <v>14.399999999999999</v>
      </c>
      <c r="I354" s="117">
        <v>0.16</v>
      </c>
      <c r="J354" s="117">
        <v>0.64</v>
      </c>
      <c r="K354" s="118">
        <f t="shared" si="399"/>
        <v>13.599999999999998</v>
      </c>
      <c r="L354" s="97" t="s">
        <v>440</v>
      </c>
      <c r="M354" s="97" t="s">
        <v>75</v>
      </c>
      <c r="N354" s="98" t="s">
        <v>220</v>
      </c>
      <c r="O354" s="137">
        <v>8.5</v>
      </c>
      <c r="P354" s="143">
        <v>0.79</v>
      </c>
      <c r="Q354" s="35"/>
      <c r="R354" s="35"/>
      <c r="S354" s="35">
        <f>G354*0.02*(10+11)</f>
        <v>0.84</v>
      </c>
      <c r="T354" s="35">
        <f>G354*2</f>
        <v>4</v>
      </c>
      <c r="U354" s="35">
        <f t="shared" si="402"/>
        <v>3.2639999999999993</v>
      </c>
      <c r="V354" s="35"/>
      <c r="W354" s="35">
        <f>G354*(10*0.3+11*1)</f>
        <v>28</v>
      </c>
      <c r="X354" s="35">
        <f t="shared" si="404"/>
        <v>115.59999999999998</v>
      </c>
      <c r="Y354" s="35">
        <f t="shared" si="405"/>
        <v>420.57160239844382</v>
      </c>
      <c r="Z354" s="83">
        <f t="shared" si="406"/>
        <v>420.57160239844382</v>
      </c>
      <c r="AA354" s="100">
        <f t="shared" si="380"/>
        <v>27.199999999999996</v>
      </c>
      <c r="AB354" s="100">
        <f t="shared" si="381"/>
        <v>124.50399999999999</v>
      </c>
      <c r="AC354" s="100">
        <f t="shared" si="382"/>
        <v>877.9239254360707</v>
      </c>
      <c r="AD354" s="100">
        <f t="shared" si="383"/>
        <v>1002.4279254360707</v>
      </c>
      <c r="AE354" s="100">
        <f t="shared" si="384"/>
        <v>8.3537999999999979</v>
      </c>
      <c r="AG354" s="26">
        <f t="shared" si="385"/>
        <v>115.59999999999998</v>
      </c>
    </row>
    <row r="355" spans="1:33" s="26" customFormat="1" ht="27.6">
      <c r="A355" s="94">
        <v>10</v>
      </c>
      <c r="B355" s="93" t="s">
        <v>590</v>
      </c>
      <c r="C355" s="93" t="s">
        <v>592</v>
      </c>
      <c r="D355" s="93">
        <v>148213</v>
      </c>
      <c r="E355" s="93">
        <v>120</v>
      </c>
      <c r="F355" s="93" t="s">
        <v>74</v>
      </c>
      <c r="G355" s="95">
        <v>1</v>
      </c>
      <c r="H355" s="117">
        <v>7.47</v>
      </c>
      <c r="I355" s="117">
        <v>7.0000000000000007E-2</v>
      </c>
      <c r="J355" s="117">
        <v>0.32</v>
      </c>
      <c r="K355" s="118">
        <f t="shared" si="399"/>
        <v>7.0799999999999992</v>
      </c>
      <c r="L355" s="97" t="s">
        <v>440</v>
      </c>
      <c r="M355" s="97" t="s">
        <v>75</v>
      </c>
      <c r="N355" s="98" t="s">
        <v>220</v>
      </c>
      <c r="O355" s="137">
        <v>8.5</v>
      </c>
      <c r="P355" s="143">
        <v>0.37</v>
      </c>
      <c r="Q355" s="35"/>
      <c r="R355" s="35"/>
      <c r="S355" s="35">
        <f>G355*0.02*(10+11)</f>
        <v>0.42</v>
      </c>
      <c r="T355" s="35">
        <f t="shared" ref="T355:T357" si="407">G355*2</f>
        <v>2</v>
      </c>
      <c r="U355" s="35">
        <f t="shared" si="402"/>
        <v>0</v>
      </c>
      <c r="V355" s="35"/>
      <c r="W355" s="35">
        <f>G355*(10*0.3+11*1)</f>
        <v>14</v>
      </c>
      <c r="X355" s="35">
        <f t="shared" si="404"/>
        <v>60.179999999999993</v>
      </c>
      <c r="Y355" s="35">
        <f t="shared" si="405"/>
        <v>218.94462830742518</v>
      </c>
      <c r="Z355" s="83">
        <f t="shared" si="406"/>
        <v>218.94462830742518</v>
      </c>
      <c r="AA355" s="100">
        <f t="shared" si="380"/>
        <v>14.159999999999998</v>
      </c>
      <c r="AB355" s="100">
        <f t="shared" si="381"/>
        <v>62.44</v>
      </c>
      <c r="AC355" s="100">
        <f t="shared" si="382"/>
        <v>442.59681469790655</v>
      </c>
      <c r="AD355" s="100">
        <f t="shared" si="383"/>
        <v>505.03681469790655</v>
      </c>
      <c r="AE355" s="100">
        <f t="shared" si="384"/>
        <v>4.348889999999999</v>
      </c>
      <c r="AG355" s="26">
        <f t="shared" si="385"/>
        <v>60.179999999999993</v>
      </c>
    </row>
    <row r="356" spans="1:33" s="26" customFormat="1" ht="27.6">
      <c r="A356" s="94">
        <v>11</v>
      </c>
      <c r="B356" s="93" t="s">
        <v>97</v>
      </c>
      <c r="C356" s="93" t="s">
        <v>294</v>
      </c>
      <c r="D356" s="93">
        <v>148213</v>
      </c>
      <c r="E356" s="93">
        <v>122</v>
      </c>
      <c r="F356" s="93" t="s">
        <v>73</v>
      </c>
      <c r="G356" s="95">
        <v>2</v>
      </c>
      <c r="H356" s="117">
        <v>12.879999999999999</v>
      </c>
      <c r="I356" s="117">
        <v>0.08</v>
      </c>
      <c r="J356" s="117">
        <v>0.64</v>
      </c>
      <c r="K356" s="118">
        <f t="shared" si="399"/>
        <v>12.159999999999998</v>
      </c>
      <c r="L356" s="97">
        <v>1.5</v>
      </c>
      <c r="M356" s="97" t="s">
        <v>63</v>
      </c>
      <c r="N356" s="98">
        <v>13</v>
      </c>
      <c r="O356" s="137">
        <v>9.5</v>
      </c>
      <c r="P356" s="143">
        <v>0.36</v>
      </c>
      <c r="Q356" s="35"/>
      <c r="R356" s="35"/>
      <c r="S356" s="35">
        <f>G356*0.02*N356</f>
        <v>0.52</v>
      </c>
      <c r="T356" s="35">
        <f t="shared" si="407"/>
        <v>4</v>
      </c>
      <c r="U356" s="35">
        <f t="shared" si="402"/>
        <v>2.9183999999999997</v>
      </c>
      <c r="V356" s="35"/>
      <c r="W356" s="35">
        <f>G356*N356*0.3</f>
        <v>7.8</v>
      </c>
      <c r="X356" s="35">
        <f t="shared" si="404"/>
        <v>115.51999999999998</v>
      </c>
      <c r="Y356" s="35">
        <f t="shared" si="405"/>
        <v>376.04049155625569</v>
      </c>
      <c r="Z356" s="83">
        <f t="shared" si="406"/>
        <v>376.04049155625569</v>
      </c>
      <c r="AA356" s="100">
        <f t="shared" si="380"/>
        <v>24.319999999999997</v>
      </c>
      <c r="AB356" s="100">
        <f t="shared" si="381"/>
        <v>106.4384</v>
      </c>
      <c r="AC356" s="100">
        <f t="shared" si="382"/>
        <v>663.76552348985501</v>
      </c>
      <c r="AD356" s="100">
        <f t="shared" si="383"/>
        <v>770.20392348985501</v>
      </c>
      <c r="AE356" s="100">
        <f t="shared" si="384"/>
        <v>7.4692799999999986</v>
      </c>
      <c r="AG356" s="26">
        <f t="shared" si="385"/>
        <v>115.51999999999998</v>
      </c>
    </row>
    <row r="357" spans="1:33" s="26" customFormat="1" ht="28.2" thickBot="1">
      <c r="A357" s="94">
        <v>11</v>
      </c>
      <c r="B357" s="93" t="s">
        <v>97</v>
      </c>
      <c r="C357" s="93" t="s">
        <v>436</v>
      </c>
      <c r="D357" s="93">
        <v>148213</v>
      </c>
      <c r="E357" s="93">
        <v>121</v>
      </c>
      <c r="F357" s="93" t="s">
        <v>159</v>
      </c>
      <c r="G357" s="95">
        <v>2</v>
      </c>
      <c r="H357" s="117">
        <v>12.73</v>
      </c>
      <c r="I357" s="117">
        <v>0.06</v>
      </c>
      <c r="J357" s="117">
        <v>0.64</v>
      </c>
      <c r="K357" s="118">
        <f t="shared" si="399"/>
        <v>12.03</v>
      </c>
      <c r="L357" s="97">
        <v>1.5</v>
      </c>
      <c r="M357" s="97" t="s">
        <v>63</v>
      </c>
      <c r="N357" s="98">
        <v>13</v>
      </c>
      <c r="O357" s="137">
        <v>9.5</v>
      </c>
      <c r="P357" s="143">
        <v>0.34</v>
      </c>
      <c r="Q357" s="35"/>
      <c r="R357" s="35"/>
      <c r="S357" s="35">
        <f>G357*0.02*N357</f>
        <v>0.52</v>
      </c>
      <c r="T357" s="35">
        <f t="shared" si="407"/>
        <v>4</v>
      </c>
      <c r="U357" s="35">
        <f t="shared" si="402"/>
        <v>0</v>
      </c>
      <c r="V357" s="35"/>
      <c r="W357" s="35">
        <f>G357*N357*0.3</f>
        <v>7.8</v>
      </c>
      <c r="X357" s="35">
        <f t="shared" si="404"/>
        <v>114.285</v>
      </c>
      <c r="Y357" s="35">
        <f t="shared" si="405"/>
        <v>372.02032182744705</v>
      </c>
      <c r="Z357" s="83">
        <f t="shared" si="406"/>
        <v>372.02032182744705</v>
      </c>
      <c r="AA357" s="100">
        <f t="shared" si="380"/>
        <v>24.06</v>
      </c>
      <c r="AB357" s="100">
        <f t="shared" si="381"/>
        <v>102.54499999999999</v>
      </c>
      <c r="AC357" s="100">
        <f t="shared" si="382"/>
        <v>651.01740107375201</v>
      </c>
      <c r="AD357" s="100">
        <f t="shared" si="383"/>
        <v>753.56240107375197</v>
      </c>
      <c r="AE357" s="100">
        <f t="shared" si="384"/>
        <v>7.3894274999999991</v>
      </c>
      <c r="AG357" s="26">
        <f t="shared" si="385"/>
        <v>114.285</v>
      </c>
    </row>
    <row r="358" spans="1:33" s="27" customFormat="1" ht="15.9" customHeight="1">
      <c r="A358" s="86" t="s">
        <v>66</v>
      </c>
      <c r="B358" s="63"/>
      <c r="C358" s="63"/>
      <c r="D358" s="63"/>
      <c r="E358" s="63"/>
      <c r="F358" s="63"/>
      <c r="G358" s="64">
        <f>SUM(G352:G357)</f>
        <v>11</v>
      </c>
      <c r="H358" s="119"/>
      <c r="I358" s="119"/>
      <c r="J358" s="119"/>
      <c r="K358" s="119">
        <f>SUM(K352:K357)</f>
        <v>58.419999999999995</v>
      </c>
      <c r="L358" s="65"/>
      <c r="M358" s="65"/>
      <c r="N358" s="65"/>
      <c r="O358" s="138"/>
      <c r="P358" s="101">
        <f>SUM(P352:P357)</f>
        <v>8.1300000000000008</v>
      </c>
      <c r="Q358" s="66">
        <f>SUM(Q352:Q357)</f>
        <v>0</v>
      </c>
      <c r="R358" s="66">
        <f>SUM(R352:R357)</f>
        <v>0</v>
      </c>
      <c r="S358" s="66">
        <f>SUM(S352:S357)</f>
        <v>9.82</v>
      </c>
      <c r="T358" s="66">
        <f>SUM(T352:T357)</f>
        <v>22</v>
      </c>
      <c r="U358" s="66">
        <f>SUM(U352:U357)</f>
        <v>7.7256</v>
      </c>
      <c r="V358" s="66">
        <f>SUM(V352:V357)</f>
        <v>0</v>
      </c>
      <c r="W358" s="66">
        <f>SUM(W352:W357)</f>
        <v>170.40000000000003</v>
      </c>
      <c r="X358" s="66">
        <f>SUM(X352:X357)</f>
        <v>520.76</v>
      </c>
      <c r="Y358" s="66">
        <f>SUM(Y352:Y357)</f>
        <v>1806.602427361551</v>
      </c>
      <c r="Z358" s="84">
        <f>SUM(Z352:Z357)</f>
        <v>1806.602427361551</v>
      </c>
      <c r="AA358" s="100"/>
      <c r="AB358" s="100"/>
      <c r="AC358" s="100"/>
      <c r="AD358" s="100"/>
      <c r="AE358" s="100"/>
      <c r="AF358" s="26"/>
      <c r="AG358" s="26"/>
    </row>
    <row r="359" spans="1:33" ht="15.9" customHeight="1">
      <c r="A359" s="52" t="s">
        <v>64</v>
      </c>
      <c r="K359" s="115"/>
      <c r="L359" s="48"/>
      <c r="M359" s="48"/>
      <c r="N359" s="48"/>
      <c r="W359" s="49"/>
      <c r="X359" s="80" t="s">
        <v>581</v>
      </c>
      <c r="Y359" s="92">
        <f>2913.6*1.02</f>
        <v>2971.8719999999998</v>
      </c>
      <c r="Z359" s="92">
        <f>2913.6*1.02</f>
        <v>2971.8719999999998</v>
      </c>
      <c r="AA359" s="100"/>
      <c r="AB359" s="100"/>
      <c r="AC359" s="100"/>
      <c r="AD359" s="100"/>
      <c r="AE359" s="100"/>
      <c r="AF359" s="26"/>
      <c r="AG359" s="26"/>
    </row>
    <row r="360" spans="1:33" s="91" customFormat="1" ht="27.6">
      <c r="A360" s="87" t="s">
        <v>4</v>
      </c>
      <c r="B360" s="88" t="s">
        <v>5</v>
      </c>
      <c r="C360" s="88" t="s">
        <v>24</v>
      </c>
      <c r="D360" s="88" t="s">
        <v>46</v>
      </c>
      <c r="E360" s="88" t="s">
        <v>67</v>
      </c>
      <c r="F360" s="88" t="s">
        <v>6</v>
      </c>
      <c r="G360" s="88" t="s">
        <v>7</v>
      </c>
      <c r="H360" s="116" t="s">
        <v>8</v>
      </c>
      <c r="I360" s="116" t="s">
        <v>47</v>
      </c>
      <c r="J360" s="116" t="s">
        <v>9</v>
      </c>
      <c r="K360" s="116" t="s">
        <v>14</v>
      </c>
      <c r="L360" s="89" t="s">
        <v>20</v>
      </c>
      <c r="M360" s="89" t="s">
        <v>23</v>
      </c>
      <c r="N360" s="89" t="s">
        <v>21</v>
      </c>
      <c r="O360" s="136" t="s">
        <v>10</v>
      </c>
      <c r="P360" s="90" t="s">
        <v>49</v>
      </c>
      <c r="Q360" s="45" t="s">
        <v>50</v>
      </c>
      <c r="R360" s="45" t="s">
        <v>55</v>
      </c>
      <c r="S360" s="45" t="s">
        <v>504</v>
      </c>
      <c r="T360" s="45" t="s">
        <v>13</v>
      </c>
      <c r="U360" s="45" t="s">
        <v>52</v>
      </c>
      <c r="V360" s="45" t="s">
        <v>48</v>
      </c>
      <c r="W360" s="45" t="s">
        <v>15</v>
      </c>
      <c r="X360" s="50" t="s">
        <v>12</v>
      </c>
      <c r="Y360" s="160" t="s">
        <v>22</v>
      </c>
      <c r="Z360" s="50" t="s">
        <v>68</v>
      </c>
      <c r="AA360" s="100"/>
      <c r="AB360" s="100"/>
      <c r="AC360" s="100"/>
      <c r="AD360" s="100"/>
      <c r="AE360" s="100"/>
      <c r="AF360" s="26"/>
      <c r="AG360" s="26"/>
    </row>
    <row r="361" spans="1:33" s="26" customFormat="1" ht="28.2" thickBot="1">
      <c r="A361" s="165" t="s">
        <v>593</v>
      </c>
      <c r="B361" s="93" t="s">
        <v>408</v>
      </c>
      <c r="C361" s="93" t="s">
        <v>596</v>
      </c>
      <c r="D361" s="93">
        <v>148214</v>
      </c>
      <c r="E361" s="93">
        <v>126</v>
      </c>
      <c r="F361" s="93" t="s">
        <v>73</v>
      </c>
      <c r="G361" s="167">
        <v>7</v>
      </c>
      <c r="H361" s="168">
        <v>34.190000000000005</v>
      </c>
      <c r="I361" s="168">
        <v>0.76</v>
      </c>
      <c r="J361" s="168">
        <v>1.2599999999999998</v>
      </c>
      <c r="K361" s="169">
        <f t="shared" ref="K361" si="408">H361-I361-J361</f>
        <v>32.170000000000009</v>
      </c>
      <c r="L361" s="97">
        <v>2.2999999999999998</v>
      </c>
      <c r="M361" s="97" t="s">
        <v>63</v>
      </c>
      <c r="N361" s="98">
        <v>11</v>
      </c>
      <c r="O361" s="137">
        <v>11</v>
      </c>
      <c r="P361" s="143">
        <v>3.76</v>
      </c>
      <c r="Q361" s="35"/>
      <c r="R361" s="35"/>
      <c r="S361" s="35">
        <f>G361*0.02*N361</f>
        <v>1.54</v>
      </c>
      <c r="T361" s="35">
        <f>G361*3</f>
        <v>21</v>
      </c>
      <c r="U361" s="35">
        <f t="shared" ref="U361" si="409">IF(RIGHT(F361,2)="WG",K361*$AB$4,IF(RIGHT(F361,3)="WRG",K361*$AB$4+3*G361,IF(RIGHT(F361,3)="WYG",K361*$AB$4+3*G361,IF(RIGHT(F361,3)="WYR",K361*$AB$4+3*G361,0))))</f>
        <v>7.7208000000000014</v>
      </c>
      <c r="V361" s="35"/>
      <c r="W361" s="35">
        <f t="shared" ref="W361" si="410">G361*N361*0.3</f>
        <v>23.099999999999998</v>
      </c>
      <c r="X361" s="35">
        <f t="shared" ref="X361" si="411">K361*O361</f>
        <v>353.87000000000012</v>
      </c>
      <c r="Y361" s="35">
        <f t="shared" ref="Y361" si="412">($Y$43/31.1035*IF(LEFT(F361,3)="10K",(0.417*1.07*K361),IF(LEFT(F361,3)="14K",(0.585*1.05*K361),IF(LEFT(F361,3)="18K",(0.75*1.05*K361),0))))*0.5</f>
        <v>1041.2840832311881</v>
      </c>
      <c r="Z361" s="83">
        <f t="shared" ref="Z361" si="413">($Z$43/31.1035*IF(LEFT(F361,3)="10K",(0.417*1.07*K361),IF(LEFT(F361,3)="14K",(0.585*1.05*K361),IF(LEFT(F361,3)="18K",(0.75*1.05*K361),0))))*0.5</f>
        <v>1041.2840832311881</v>
      </c>
      <c r="AA361" s="100">
        <f t="shared" ref="AA361" si="414">2*K361</f>
        <v>64.340000000000018</v>
      </c>
      <c r="AB361" s="100">
        <f t="shared" ref="AB361" si="415">(SUM(Q361:W361)+AG361)-AA361</f>
        <v>342.89080000000007</v>
      </c>
      <c r="AC361" s="100">
        <f t="shared" ref="AC361" si="416">AE361*$AC$13+P361*$AC$14</f>
        <v>2738.5139942273754</v>
      </c>
      <c r="AD361" s="100">
        <f t="shared" ref="AD361" si="417">SUM(AB361:AC361)</f>
        <v>3081.4047942273755</v>
      </c>
      <c r="AE361" s="100">
        <f t="shared" ref="AE361" si="418">IF(LEFT(F361,3)="10K",(0.417*1.07*K361),IF(LEFT(F361,3)="14K",(0.585*1.05*K361),IF(LEFT(F361,3)="18K",(0.75*1.05*K361),0)))</f>
        <v>19.760422500000004</v>
      </c>
      <c r="AG361" s="26">
        <f t="shared" ref="AG361" si="419">IF(AF361&gt;0,AF361*K361,X361)</f>
        <v>353.87000000000012</v>
      </c>
    </row>
    <row r="362" spans="1:33" s="27" customFormat="1" ht="15.9" customHeight="1">
      <c r="A362" s="86" t="s">
        <v>66</v>
      </c>
      <c r="B362" s="63"/>
      <c r="C362" s="63"/>
      <c r="D362" s="63"/>
      <c r="E362" s="63"/>
      <c r="F362" s="63"/>
      <c r="G362" s="170">
        <f>SUM(G361:G361)</f>
        <v>7</v>
      </c>
      <c r="H362" s="171"/>
      <c r="I362" s="171"/>
      <c r="J362" s="171"/>
      <c r="K362" s="171">
        <f>SUM(K361:K361)</f>
        <v>32.170000000000009</v>
      </c>
      <c r="L362" s="65"/>
      <c r="M362" s="65"/>
      <c r="N362" s="65"/>
      <c r="O362" s="138"/>
      <c r="P362" s="101">
        <f t="shared" ref="P362:Z362" si="420">SUM(P361:P361)</f>
        <v>3.76</v>
      </c>
      <c r="Q362" s="66">
        <f t="shared" si="420"/>
        <v>0</v>
      </c>
      <c r="R362" s="66">
        <f t="shared" si="420"/>
        <v>0</v>
      </c>
      <c r="S362" s="66">
        <f t="shared" si="420"/>
        <v>1.54</v>
      </c>
      <c r="T362" s="66">
        <f t="shared" si="420"/>
        <v>21</v>
      </c>
      <c r="U362" s="66">
        <f t="shared" si="420"/>
        <v>7.7208000000000014</v>
      </c>
      <c r="V362" s="66">
        <f t="shared" si="420"/>
        <v>0</v>
      </c>
      <c r="W362" s="66">
        <f t="shared" si="420"/>
        <v>23.099999999999998</v>
      </c>
      <c r="X362" s="66">
        <f t="shared" si="420"/>
        <v>353.87000000000012</v>
      </c>
      <c r="Y362" s="66">
        <f t="shared" si="420"/>
        <v>1041.2840832311881</v>
      </c>
      <c r="Z362" s="84">
        <f t="shared" si="420"/>
        <v>1041.2840832311881</v>
      </c>
      <c r="AA362" s="100"/>
      <c r="AB362" s="100"/>
      <c r="AC362" s="100"/>
      <c r="AD362" s="100"/>
      <c r="AE362" s="100"/>
      <c r="AF362" s="26"/>
      <c r="AG362" s="26"/>
    </row>
    <row r="363" spans="1:33" ht="15.9" customHeight="1">
      <c r="A363" s="52" t="s">
        <v>64</v>
      </c>
      <c r="K363" s="115"/>
      <c r="L363" s="48"/>
      <c r="M363" s="48"/>
      <c r="N363" s="48"/>
      <c r="W363" s="49"/>
      <c r="X363" s="80" t="s">
        <v>581</v>
      </c>
      <c r="Y363" s="92">
        <f>2913.6*1.02</f>
        <v>2971.8719999999998</v>
      </c>
      <c r="Z363" s="92">
        <f>2913.6*1.02</f>
        <v>2971.8719999999998</v>
      </c>
      <c r="AA363" s="100"/>
      <c r="AB363" s="100"/>
      <c r="AC363" s="100"/>
      <c r="AD363" s="100"/>
      <c r="AE363" s="100"/>
      <c r="AF363" s="26"/>
      <c r="AG363" s="26"/>
    </row>
    <row r="364" spans="1:33" s="91" customFormat="1" ht="27.6">
      <c r="A364" s="87" t="s">
        <v>4</v>
      </c>
      <c r="B364" s="88" t="s">
        <v>5</v>
      </c>
      <c r="C364" s="88" t="s">
        <v>24</v>
      </c>
      <c r="D364" s="88" t="s">
        <v>46</v>
      </c>
      <c r="E364" s="88" t="s">
        <v>67</v>
      </c>
      <c r="F364" s="88" t="s">
        <v>6</v>
      </c>
      <c r="G364" s="88" t="s">
        <v>7</v>
      </c>
      <c r="H364" s="116" t="s">
        <v>8</v>
      </c>
      <c r="I364" s="116" t="s">
        <v>47</v>
      </c>
      <c r="J364" s="116" t="s">
        <v>9</v>
      </c>
      <c r="K364" s="116" t="s">
        <v>14</v>
      </c>
      <c r="L364" s="89" t="s">
        <v>20</v>
      </c>
      <c r="M364" s="89" t="s">
        <v>23</v>
      </c>
      <c r="N364" s="89" t="s">
        <v>21</v>
      </c>
      <c r="O364" s="136" t="s">
        <v>10</v>
      </c>
      <c r="P364" s="90" t="s">
        <v>49</v>
      </c>
      <c r="Q364" s="45" t="s">
        <v>50</v>
      </c>
      <c r="R364" s="45" t="s">
        <v>55</v>
      </c>
      <c r="S364" s="45" t="s">
        <v>504</v>
      </c>
      <c r="T364" s="45" t="s">
        <v>13</v>
      </c>
      <c r="U364" s="45" t="s">
        <v>52</v>
      </c>
      <c r="V364" s="45" t="s">
        <v>48</v>
      </c>
      <c r="W364" s="45" t="s">
        <v>15</v>
      </c>
      <c r="X364" s="50" t="s">
        <v>12</v>
      </c>
      <c r="Y364" s="160" t="s">
        <v>22</v>
      </c>
      <c r="Z364" s="50" t="s">
        <v>68</v>
      </c>
      <c r="AA364" s="100"/>
      <c r="AB364" s="100"/>
      <c r="AC364" s="100"/>
      <c r="AD364" s="100"/>
      <c r="AE364" s="100"/>
      <c r="AF364" s="26"/>
      <c r="AG364" s="26"/>
    </row>
    <row r="365" spans="1:33" s="26" customFormat="1" ht="28.2" thickBot="1">
      <c r="A365" s="94" t="s">
        <v>599</v>
      </c>
      <c r="B365" s="93" t="s">
        <v>600</v>
      </c>
      <c r="C365" s="93" t="s">
        <v>601</v>
      </c>
      <c r="D365" s="93">
        <v>148189</v>
      </c>
      <c r="E365" s="93">
        <v>165</v>
      </c>
      <c r="F365" s="93" t="s">
        <v>73</v>
      </c>
      <c r="G365" s="167">
        <v>1</v>
      </c>
      <c r="H365" s="168">
        <v>5.79</v>
      </c>
      <c r="I365" s="168">
        <v>0.17</v>
      </c>
      <c r="J365" s="168">
        <v>0.28000000000000003</v>
      </c>
      <c r="K365" s="169">
        <f t="shared" ref="K365" si="421">H365-I365-J365</f>
        <v>5.34</v>
      </c>
      <c r="L365" s="97">
        <v>1.5</v>
      </c>
      <c r="M365" s="97" t="s">
        <v>63</v>
      </c>
      <c r="N365" s="98">
        <v>57</v>
      </c>
      <c r="O365" s="137">
        <v>8.5</v>
      </c>
      <c r="P365" s="143">
        <v>0.84</v>
      </c>
      <c r="Q365" s="35"/>
      <c r="R365" s="35"/>
      <c r="S365" s="35">
        <f t="shared" ref="S365" si="422">G365*0.02*N365</f>
        <v>1.1400000000000001</v>
      </c>
      <c r="T365" s="35">
        <f t="shared" ref="T365" si="423">G365*2</f>
        <v>2</v>
      </c>
      <c r="U365" s="35">
        <f t="shared" ref="U365" si="424">IF(RIGHT(F365,2)="WG",K365*$AB$4,IF(RIGHT(F365,3)="WRG",K365*$AB$4+3*G365,IF(RIGHT(F365,3)="WYG",K365*$AB$4+3*G365,IF(RIGHT(F365,3)="WYR",K365*$AB$4+3*G365,0))))</f>
        <v>1.2815999999999999</v>
      </c>
      <c r="V365" s="35"/>
      <c r="W365" s="35">
        <f t="shared" ref="W365" si="425">G365*N365*0.3</f>
        <v>17.099999999999998</v>
      </c>
      <c r="X365" s="35">
        <f t="shared" ref="X365" si="426">K365*O365</f>
        <v>45.39</v>
      </c>
      <c r="Y365" s="35">
        <f t="shared" ref="Y365" si="427">($Y$14/31.1035*IF(LEFT(F365,3)="10K",(0.417*1.07*K365),IF(LEFT(F365,3)="14K",(0.585*1.05*K365),IF(LEFT(F365,3)="18K",(0.75*1.05*K365),0))))*0.5</f>
        <v>161.4950742139952</v>
      </c>
      <c r="Z365" s="83">
        <f t="shared" ref="Z365" si="428">($Z$14/31.1035*IF(LEFT(F365,3)="10K",(0.417*1.07*K365),IF(LEFT(F365,3)="14K",(0.585*1.05*K365),IF(LEFT(F365,3)="18K",(0.75*1.05*K365),0))))*0.5</f>
        <v>161.4950742139952</v>
      </c>
      <c r="AA365" s="100">
        <f t="shared" ref="AA365:AA369" si="429">2*K365</f>
        <v>10.68</v>
      </c>
      <c r="AB365" s="100">
        <f t="shared" ref="AB365:AB369" si="430">(SUM(Q365:W365)+AG365)-AA365</f>
        <v>56.231599999999993</v>
      </c>
      <c r="AC365" s="100">
        <f t="shared" ref="AC365:AC369" si="431">AE365*$AC$13+P365*$AC$14</f>
        <v>530.11402147632839</v>
      </c>
      <c r="AD365" s="100">
        <f t="shared" ref="AD365:AD369" si="432">SUM(AB365:AC365)</f>
        <v>586.34562147632835</v>
      </c>
      <c r="AE365" s="100">
        <f t="shared" ref="AE365:AE369" si="433">IF(LEFT(F365,3)="10K",(0.417*1.07*K365),IF(LEFT(F365,3)="14K",(0.585*1.05*K365),IF(LEFT(F365,3)="18K",(0.75*1.05*K365),0)))</f>
        <v>3.2800949999999998</v>
      </c>
      <c r="AG365" s="26">
        <f t="shared" ref="AG365:AG369" si="434">IF(AF365&gt;0,AF365*K365,X365)</f>
        <v>45.39</v>
      </c>
    </row>
    <row r="366" spans="1:33" s="27" customFormat="1" ht="15.9" customHeight="1">
      <c r="A366" s="86" t="s">
        <v>66</v>
      </c>
      <c r="B366" s="63"/>
      <c r="C366" s="63"/>
      <c r="D366" s="63"/>
      <c r="E366" s="63"/>
      <c r="F366" s="63"/>
      <c r="G366" s="170">
        <f>SUM(G365:G365)</f>
        <v>1</v>
      </c>
      <c r="H366" s="171"/>
      <c r="I366" s="171"/>
      <c r="J366" s="171"/>
      <c r="K366" s="171">
        <f>SUM(K365:K365)</f>
        <v>5.34</v>
      </c>
      <c r="L366" s="65"/>
      <c r="M366" s="65"/>
      <c r="N366" s="65"/>
      <c r="O366" s="138"/>
      <c r="P366" s="101">
        <f t="shared" ref="P366:Z366" si="435">SUM(P365:P365)</f>
        <v>0.84</v>
      </c>
      <c r="Q366" s="66">
        <f t="shared" si="435"/>
        <v>0</v>
      </c>
      <c r="R366" s="66">
        <f t="shared" si="435"/>
        <v>0</v>
      </c>
      <c r="S366" s="66">
        <f t="shared" si="435"/>
        <v>1.1400000000000001</v>
      </c>
      <c r="T366" s="66">
        <f t="shared" si="435"/>
        <v>2</v>
      </c>
      <c r="U366" s="66">
        <f t="shared" si="435"/>
        <v>1.2815999999999999</v>
      </c>
      <c r="V366" s="66">
        <f t="shared" si="435"/>
        <v>0</v>
      </c>
      <c r="W366" s="66">
        <f t="shared" si="435"/>
        <v>17.099999999999998</v>
      </c>
      <c r="X366" s="66">
        <f t="shared" si="435"/>
        <v>45.39</v>
      </c>
      <c r="Y366" s="66">
        <f t="shared" si="435"/>
        <v>161.4950742139952</v>
      </c>
      <c r="Z366" s="84">
        <f t="shared" si="435"/>
        <v>161.4950742139952</v>
      </c>
      <c r="AA366" s="100"/>
      <c r="AB366" s="100"/>
      <c r="AC366" s="100"/>
      <c r="AD366" s="100"/>
      <c r="AE366" s="100"/>
      <c r="AF366" s="26"/>
      <c r="AG366" s="26"/>
    </row>
    <row r="367" spans="1:33" ht="15.9" customHeight="1">
      <c r="A367" s="52" t="s">
        <v>64</v>
      </c>
      <c r="K367" s="115"/>
      <c r="L367" s="48"/>
      <c r="M367" s="48"/>
      <c r="N367" s="48"/>
      <c r="W367" s="49"/>
      <c r="X367" s="80" t="s">
        <v>602</v>
      </c>
      <c r="Y367" s="92">
        <f>3021.7*1.02</f>
        <v>3082.134</v>
      </c>
      <c r="Z367" s="92">
        <f>3021.7*1.02</f>
        <v>3082.134</v>
      </c>
      <c r="AA367" s="100"/>
      <c r="AB367" s="100"/>
      <c r="AC367" s="100"/>
      <c r="AD367" s="100"/>
      <c r="AE367" s="100"/>
      <c r="AF367" s="26"/>
      <c r="AG367" s="26"/>
    </row>
    <row r="368" spans="1:33" s="91" customFormat="1" ht="27.6">
      <c r="A368" s="87" t="s">
        <v>4</v>
      </c>
      <c r="B368" s="88" t="s">
        <v>5</v>
      </c>
      <c r="C368" s="88" t="s">
        <v>24</v>
      </c>
      <c r="D368" s="88" t="s">
        <v>46</v>
      </c>
      <c r="E368" s="88" t="s">
        <v>67</v>
      </c>
      <c r="F368" s="88" t="s">
        <v>6</v>
      </c>
      <c r="G368" s="88" t="s">
        <v>7</v>
      </c>
      <c r="H368" s="116" t="s">
        <v>8</v>
      </c>
      <c r="I368" s="116" t="s">
        <v>47</v>
      </c>
      <c r="J368" s="116" t="s">
        <v>9</v>
      </c>
      <c r="K368" s="116" t="s">
        <v>14</v>
      </c>
      <c r="L368" s="89" t="s">
        <v>20</v>
      </c>
      <c r="M368" s="89" t="s">
        <v>23</v>
      </c>
      <c r="N368" s="89" t="s">
        <v>21</v>
      </c>
      <c r="O368" s="136" t="s">
        <v>10</v>
      </c>
      <c r="P368" s="90" t="s">
        <v>49</v>
      </c>
      <c r="Q368" s="45" t="s">
        <v>50</v>
      </c>
      <c r="R368" s="45" t="s">
        <v>55</v>
      </c>
      <c r="S368" s="45" t="s">
        <v>504</v>
      </c>
      <c r="T368" s="45" t="s">
        <v>13</v>
      </c>
      <c r="U368" s="45" t="s">
        <v>52</v>
      </c>
      <c r="V368" s="45" t="s">
        <v>48</v>
      </c>
      <c r="W368" s="45" t="s">
        <v>15</v>
      </c>
      <c r="X368" s="50" t="s">
        <v>12</v>
      </c>
      <c r="Y368" s="160" t="s">
        <v>22</v>
      </c>
      <c r="Z368" s="50" t="s">
        <v>68</v>
      </c>
      <c r="AA368" s="100"/>
      <c r="AB368" s="100"/>
      <c r="AC368" s="100"/>
      <c r="AD368" s="100"/>
      <c r="AE368" s="100"/>
      <c r="AF368" s="26"/>
      <c r="AG368" s="26"/>
    </row>
    <row r="369" spans="1:33" s="26" customFormat="1" ht="28.2" thickBot="1">
      <c r="A369" s="94" t="s">
        <v>603</v>
      </c>
      <c r="B369" s="96" t="s">
        <v>605</v>
      </c>
      <c r="C369" s="93" t="s">
        <v>606</v>
      </c>
      <c r="D369" s="93">
        <v>148198</v>
      </c>
      <c r="E369" s="93">
        <v>107</v>
      </c>
      <c r="F369" s="93" t="s">
        <v>73</v>
      </c>
      <c r="G369" s="167">
        <v>1</v>
      </c>
      <c r="H369" s="168">
        <v>18.78</v>
      </c>
      <c r="I369" s="168">
        <v>0.94</v>
      </c>
      <c r="J369" s="168">
        <v>0.34</v>
      </c>
      <c r="K369" s="169">
        <f t="shared" ref="K369" si="436">H369-I369-J369</f>
        <v>17.5</v>
      </c>
      <c r="L369" s="97">
        <v>2.75</v>
      </c>
      <c r="M369" s="97" t="s">
        <v>63</v>
      </c>
      <c r="N369" s="98">
        <v>60</v>
      </c>
      <c r="O369" s="137">
        <f>11+2</f>
        <v>13</v>
      </c>
      <c r="P369" s="143">
        <v>4.7</v>
      </c>
      <c r="Q369" s="35"/>
      <c r="R369" s="35"/>
      <c r="S369" s="35">
        <f t="shared" ref="S369" si="437">G369*0.02*N369</f>
        <v>1.2</v>
      </c>
      <c r="T369" s="35">
        <f t="shared" ref="T369" si="438">G369*8</f>
        <v>8</v>
      </c>
      <c r="U369" s="35">
        <f t="shared" ref="U369" si="439">IF(RIGHT(F369,2)="WG",K369*$AB$4,IF(RIGHT(F369,3)="WRG",K369*$AB$4+3*G369,IF(RIGHT(F369,3)="WYG",K369*$AB$4+3*G369,IF(RIGHT(F369,3)="WYR",K369*$AB$4+3*G369,0))))</f>
        <v>4.2</v>
      </c>
      <c r="V369" s="35"/>
      <c r="W369" s="35">
        <f t="shared" ref="W369" si="440">G369*N369*0.5</f>
        <v>30</v>
      </c>
      <c r="X369" s="35">
        <f t="shared" ref="X369" si="441">K369*O369</f>
        <v>227.5</v>
      </c>
      <c r="Y369" s="35">
        <f t="shared" ref="Y369" si="442">($Y$84/31.1035*IF(LEFT(F369,3)="10K",(0.417*1.07*K369),IF(LEFT(F369,3)="14K",(0.585*1.05*K369),IF(LEFT(F369,3)="18K",(0.75*1.05*K369),0))))*0.5</f>
        <v>36.024001477943649</v>
      </c>
      <c r="Z369" s="83">
        <f t="shared" ref="Z369" si="443">($Z$84/31.1035*IF(LEFT(F369,3)="10K",(0.417*1.07*K369),IF(LEFT(F369,3)="14K",(0.585*1.05*K369),IF(LEFT(F369,3)="18K",(0.75*1.05*K369),0))))*0.5</f>
        <v>36.024001477943649</v>
      </c>
      <c r="AA369" s="100">
        <f t="shared" si="429"/>
        <v>35</v>
      </c>
      <c r="AB369" s="100">
        <f t="shared" si="430"/>
        <v>235.89999999999998</v>
      </c>
      <c r="AC369" s="100">
        <f t="shared" si="431"/>
        <v>2418.659467784219</v>
      </c>
      <c r="AD369" s="100">
        <f t="shared" si="432"/>
        <v>2654.5594677842191</v>
      </c>
      <c r="AE369" s="100">
        <f t="shared" si="433"/>
        <v>10.749374999999999</v>
      </c>
      <c r="AG369" s="26">
        <f t="shared" si="434"/>
        <v>227.5</v>
      </c>
    </row>
    <row r="370" spans="1:33" s="27" customFormat="1" ht="15.9" customHeight="1">
      <c r="A370" s="86" t="s">
        <v>66</v>
      </c>
      <c r="B370" s="63"/>
      <c r="C370" s="63"/>
      <c r="D370" s="63"/>
      <c r="E370" s="63"/>
      <c r="F370" s="63"/>
      <c r="G370" s="170">
        <f>SUM(G369:G369)</f>
        <v>1</v>
      </c>
      <c r="H370" s="171"/>
      <c r="I370" s="171"/>
      <c r="J370" s="171"/>
      <c r="K370" s="171">
        <f>SUM(K369:K369)</f>
        <v>17.5</v>
      </c>
      <c r="L370" s="65"/>
      <c r="M370" s="65"/>
      <c r="N370" s="65"/>
      <c r="O370" s="138"/>
      <c r="P370" s="101">
        <f t="shared" ref="P370:Z370" si="444">SUM(P369:P369)</f>
        <v>4.7</v>
      </c>
      <c r="Q370" s="66">
        <f t="shared" si="444"/>
        <v>0</v>
      </c>
      <c r="R370" s="66">
        <f t="shared" si="444"/>
        <v>0</v>
      </c>
      <c r="S370" s="66">
        <f t="shared" si="444"/>
        <v>1.2</v>
      </c>
      <c r="T370" s="66">
        <f t="shared" si="444"/>
        <v>8</v>
      </c>
      <c r="U370" s="66">
        <f t="shared" si="444"/>
        <v>4.2</v>
      </c>
      <c r="V370" s="66">
        <f t="shared" si="444"/>
        <v>0</v>
      </c>
      <c r="W370" s="66">
        <f t="shared" si="444"/>
        <v>30</v>
      </c>
      <c r="X370" s="66">
        <f t="shared" si="444"/>
        <v>227.5</v>
      </c>
      <c r="Y370" s="66">
        <f t="shared" si="444"/>
        <v>36.024001477943649</v>
      </c>
      <c r="Z370" s="84">
        <f t="shared" si="444"/>
        <v>36.024001477943649</v>
      </c>
      <c r="AA370" s="100"/>
      <c r="AB370" s="100"/>
      <c r="AC370" s="100"/>
      <c r="AD370" s="100"/>
      <c r="AE370" s="100"/>
      <c r="AF370" s="26"/>
      <c r="AG370" s="26"/>
    </row>
    <row r="371" spans="1:33" ht="15.9" customHeight="1">
      <c r="A371" s="52" t="s">
        <v>64</v>
      </c>
      <c r="K371" s="115"/>
      <c r="L371" s="48"/>
      <c r="M371" s="48"/>
      <c r="N371" s="48"/>
      <c r="W371" s="49"/>
      <c r="X371" s="80" t="s">
        <v>607</v>
      </c>
      <c r="Y371" s="92">
        <f>2918.5*1.02</f>
        <v>2976.87</v>
      </c>
      <c r="Z371" s="92">
        <f>2918.5*1.02</f>
        <v>2976.87</v>
      </c>
      <c r="AA371" s="100"/>
      <c r="AB371" s="100"/>
      <c r="AC371" s="100"/>
      <c r="AD371" s="100"/>
      <c r="AE371" s="100"/>
      <c r="AF371" s="26"/>
      <c r="AG371" s="26"/>
    </row>
    <row r="372" spans="1:33" s="91" customFormat="1" ht="27.6">
      <c r="A372" s="87" t="s">
        <v>4</v>
      </c>
      <c r="B372" s="88" t="s">
        <v>5</v>
      </c>
      <c r="C372" s="88" t="s">
        <v>24</v>
      </c>
      <c r="D372" s="88" t="s">
        <v>46</v>
      </c>
      <c r="E372" s="88" t="s">
        <v>67</v>
      </c>
      <c r="F372" s="88" t="s">
        <v>6</v>
      </c>
      <c r="G372" s="88" t="s">
        <v>7</v>
      </c>
      <c r="H372" s="116" t="s">
        <v>8</v>
      </c>
      <c r="I372" s="116" t="s">
        <v>47</v>
      </c>
      <c r="J372" s="116" t="s">
        <v>9</v>
      </c>
      <c r="K372" s="116" t="s">
        <v>14</v>
      </c>
      <c r="L372" s="89" t="s">
        <v>20</v>
      </c>
      <c r="M372" s="89" t="s">
        <v>23</v>
      </c>
      <c r="N372" s="89" t="s">
        <v>21</v>
      </c>
      <c r="O372" s="136" t="s">
        <v>10</v>
      </c>
      <c r="P372" s="90" t="s">
        <v>49</v>
      </c>
      <c r="Q372" s="45" t="s">
        <v>50</v>
      </c>
      <c r="R372" s="45" t="s">
        <v>55</v>
      </c>
      <c r="S372" s="45" t="s">
        <v>504</v>
      </c>
      <c r="T372" s="45" t="s">
        <v>13</v>
      </c>
      <c r="U372" s="45" t="s">
        <v>52</v>
      </c>
      <c r="V372" s="45" t="s">
        <v>48</v>
      </c>
      <c r="W372" s="45" t="s">
        <v>15</v>
      </c>
      <c r="X372" s="50" t="s">
        <v>12</v>
      </c>
      <c r="Y372" s="160" t="s">
        <v>22</v>
      </c>
      <c r="Z372" s="50" t="s">
        <v>68</v>
      </c>
      <c r="AA372" s="100"/>
      <c r="AB372" s="100"/>
      <c r="AC372" s="100"/>
      <c r="AD372" s="100"/>
      <c r="AE372" s="100"/>
      <c r="AF372" s="26"/>
      <c r="AG372" s="26"/>
    </row>
    <row r="373" spans="1:33" s="26" customFormat="1" ht="27.6">
      <c r="A373" s="94" t="s">
        <v>608</v>
      </c>
      <c r="B373" s="93" t="s">
        <v>604</v>
      </c>
      <c r="C373" s="93" t="s">
        <v>610</v>
      </c>
      <c r="D373" s="93" t="s">
        <v>609</v>
      </c>
      <c r="E373" s="93">
        <v>105</v>
      </c>
      <c r="F373" s="93" t="s">
        <v>73</v>
      </c>
      <c r="G373" s="95">
        <v>2</v>
      </c>
      <c r="H373" s="117">
        <v>27.34</v>
      </c>
      <c r="I373" s="117">
        <v>0.73</v>
      </c>
      <c r="J373" s="117">
        <v>0.65</v>
      </c>
      <c r="K373" s="118">
        <f t="shared" ref="K373:K376" si="445">H373-I373-J373</f>
        <v>25.96</v>
      </c>
      <c r="L373" s="97">
        <v>1.75</v>
      </c>
      <c r="M373" s="97" t="s">
        <v>63</v>
      </c>
      <c r="N373" s="98">
        <v>86</v>
      </c>
      <c r="O373" s="137">
        <v>11</v>
      </c>
      <c r="P373" s="143">
        <v>3.6349999999999998</v>
      </c>
      <c r="Q373" s="35"/>
      <c r="R373" s="35"/>
      <c r="S373" s="35">
        <f>G373*0.02*N373</f>
        <v>3.44</v>
      </c>
      <c r="T373" s="35">
        <f>G373*8</f>
        <v>16</v>
      </c>
      <c r="U373" s="35">
        <f t="shared" ref="U373:U376" si="446">IF(RIGHT(F373,2)="WG",K373*$AB$4,IF(RIGHT(F373,3)="WRG",K373*$AB$4+3*G373,IF(RIGHT(F373,3)="WYG",K373*$AB$4+3*G373,IF(RIGHT(F373,3)="WYR",K373*$AB$4+3*G373,0))))</f>
        <v>6.2304000000000004</v>
      </c>
      <c r="V373" s="35"/>
      <c r="W373" s="35">
        <f>G373*N373*0.3</f>
        <v>51.6</v>
      </c>
      <c r="X373" s="35">
        <f t="shared" ref="X373:X376" si="447">K373*O373</f>
        <v>285.56</v>
      </c>
      <c r="Y373" s="35">
        <f t="shared" ref="Y373:Y376" si="448">($Y$14/31.1035*IF(LEFT(F373,3)="10K",(0.417*1.07*K373),IF(LEFT(F373,3)="14K",(0.585*1.05*K373),IF(LEFT(F373,3)="18K",(0.75*1.05*K373),0))))*0.5</f>
        <v>785.09590385680053</v>
      </c>
      <c r="Z373" s="83">
        <f t="shared" ref="Z373:Z376" si="449">($Z$14/31.1035*IF(LEFT(F373,3)="10K",(0.417*1.07*K373),IF(LEFT(F373,3)="14K",(0.585*1.05*K373),IF(LEFT(F373,3)="18K",(0.75*1.05*K373),0))))*0.5</f>
        <v>785.09590385680053</v>
      </c>
      <c r="AA373" s="100">
        <f t="shared" ref="AA373:AA390" si="450">2*K373</f>
        <v>51.92</v>
      </c>
      <c r="AB373" s="100">
        <f t="shared" ref="AB373:AB390" si="451">(SUM(Q373:W373)+AG373)-AA373</f>
        <v>310.91039999999998</v>
      </c>
      <c r="AC373" s="100">
        <f t="shared" ref="AC373:AC390" si="452">AE373*$AC$13+P373*$AC$14</f>
        <v>2420.1283941267311</v>
      </c>
      <c r="AD373" s="100">
        <f t="shared" ref="AD373:AD390" si="453">SUM(AB373:AC373)</f>
        <v>2731.0387941267309</v>
      </c>
      <c r="AE373" s="100">
        <f t="shared" ref="AE373:AE390" si="454">IF(LEFT(F373,3)="10K",(0.417*1.07*K373),IF(LEFT(F373,3)="14K",(0.585*1.05*K373),IF(LEFT(F373,3)="18K",(0.75*1.05*K373),0)))</f>
        <v>15.945929999999999</v>
      </c>
      <c r="AG373" s="26">
        <f t="shared" ref="AG373:AG390" si="455">IF(AF373&gt;0,AF373*K373,X373)</f>
        <v>285.56</v>
      </c>
    </row>
    <row r="374" spans="1:33" s="26" customFormat="1" ht="27.6">
      <c r="A374" s="94">
        <v>6</v>
      </c>
      <c r="B374" s="93" t="s">
        <v>594</v>
      </c>
      <c r="C374" s="93" t="s">
        <v>595</v>
      </c>
      <c r="D374" s="93" t="s">
        <v>609</v>
      </c>
      <c r="E374" s="93">
        <v>106</v>
      </c>
      <c r="F374" s="93" t="s">
        <v>73</v>
      </c>
      <c r="G374" s="95">
        <v>2</v>
      </c>
      <c r="H374" s="117">
        <v>10.559999999999999</v>
      </c>
      <c r="I374" s="117">
        <v>0.1</v>
      </c>
      <c r="J374" s="117">
        <v>0.48</v>
      </c>
      <c r="K374" s="118">
        <f t="shared" si="445"/>
        <v>9.9799999999999986</v>
      </c>
      <c r="L374" s="97">
        <v>1.3</v>
      </c>
      <c r="M374" s="97" t="s">
        <v>63</v>
      </c>
      <c r="N374" s="98">
        <v>26</v>
      </c>
      <c r="O374" s="137">
        <v>10</v>
      </c>
      <c r="P374" s="143">
        <v>0.48</v>
      </c>
      <c r="Q374" s="35"/>
      <c r="R374" s="35"/>
      <c r="S374" s="35">
        <f>G374*0.02*N374</f>
        <v>1.04</v>
      </c>
      <c r="T374" s="35">
        <f>G374*3</f>
        <v>6</v>
      </c>
      <c r="U374" s="35">
        <f t="shared" si="446"/>
        <v>2.3951999999999996</v>
      </c>
      <c r="V374" s="35"/>
      <c r="W374" s="35">
        <f>G374*N374*0.3</f>
        <v>15.6</v>
      </c>
      <c r="X374" s="35">
        <f t="shared" si="447"/>
        <v>99.799999999999983</v>
      </c>
      <c r="Y374" s="35">
        <f t="shared" si="448"/>
        <v>301.82038214525687</v>
      </c>
      <c r="Z374" s="83">
        <f t="shared" si="449"/>
        <v>301.82038214525687</v>
      </c>
      <c r="AA374" s="100">
        <f t="shared" si="450"/>
        <v>19.959999999999997</v>
      </c>
      <c r="AB374" s="100">
        <f t="shared" si="451"/>
        <v>104.87519999999999</v>
      </c>
      <c r="AC374" s="100">
        <f t="shared" si="452"/>
        <v>609.34529798647338</v>
      </c>
      <c r="AD374" s="100">
        <f t="shared" si="453"/>
        <v>714.22049798647333</v>
      </c>
      <c r="AE374" s="100">
        <f t="shared" si="454"/>
        <v>6.1302149999999989</v>
      </c>
      <c r="AG374" s="26">
        <f t="shared" si="455"/>
        <v>99.799999999999983</v>
      </c>
    </row>
    <row r="375" spans="1:33" s="26" customFormat="1" ht="27.6">
      <c r="A375" s="94">
        <v>12</v>
      </c>
      <c r="B375" s="93" t="s">
        <v>611</v>
      </c>
      <c r="C375" s="93" t="s">
        <v>328</v>
      </c>
      <c r="D375" s="93" t="s">
        <v>609</v>
      </c>
      <c r="E375" s="93">
        <v>114</v>
      </c>
      <c r="F375" s="93" t="s">
        <v>110</v>
      </c>
      <c r="G375" s="95">
        <v>1</v>
      </c>
      <c r="H375" s="117">
        <v>7.28</v>
      </c>
      <c r="I375" s="117">
        <v>0.43</v>
      </c>
      <c r="J375" s="117">
        <v>0.32</v>
      </c>
      <c r="K375" s="118">
        <f t="shared" si="445"/>
        <v>6.53</v>
      </c>
      <c r="L375" s="97" t="s">
        <v>324</v>
      </c>
      <c r="M375" s="97" t="s">
        <v>75</v>
      </c>
      <c r="N375" s="98" t="s">
        <v>325</v>
      </c>
      <c r="O375" s="137">
        <f>9+2</f>
        <v>11</v>
      </c>
      <c r="P375" s="143">
        <v>2.15</v>
      </c>
      <c r="Q375" s="35"/>
      <c r="R375" s="35"/>
      <c r="S375" s="35">
        <f>G375*0.02*(62+13)</f>
        <v>1.5</v>
      </c>
      <c r="T375" s="35">
        <f>G375*2</f>
        <v>2</v>
      </c>
      <c r="U375" s="35">
        <f t="shared" si="446"/>
        <v>4.5671999999999997</v>
      </c>
      <c r="V375" s="35"/>
      <c r="W375" s="35">
        <f>G375*(62*0.3+13*1)</f>
        <v>31.599999999999998</v>
      </c>
      <c r="X375" s="35">
        <f t="shared" si="447"/>
        <v>71.83</v>
      </c>
      <c r="Y375" s="35">
        <f t="shared" si="448"/>
        <v>197.48367689464206</v>
      </c>
      <c r="Z375" s="83">
        <f t="shared" si="449"/>
        <v>197.48367689464206</v>
      </c>
      <c r="AA375" s="100">
        <f t="shared" si="450"/>
        <v>13.06</v>
      </c>
      <c r="AB375" s="100">
        <f t="shared" si="451"/>
        <v>98.43719999999999</v>
      </c>
      <c r="AC375" s="100">
        <f t="shared" si="452"/>
        <v>1041.1605897310787</v>
      </c>
      <c r="AD375" s="100">
        <f t="shared" si="453"/>
        <v>1139.5977897310788</v>
      </c>
      <c r="AE375" s="100">
        <f t="shared" si="454"/>
        <v>4.0110524999999999</v>
      </c>
      <c r="AG375" s="26">
        <f t="shared" si="455"/>
        <v>71.83</v>
      </c>
    </row>
    <row r="376" spans="1:33" s="26" customFormat="1" ht="55.8" thickBot="1">
      <c r="A376" s="94">
        <v>20</v>
      </c>
      <c r="B376" s="96" t="s">
        <v>412</v>
      </c>
      <c r="C376" s="93" t="s">
        <v>413</v>
      </c>
      <c r="D376" s="96" t="s">
        <v>609</v>
      </c>
      <c r="E376" s="93">
        <v>122</v>
      </c>
      <c r="F376" s="93" t="s">
        <v>110</v>
      </c>
      <c r="G376" s="95">
        <v>3</v>
      </c>
      <c r="H376" s="117">
        <v>18.079999999999998</v>
      </c>
      <c r="I376" s="117">
        <v>0.21000000000000002</v>
      </c>
      <c r="J376" s="117">
        <v>0.96</v>
      </c>
      <c r="K376" s="118">
        <f t="shared" si="445"/>
        <v>16.909999999999997</v>
      </c>
      <c r="L376" s="97" t="s">
        <v>414</v>
      </c>
      <c r="M376" s="97" t="s">
        <v>174</v>
      </c>
      <c r="N376" s="98" t="s">
        <v>415</v>
      </c>
      <c r="O376" s="137">
        <v>9.5</v>
      </c>
      <c r="P376" s="143">
        <v>1.1000000000000001</v>
      </c>
      <c r="Q376" s="35"/>
      <c r="R376" s="35"/>
      <c r="S376" s="35">
        <f>G376*0.02*(6+8+2+3)</f>
        <v>1.1399999999999999</v>
      </c>
      <c r="T376" s="35">
        <f t="shared" ref="T376" si="456">2*G376</f>
        <v>6</v>
      </c>
      <c r="U376" s="35">
        <f t="shared" si="446"/>
        <v>13.058399999999999</v>
      </c>
      <c r="V376" s="35"/>
      <c r="W376" s="35">
        <f>G376*((6+8)*0.3+2*1.5+3*3)</f>
        <v>48.599999999999994</v>
      </c>
      <c r="X376" s="35">
        <f t="shared" si="447"/>
        <v>160.64499999999998</v>
      </c>
      <c r="Y376" s="35">
        <f t="shared" si="448"/>
        <v>511.40106834431799</v>
      </c>
      <c r="Z376" s="83">
        <f t="shared" si="449"/>
        <v>511.40106834431799</v>
      </c>
      <c r="AA376" s="100">
        <f t="shared" si="450"/>
        <v>33.819999999999993</v>
      </c>
      <c r="AB376" s="100">
        <f t="shared" si="451"/>
        <v>195.62339999999998</v>
      </c>
      <c r="AC376" s="100">
        <f t="shared" si="452"/>
        <v>1132.792492885668</v>
      </c>
      <c r="AD376" s="100">
        <f t="shared" si="453"/>
        <v>1328.415892885668</v>
      </c>
      <c r="AE376" s="100">
        <f t="shared" si="454"/>
        <v>10.386967499999997</v>
      </c>
      <c r="AG376" s="26">
        <f t="shared" si="455"/>
        <v>160.64499999999998</v>
      </c>
    </row>
    <row r="377" spans="1:33" s="27" customFormat="1" ht="15.9" customHeight="1">
      <c r="A377" s="86" t="s">
        <v>66</v>
      </c>
      <c r="B377" s="63"/>
      <c r="C377" s="63"/>
      <c r="D377" s="63"/>
      <c r="E377" s="63"/>
      <c r="F377" s="63"/>
      <c r="G377" s="64">
        <f>SUM(G373:G376)</f>
        <v>8</v>
      </c>
      <c r="H377" s="119"/>
      <c r="I377" s="119"/>
      <c r="J377" s="119"/>
      <c r="K377" s="119">
        <f>SUM(K373:K376)</f>
        <v>59.379999999999995</v>
      </c>
      <c r="L377" s="65"/>
      <c r="M377" s="65"/>
      <c r="N377" s="65"/>
      <c r="O377" s="138"/>
      <c r="P377" s="101">
        <f>SUM(P373:P376)</f>
        <v>7.3650000000000002</v>
      </c>
      <c r="Q377" s="66">
        <f>SUM(Q373:Q376)</f>
        <v>0</v>
      </c>
      <c r="R377" s="66">
        <f>SUM(R373:R376)</f>
        <v>0</v>
      </c>
      <c r="S377" s="66">
        <f>SUM(S373:S376)</f>
        <v>7.12</v>
      </c>
      <c r="T377" s="66">
        <f>SUM(T373:T376)</f>
        <v>30</v>
      </c>
      <c r="U377" s="66">
        <f>SUM(U373:U376)</f>
        <v>26.251199999999997</v>
      </c>
      <c r="V377" s="66">
        <f>SUM(V373:V376)</f>
        <v>0</v>
      </c>
      <c r="W377" s="66">
        <f>SUM(W373:W376)</f>
        <v>147.39999999999998</v>
      </c>
      <c r="X377" s="66">
        <f>SUM(X373:X376)</f>
        <v>617.83500000000004</v>
      </c>
      <c r="Y377" s="66">
        <f>SUM(Y373:Y376)</f>
        <v>1795.8010312410174</v>
      </c>
      <c r="Z377" s="84">
        <f>SUM(Z373:Z376)</f>
        <v>1795.8010312410174</v>
      </c>
      <c r="AA377" s="100"/>
      <c r="AB377" s="100"/>
      <c r="AC377" s="100"/>
      <c r="AD377" s="100"/>
      <c r="AE377" s="100"/>
      <c r="AF377" s="26"/>
      <c r="AG377" s="26"/>
    </row>
    <row r="378" spans="1:33" ht="15.9" customHeight="1">
      <c r="A378" s="52" t="s">
        <v>64</v>
      </c>
      <c r="K378" s="115"/>
      <c r="L378" s="48"/>
      <c r="M378" s="48"/>
      <c r="N378" s="48"/>
      <c r="W378" s="49"/>
      <c r="X378" s="80" t="s">
        <v>607</v>
      </c>
      <c r="Y378" s="92">
        <f>2918.5*1.02</f>
        <v>2976.87</v>
      </c>
      <c r="Z378" s="92">
        <f>2918.5*1.02</f>
        <v>2976.87</v>
      </c>
      <c r="AA378" s="100"/>
      <c r="AB378" s="100"/>
      <c r="AC378" s="100"/>
      <c r="AD378" s="100"/>
      <c r="AE378" s="100"/>
      <c r="AF378" s="26"/>
      <c r="AG378" s="26"/>
    </row>
    <row r="379" spans="1:33" s="91" customFormat="1" ht="27.6">
      <c r="A379" s="87" t="s">
        <v>4</v>
      </c>
      <c r="B379" s="88" t="s">
        <v>5</v>
      </c>
      <c r="C379" s="88" t="s">
        <v>24</v>
      </c>
      <c r="D379" s="88" t="s">
        <v>46</v>
      </c>
      <c r="E379" s="88" t="s">
        <v>67</v>
      </c>
      <c r="F379" s="88" t="s">
        <v>6</v>
      </c>
      <c r="G379" s="88" t="s">
        <v>7</v>
      </c>
      <c r="H379" s="116" t="s">
        <v>8</v>
      </c>
      <c r="I379" s="116" t="s">
        <v>47</v>
      </c>
      <c r="J379" s="116" t="s">
        <v>9</v>
      </c>
      <c r="K379" s="116" t="s">
        <v>14</v>
      </c>
      <c r="L379" s="89" t="s">
        <v>20</v>
      </c>
      <c r="M379" s="89" t="s">
        <v>23</v>
      </c>
      <c r="N379" s="89" t="s">
        <v>21</v>
      </c>
      <c r="O379" s="136" t="s">
        <v>10</v>
      </c>
      <c r="P379" s="90" t="s">
        <v>49</v>
      </c>
      <c r="Q379" s="45" t="s">
        <v>50</v>
      </c>
      <c r="R379" s="45" t="s">
        <v>55</v>
      </c>
      <c r="S379" s="45" t="s">
        <v>504</v>
      </c>
      <c r="T379" s="45" t="s">
        <v>13</v>
      </c>
      <c r="U379" s="45" t="s">
        <v>52</v>
      </c>
      <c r="V379" s="45" t="s">
        <v>48</v>
      </c>
      <c r="W379" s="45" t="s">
        <v>15</v>
      </c>
      <c r="X379" s="50" t="s">
        <v>12</v>
      </c>
      <c r="Y379" s="160" t="s">
        <v>22</v>
      </c>
      <c r="Z379" s="50" t="s">
        <v>68</v>
      </c>
      <c r="AA379" s="100"/>
      <c r="AB379" s="100"/>
      <c r="AC379" s="100"/>
      <c r="AD379" s="100"/>
      <c r="AE379" s="100"/>
      <c r="AF379" s="26"/>
      <c r="AG379" s="26"/>
    </row>
    <row r="380" spans="1:33" s="26" customFormat="1" ht="42" thickBot="1">
      <c r="A380" s="94" t="s">
        <v>612</v>
      </c>
      <c r="B380" s="93" t="s">
        <v>463</v>
      </c>
      <c r="C380" s="93" t="s">
        <v>613</v>
      </c>
      <c r="D380" s="93" t="s">
        <v>614</v>
      </c>
      <c r="E380" s="93">
        <v>101</v>
      </c>
      <c r="F380" s="93" t="s">
        <v>73</v>
      </c>
      <c r="G380" s="95">
        <v>1</v>
      </c>
      <c r="H380" s="117">
        <v>6.51</v>
      </c>
      <c r="I380" s="117">
        <v>0.12</v>
      </c>
      <c r="J380" s="117">
        <v>0.31</v>
      </c>
      <c r="K380" s="118">
        <f t="shared" ref="K380" si="457">H380-I380-J380</f>
        <v>6.08</v>
      </c>
      <c r="L380" s="97" t="s">
        <v>615</v>
      </c>
      <c r="M380" s="97" t="s">
        <v>442</v>
      </c>
      <c r="N380" s="98" t="s">
        <v>616</v>
      </c>
      <c r="O380" s="137">
        <f>9.5+2</f>
        <v>11.5</v>
      </c>
      <c r="P380" s="143">
        <v>0.6</v>
      </c>
      <c r="Q380" s="35"/>
      <c r="R380" s="35"/>
      <c r="S380" s="35">
        <f>G380*0.02*(5+10)</f>
        <v>0.3</v>
      </c>
      <c r="T380" s="35">
        <f>G380*2</f>
        <v>2</v>
      </c>
      <c r="U380" s="35">
        <f t="shared" ref="U380" si="458">IF(RIGHT(F380,2)="WG",K380*$AB$4,IF(RIGHT(F380,3)="WRG",K380*$AB$4+3*G380,IF(RIGHT(F380,3)="WYG",K380*$AB$4+3*G380,IF(RIGHT(F380,3)="WYR",K380*$AB$4+3*G380,0))))</f>
        <v>1.4592000000000001</v>
      </c>
      <c r="V380" s="35"/>
      <c r="W380" s="35">
        <f>G380*(5+10)*1</f>
        <v>15</v>
      </c>
      <c r="X380" s="35">
        <f t="shared" ref="X380" si="459">K380*O380</f>
        <v>69.92</v>
      </c>
      <c r="Y380" s="35">
        <f>($Y$36/31.1035*IF(LEFT(F380,3)="10K",(0.417*1.07*K380),IF(LEFT(F380,3)="14K",(0.585*1.05*K380),IF(LEFT(F380,3)="18K",(0.75*1.05*K380),0))))*0.5</f>
        <v>58.071977389213949</v>
      </c>
      <c r="Z380" s="83">
        <f>($Z$36/31.1035*IF(LEFT(F380,3)="10K",(0.417*1.07*K380),IF(LEFT(F380,3)="14K",(0.585*1.05*K380),IF(LEFT(F380,3)="18K",(0.75*1.05*K380),0))))*0.5</f>
        <v>58.071977389213949</v>
      </c>
      <c r="AA380" s="100">
        <f t="shared" si="450"/>
        <v>12.16</v>
      </c>
      <c r="AB380" s="100">
        <f t="shared" si="451"/>
        <v>76.519200000000012</v>
      </c>
      <c r="AC380" s="100">
        <f t="shared" si="452"/>
        <v>478.85635248309177</v>
      </c>
      <c r="AD380" s="100">
        <f t="shared" si="453"/>
        <v>555.37555248309172</v>
      </c>
      <c r="AE380" s="100">
        <f t="shared" si="454"/>
        <v>3.7346399999999997</v>
      </c>
      <c r="AG380" s="26">
        <f t="shared" si="455"/>
        <v>69.92</v>
      </c>
    </row>
    <row r="381" spans="1:33" s="27" customFormat="1" ht="15.9" customHeight="1">
      <c r="A381" s="86" t="s">
        <v>66</v>
      </c>
      <c r="B381" s="63"/>
      <c r="C381" s="63"/>
      <c r="D381" s="63"/>
      <c r="E381" s="63"/>
      <c r="F381" s="63"/>
      <c r="G381" s="64">
        <f>SUM(G380:G380)</f>
        <v>1</v>
      </c>
      <c r="H381" s="119"/>
      <c r="I381" s="119"/>
      <c r="J381" s="119"/>
      <c r="K381" s="119">
        <f>SUM(K380:K380)</f>
        <v>6.08</v>
      </c>
      <c r="L381" s="65"/>
      <c r="M381" s="65"/>
      <c r="N381" s="65"/>
      <c r="O381" s="138"/>
      <c r="P381" s="101">
        <f>SUM(P380:P380)</f>
        <v>0.6</v>
      </c>
      <c r="Q381" s="66">
        <f>SUM(Q380:Q380)</f>
        <v>0</v>
      </c>
      <c r="R381" s="66">
        <f>SUM(R380:R380)</f>
        <v>0</v>
      </c>
      <c r="S381" s="66">
        <f>SUM(S380:S380)</f>
        <v>0.3</v>
      </c>
      <c r="T381" s="66">
        <f>SUM(T380:T380)</f>
        <v>2</v>
      </c>
      <c r="U381" s="66">
        <f>SUM(U380:U380)</f>
        <v>1.4592000000000001</v>
      </c>
      <c r="V381" s="66">
        <f>SUM(V380:V380)</f>
        <v>0</v>
      </c>
      <c r="W381" s="66">
        <f>SUM(W380:W380)</f>
        <v>15</v>
      </c>
      <c r="X381" s="66">
        <f>SUM(X380:X380)</f>
        <v>69.92</v>
      </c>
      <c r="Y381" s="66">
        <f>SUM(Y380:Y380)</f>
        <v>58.071977389213949</v>
      </c>
      <c r="Z381" s="84">
        <f>SUM(Z380:Z380)</f>
        <v>58.071977389213949</v>
      </c>
      <c r="AA381" s="100"/>
      <c r="AB381" s="100"/>
      <c r="AC381" s="100"/>
      <c r="AD381" s="100"/>
      <c r="AE381" s="100"/>
      <c r="AF381" s="26"/>
      <c r="AG381" s="26"/>
    </row>
    <row r="382" spans="1:33" ht="15.9" customHeight="1">
      <c r="A382" s="52" t="s">
        <v>64</v>
      </c>
      <c r="K382" s="115"/>
      <c r="L382" s="48"/>
      <c r="M382" s="48"/>
      <c r="N382" s="48"/>
      <c r="W382" s="49"/>
      <c r="X382" s="80" t="s">
        <v>617</v>
      </c>
      <c r="Y382" s="92">
        <f>2791.5*1.02</f>
        <v>2847.33</v>
      </c>
      <c r="Z382" s="92">
        <f>2791.5*1.02</f>
        <v>2847.33</v>
      </c>
      <c r="AA382" s="100"/>
      <c r="AB382" s="100"/>
      <c r="AC382" s="100"/>
      <c r="AD382" s="100"/>
      <c r="AE382" s="100"/>
      <c r="AF382" s="26"/>
      <c r="AG382" s="26"/>
    </row>
    <row r="383" spans="1:33" s="91" customFormat="1" ht="27.6">
      <c r="A383" s="87" t="s">
        <v>4</v>
      </c>
      <c r="B383" s="88" t="s">
        <v>5</v>
      </c>
      <c r="C383" s="88" t="s">
        <v>24</v>
      </c>
      <c r="D383" s="88" t="s">
        <v>46</v>
      </c>
      <c r="E383" s="88" t="s">
        <v>67</v>
      </c>
      <c r="F383" s="88" t="s">
        <v>6</v>
      </c>
      <c r="G383" s="88" t="s">
        <v>7</v>
      </c>
      <c r="H383" s="116" t="s">
        <v>8</v>
      </c>
      <c r="I383" s="116" t="s">
        <v>47</v>
      </c>
      <c r="J383" s="116" t="s">
        <v>9</v>
      </c>
      <c r="K383" s="116" t="s">
        <v>14</v>
      </c>
      <c r="L383" s="89" t="s">
        <v>20</v>
      </c>
      <c r="M383" s="89" t="s">
        <v>23</v>
      </c>
      <c r="N383" s="89" t="s">
        <v>21</v>
      </c>
      <c r="O383" s="136" t="s">
        <v>10</v>
      </c>
      <c r="P383" s="90" t="s">
        <v>49</v>
      </c>
      <c r="Q383" s="45" t="s">
        <v>50</v>
      </c>
      <c r="R383" s="45" t="s">
        <v>55</v>
      </c>
      <c r="S383" s="45" t="s">
        <v>70</v>
      </c>
      <c r="T383" s="45" t="s">
        <v>13</v>
      </c>
      <c r="U383" s="45" t="s">
        <v>52</v>
      </c>
      <c r="V383" s="45" t="s">
        <v>48</v>
      </c>
      <c r="W383" s="45" t="s">
        <v>15</v>
      </c>
      <c r="X383" s="50" t="s">
        <v>12</v>
      </c>
      <c r="Y383" s="160" t="s">
        <v>22</v>
      </c>
      <c r="Z383" s="50" t="s">
        <v>68</v>
      </c>
      <c r="AA383" s="100"/>
      <c r="AB383" s="100"/>
      <c r="AC383" s="100"/>
      <c r="AD383" s="100"/>
      <c r="AE383" s="100"/>
      <c r="AF383" s="26"/>
      <c r="AG383" s="26"/>
    </row>
    <row r="384" spans="1:33" s="26" customFormat="1" ht="55.2">
      <c r="A384" s="165" t="s">
        <v>618</v>
      </c>
      <c r="B384" s="93" t="s">
        <v>619</v>
      </c>
      <c r="C384" s="93" t="s">
        <v>172</v>
      </c>
      <c r="D384" s="93">
        <v>147736</v>
      </c>
      <c r="E384" s="93">
        <v>106</v>
      </c>
      <c r="F384" s="93" t="s">
        <v>73</v>
      </c>
      <c r="G384" s="167">
        <v>1</v>
      </c>
      <c r="H384" s="168">
        <v>5.65</v>
      </c>
      <c r="I384" s="168">
        <v>0.16</v>
      </c>
      <c r="J384" s="168">
        <v>0.32</v>
      </c>
      <c r="K384" s="169">
        <f t="shared" ref="K384:K385" si="460">H384-I384-J384</f>
        <v>5.17</v>
      </c>
      <c r="L384" s="97" t="s">
        <v>173</v>
      </c>
      <c r="M384" s="97" t="s">
        <v>174</v>
      </c>
      <c r="N384" s="98" t="s">
        <v>175</v>
      </c>
      <c r="O384" s="137">
        <v>8.5</v>
      </c>
      <c r="P384" s="143">
        <v>0.81</v>
      </c>
      <c r="Q384" s="35"/>
      <c r="R384" s="35"/>
      <c r="S384" s="35">
        <f>0.02*(12+14+14+7)*G384</f>
        <v>0.94000000000000006</v>
      </c>
      <c r="T384" s="35">
        <f t="shared" ref="T384:T385" si="461">2*G384</f>
        <v>2</v>
      </c>
      <c r="U384" s="35">
        <f t="shared" ref="U384:U385" si="462">IF(RIGHT(F384,2)="WG",K384*$AB$4,IF(RIGHT(F384,3)="WRG",K384*$AB$4+3*G384,IF(RIGHT(F384,3)="WYG",K384*$AB$4+3*G384,IF(RIGHT(F384,3)="WYR",K384*$AB$4+3*G384,0))))</f>
        <v>1.2407999999999999</v>
      </c>
      <c r="V384" s="35"/>
      <c r="W384" s="35">
        <f>G384*(12+14+14+7)*0.3</f>
        <v>14.1</v>
      </c>
      <c r="X384" s="35">
        <f t="shared" ref="X384:X385" si="463">K384*O384</f>
        <v>43.945</v>
      </c>
      <c r="Y384" s="35">
        <f>($Y$382/31.1035*IF(LEFT(F384,3)="10K",(0.417*1.07*K384),IF(LEFT(F384,3)="14K",(0.585*1.05*K384),IF(LEFT(F384,3)="18K",(0.75*1.05*K384),0))))*0.5</f>
        <v>145.35643222507113</v>
      </c>
      <c r="Z384" s="83">
        <f>($Z$382/31.1035*IF(LEFT(F384,3)="10K",(0.417*1.07*K384),IF(LEFT(F384,3)="14K",(0.585*1.05*K384),IF(LEFT(F384,3)="18K",(0.75*1.05*K384),0))))*0.5</f>
        <v>145.35643222507113</v>
      </c>
      <c r="AA384" s="100">
        <f t="shared" si="450"/>
        <v>10.34</v>
      </c>
      <c r="AB384" s="100">
        <f t="shared" si="451"/>
        <v>51.885800000000003</v>
      </c>
      <c r="AC384" s="100">
        <f t="shared" si="452"/>
        <v>512.09748785217391</v>
      </c>
      <c r="AD384" s="100">
        <f t="shared" si="453"/>
        <v>563.98328785217393</v>
      </c>
      <c r="AE384" s="100">
        <f t="shared" si="454"/>
        <v>3.1756724999999997</v>
      </c>
      <c r="AG384" s="26">
        <f t="shared" si="455"/>
        <v>43.945</v>
      </c>
    </row>
    <row r="385" spans="1:33" s="26" customFormat="1" ht="28.2" thickBot="1">
      <c r="A385" s="94">
        <v>9</v>
      </c>
      <c r="B385" s="93" t="s">
        <v>307</v>
      </c>
      <c r="C385" s="93" t="s">
        <v>308</v>
      </c>
      <c r="D385" s="93">
        <v>147736</v>
      </c>
      <c r="E385" s="93">
        <v>109</v>
      </c>
      <c r="F385" s="93" t="s">
        <v>73</v>
      </c>
      <c r="G385" s="167">
        <v>1</v>
      </c>
      <c r="H385" s="168">
        <v>6.02</v>
      </c>
      <c r="I385" s="168">
        <v>0.12</v>
      </c>
      <c r="J385" s="168">
        <v>0.31</v>
      </c>
      <c r="K385" s="169">
        <f t="shared" si="460"/>
        <v>5.59</v>
      </c>
      <c r="L385" s="97">
        <v>0.8</v>
      </c>
      <c r="M385" s="97" t="s">
        <v>63</v>
      </c>
      <c r="N385" s="98">
        <v>228</v>
      </c>
      <c r="O385" s="137">
        <v>11.5</v>
      </c>
      <c r="P385" s="143">
        <v>0.61</v>
      </c>
      <c r="Q385" s="35"/>
      <c r="R385" s="35"/>
      <c r="S385" s="35">
        <f t="shared" ref="S385" si="464">0.02*N385*G385</f>
        <v>4.5600000000000005</v>
      </c>
      <c r="T385" s="35">
        <f t="shared" si="461"/>
        <v>2</v>
      </c>
      <c r="U385" s="35">
        <f t="shared" si="462"/>
        <v>1.3415999999999999</v>
      </c>
      <c r="V385" s="35"/>
      <c r="W385" s="35">
        <f t="shared" ref="W385" si="465">G385*N385*0.3</f>
        <v>68.399999999999991</v>
      </c>
      <c r="X385" s="35">
        <f t="shared" si="463"/>
        <v>64.284999999999997</v>
      </c>
      <c r="Y385" s="35">
        <f>($Y$382/31.1035*IF(LEFT(F385,3)="10K",(0.417*1.07*K385),IF(LEFT(F385,3)="14K",(0.585*1.05*K385),IF(LEFT(F385,3)="18K",(0.75*1.05*K385),0))))*0.5</f>
        <v>157.16488513310398</v>
      </c>
      <c r="Z385" s="83">
        <f>($Z$382/31.1035*IF(LEFT(F385,3)="10K",(0.417*1.07*K385),IF(LEFT(F385,3)="14K",(0.585*1.05*K385),IF(LEFT(F385,3)="18K",(0.75*1.05*K385),0))))*0.5</f>
        <v>157.16488513310398</v>
      </c>
      <c r="AA385" s="100">
        <f t="shared" si="450"/>
        <v>11.18</v>
      </c>
      <c r="AB385" s="100">
        <f t="shared" si="451"/>
        <v>129.40659999999997</v>
      </c>
      <c r="AC385" s="100">
        <f t="shared" si="452"/>
        <v>460.68498369114332</v>
      </c>
      <c r="AD385" s="100">
        <f t="shared" si="453"/>
        <v>590.09158369114334</v>
      </c>
      <c r="AE385" s="100">
        <f t="shared" si="454"/>
        <v>3.4336574999999998</v>
      </c>
      <c r="AG385" s="26">
        <f t="shared" si="455"/>
        <v>64.284999999999997</v>
      </c>
    </row>
    <row r="386" spans="1:33" s="27" customFormat="1" ht="15.9" customHeight="1">
      <c r="A386" s="86" t="s">
        <v>66</v>
      </c>
      <c r="B386" s="63"/>
      <c r="C386" s="63"/>
      <c r="D386" s="63"/>
      <c r="E386" s="63"/>
      <c r="F386" s="63"/>
      <c r="G386" s="170">
        <f>SUM(G384:G385)</f>
        <v>2</v>
      </c>
      <c r="H386" s="171"/>
      <c r="I386" s="171"/>
      <c r="J386" s="171"/>
      <c r="K386" s="171">
        <f>SUM(K384:K385)</f>
        <v>10.76</v>
      </c>
      <c r="L386" s="65"/>
      <c r="M386" s="65"/>
      <c r="N386" s="65"/>
      <c r="O386" s="138"/>
      <c r="P386" s="101">
        <f t="shared" ref="P386:Z386" si="466">SUM(P384:P385)</f>
        <v>1.42</v>
      </c>
      <c r="Q386" s="66">
        <f t="shared" si="466"/>
        <v>0</v>
      </c>
      <c r="R386" s="66">
        <f t="shared" si="466"/>
        <v>0</v>
      </c>
      <c r="S386" s="66">
        <f t="shared" si="466"/>
        <v>5.5000000000000009</v>
      </c>
      <c r="T386" s="66">
        <f t="shared" si="466"/>
        <v>4</v>
      </c>
      <c r="U386" s="66">
        <f t="shared" si="466"/>
        <v>2.5823999999999998</v>
      </c>
      <c r="V386" s="66">
        <f t="shared" si="466"/>
        <v>0</v>
      </c>
      <c r="W386" s="66">
        <f t="shared" si="466"/>
        <v>82.499999999999986</v>
      </c>
      <c r="X386" s="66">
        <f t="shared" si="466"/>
        <v>108.22999999999999</v>
      </c>
      <c r="Y386" s="66">
        <f t="shared" si="466"/>
        <v>302.52131735817511</v>
      </c>
      <c r="Z386" s="84">
        <f t="shared" si="466"/>
        <v>302.52131735817511</v>
      </c>
      <c r="AA386" s="100"/>
      <c r="AB386" s="100"/>
      <c r="AC386" s="100"/>
      <c r="AD386" s="100"/>
      <c r="AE386" s="100"/>
      <c r="AF386" s="26"/>
      <c r="AG386" s="26"/>
    </row>
    <row r="387" spans="1:33" ht="15.9" customHeight="1">
      <c r="A387" s="52" t="s">
        <v>64</v>
      </c>
      <c r="K387" s="115"/>
      <c r="L387" s="48"/>
      <c r="M387" s="48"/>
      <c r="N387" s="48"/>
      <c r="W387" s="49"/>
      <c r="X387" s="80" t="s">
        <v>620</v>
      </c>
      <c r="Y387" s="92">
        <f>1.02*2866.45</f>
        <v>2923.779</v>
      </c>
      <c r="Z387" s="92">
        <f>1.02*2866.45</f>
        <v>2923.779</v>
      </c>
      <c r="AA387" s="100"/>
      <c r="AB387" s="100"/>
      <c r="AC387" s="100"/>
      <c r="AD387" s="100"/>
      <c r="AE387" s="100"/>
      <c r="AF387" s="26"/>
      <c r="AG387" s="26"/>
    </row>
    <row r="388" spans="1:33" s="91" customFormat="1" ht="27.6">
      <c r="A388" s="87" t="s">
        <v>4</v>
      </c>
      <c r="B388" s="88" t="s">
        <v>5</v>
      </c>
      <c r="C388" s="88" t="s">
        <v>24</v>
      </c>
      <c r="D388" s="88" t="s">
        <v>46</v>
      </c>
      <c r="E388" s="88" t="s">
        <v>67</v>
      </c>
      <c r="F388" s="88" t="s">
        <v>6</v>
      </c>
      <c r="G388" s="88" t="s">
        <v>7</v>
      </c>
      <c r="H388" s="116" t="s">
        <v>8</v>
      </c>
      <c r="I388" s="116" t="s">
        <v>47</v>
      </c>
      <c r="J388" s="116" t="s">
        <v>9</v>
      </c>
      <c r="K388" s="116" t="s">
        <v>14</v>
      </c>
      <c r="L388" s="89" t="s">
        <v>20</v>
      </c>
      <c r="M388" s="89" t="s">
        <v>23</v>
      </c>
      <c r="N388" s="89" t="s">
        <v>21</v>
      </c>
      <c r="O388" s="136" t="s">
        <v>10</v>
      </c>
      <c r="P388" s="90" t="s">
        <v>49</v>
      </c>
      <c r="Q388" s="45" t="s">
        <v>50</v>
      </c>
      <c r="R388" s="45" t="s">
        <v>55</v>
      </c>
      <c r="S388" s="45" t="s">
        <v>70</v>
      </c>
      <c r="T388" s="45" t="s">
        <v>13</v>
      </c>
      <c r="U388" s="45" t="s">
        <v>52</v>
      </c>
      <c r="V388" s="45" t="s">
        <v>48</v>
      </c>
      <c r="W388" s="45" t="s">
        <v>15</v>
      </c>
      <c r="X388" s="50" t="s">
        <v>12</v>
      </c>
      <c r="Y388" s="160" t="s">
        <v>22</v>
      </c>
      <c r="Z388" s="50" t="s">
        <v>68</v>
      </c>
      <c r="AA388" s="100"/>
      <c r="AB388" s="100"/>
      <c r="AC388" s="100"/>
      <c r="AD388" s="100"/>
      <c r="AE388" s="100"/>
      <c r="AF388" s="26"/>
      <c r="AG388" s="26"/>
    </row>
    <row r="389" spans="1:33" s="26" customFormat="1" ht="27.6">
      <c r="A389" s="165" t="s">
        <v>621</v>
      </c>
      <c r="B389" s="93" t="s">
        <v>622</v>
      </c>
      <c r="C389" s="93" t="s">
        <v>500</v>
      </c>
      <c r="D389" s="93">
        <v>147780</v>
      </c>
      <c r="E389" s="93">
        <v>108</v>
      </c>
      <c r="F389" s="93" t="s">
        <v>73</v>
      </c>
      <c r="G389" s="95">
        <v>1</v>
      </c>
      <c r="H389" s="117">
        <v>6.94</v>
      </c>
      <c r="I389" s="117">
        <v>0.2</v>
      </c>
      <c r="J389" s="117">
        <v>0.32</v>
      </c>
      <c r="K389" s="118">
        <f t="shared" ref="K389:K393" si="467">H389-I389-J389</f>
        <v>6.42</v>
      </c>
      <c r="L389" s="97">
        <v>2.7</v>
      </c>
      <c r="M389" s="97" t="s">
        <v>63</v>
      </c>
      <c r="N389" s="98">
        <v>12</v>
      </c>
      <c r="O389" s="137">
        <v>11.5</v>
      </c>
      <c r="P389" s="143">
        <v>0.98</v>
      </c>
      <c r="Q389" s="35"/>
      <c r="R389" s="35"/>
      <c r="S389" s="35">
        <f t="shared" ref="S389:S393" si="468">0.02*N389*G389</f>
        <v>0.24</v>
      </c>
      <c r="T389" s="35">
        <f t="shared" ref="T389:T393" si="469">2*G389</f>
        <v>2</v>
      </c>
      <c r="U389" s="35">
        <f t="shared" ref="U389:U393" si="470">IF(RIGHT(F389,2)="WG",K389*$AB$4,IF(RIGHT(F389,3)="WRG",K389*$AB$4+3*G389,IF(RIGHT(F389,3)="WYG",K389*$AB$4+3*G389,IF(RIGHT(F389,3)="WYR",K389*$AB$4+3*G389,0))))</f>
        <v>1.5407999999999999</v>
      </c>
      <c r="V389" s="35"/>
      <c r="W389" s="35">
        <f>G389*N389*1</f>
        <v>12</v>
      </c>
      <c r="X389" s="35">
        <f t="shared" ref="X389:X393" si="471">K389*O389</f>
        <v>73.83</v>
      </c>
      <c r="Y389" s="35">
        <f t="shared" ref="Y389:Y393" si="472">($Y$86/31.1035*IF(LEFT(F389,3)="10K",(0.417*1.07*K389),IF(LEFT(F389,3)="14K",(0.585*1.05*K389),IF(LEFT(F389,3)="18K",(0.75*1.05*K389),0))))*0.5</f>
        <v>42.405876846339879</v>
      </c>
      <c r="Z389" s="83">
        <f t="shared" ref="Z389:Z393" si="473">($Z$86/31.1035*IF(LEFT(F389,3)="10K",(0.417*1.07*K389),IF(LEFT(F389,3)="14K",(0.585*1.05*K389),IF(LEFT(F389,3)="18K",(0.75*1.05*K389),0))))*0.5</f>
        <v>42.405876846339879</v>
      </c>
      <c r="AA389" s="100">
        <f t="shared" si="450"/>
        <v>12.84</v>
      </c>
      <c r="AB389" s="100">
        <f t="shared" si="451"/>
        <v>76.770799999999994</v>
      </c>
      <c r="AC389" s="100">
        <f t="shared" si="452"/>
        <v>626.86929838904985</v>
      </c>
      <c r="AD389" s="100">
        <f t="shared" si="453"/>
        <v>703.64009838904985</v>
      </c>
      <c r="AE389" s="100">
        <f t="shared" si="454"/>
        <v>3.9434849999999999</v>
      </c>
      <c r="AG389" s="26">
        <f t="shared" si="455"/>
        <v>73.83</v>
      </c>
    </row>
    <row r="390" spans="1:33" s="26" customFormat="1" ht="27.6">
      <c r="A390" s="94">
        <v>11</v>
      </c>
      <c r="B390" s="93" t="s">
        <v>623</v>
      </c>
      <c r="C390" s="93" t="s">
        <v>624</v>
      </c>
      <c r="D390" s="93">
        <v>147780</v>
      </c>
      <c r="E390" s="93">
        <v>114</v>
      </c>
      <c r="F390" s="93" t="s">
        <v>74</v>
      </c>
      <c r="G390" s="95">
        <v>1</v>
      </c>
      <c r="H390" s="117">
        <v>13.44</v>
      </c>
      <c r="I390" s="117">
        <v>0.23</v>
      </c>
      <c r="J390" s="117">
        <v>2.1</v>
      </c>
      <c r="K390" s="118">
        <f t="shared" si="467"/>
        <v>11.11</v>
      </c>
      <c r="L390" s="97">
        <v>1.1000000000000001</v>
      </c>
      <c r="M390" s="97" t="s">
        <v>63</v>
      </c>
      <c r="N390" s="98">
        <v>206</v>
      </c>
      <c r="O390" s="137">
        <v>8.5</v>
      </c>
      <c r="P390" s="143">
        <v>1.17</v>
      </c>
      <c r="Q390" s="35"/>
      <c r="R390" s="35"/>
      <c r="S390" s="35">
        <f t="shared" ref="S390:S392" si="474">0.02*N390*G390</f>
        <v>4.12</v>
      </c>
      <c r="T390" s="35">
        <f t="shared" ref="T390" si="475">5*G390</f>
        <v>5</v>
      </c>
      <c r="U390" s="35">
        <f t="shared" si="470"/>
        <v>0</v>
      </c>
      <c r="V390" s="35"/>
      <c r="W390" s="35">
        <f t="shared" ref="W390:W393" si="476">G390*N390*0.3</f>
        <v>61.8</v>
      </c>
      <c r="X390" s="35">
        <f t="shared" si="471"/>
        <v>94.435000000000002</v>
      </c>
      <c r="Y390" s="35">
        <f t="shared" si="472"/>
        <v>73.384624885176947</v>
      </c>
      <c r="Z390" s="83">
        <f t="shared" si="473"/>
        <v>73.384624885176947</v>
      </c>
      <c r="AA390" s="100">
        <f t="shared" si="450"/>
        <v>22.22</v>
      </c>
      <c r="AB390" s="100">
        <f t="shared" si="451"/>
        <v>143.13500000000002</v>
      </c>
      <c r="AC390" s="100">
        <f t="shared" si="452"/>
        <v>900.77729134202889</v>
      </c>
      <c r="AD390" s="100">
        <f t="shared" si="453"/>
        <v>1043.912291342029</v>
      </c>
      <c r="AE390" s="100">
        <f t="shared" si="454"/>
        <v>6.8243174999999994</v>
      </c>
      <c r="AG390" s="26">
        <f t="shared" si="455"/>
        <v>94.435000000000002</v>
      </c>
    </row>
    <row r="391" spans="1:33" s="26" customFormat="1" ht="27.6">
      <c r="A391" s="94">
        <v>13</v>
      </c>
      <c r="B391" s="93" t="s">
        <v>583</v>
      </c>
      <c r="C391" s="93" t="s">
        <v>584</v>
      </c>
      <c r="D391" s="93">
        <v>147780</v>
      </c>
      <c r="E391" s="93">
        <v>117</v>
      </c>
      <c r="F391" s="93" t="s">
        <v>73</v>
      </c>
      <c r="G391" s="95">
        <v>1</v>
      </c>
      <c r="H391" s="117">
        <v>5.79</v>
      </c>
      <c r="I391" s="117">
        <v>0.04</v>
      </c>
      <c r="J391" s="117">
        <v>0.31</v>
      </c>
      <c r="K391" s="118">
        <f t="shared" si="467"/>
        <v>5.44</v>
      </c>
      <c r="L391" s="97">
        <v>1.5</v>
      </c>
      <c r="M391" s="97" t="s">
        <v>63</v>
      </c>
      <c r="N391" s="98">
        <v>13</v>
      </c>
      <c r="O391" s="137">
        <v>8.5</v>
      </c>
      <c r="P391" s="143">
        <v>0.17499999999999999</v>
      </c>
      <c r="Q391" s="35"/>
      <c r="R391" s="35"/>
      <c r="S391" s="35">
        <f t="shared" si="474"/>
        <v>0.26</v>
      </c>
      <c r="T391" s="35">
        <f t="shared" ref="T391:T392" si="477">2*G391</f>
        <v>2</v>
      </c>
      <c r="U391" s="35">
        <f t="shared" ref="U391:U392" si="478">IF(RIGHT(F391,2)="WG",K391*$AB$4,IF(RIGHT(F391,3)="WRG",K391*$AB$4+3*G391,IF(RIGHT(F391,3)="WYG",K391*$AB$4+3*G391,IF(RIGHT(F391,3)="WYR",K391*$AB$4+3*G391,0))))</f>
        <v>1.3056000000000001</v>
      </c>
      <c r="V391" s="35"/>
      <c r="W391" s="35">
        <f t="shared" si="476"/>
        <v>3.9</v>
      </c>
      <c r="X391" s="35">
        <f t="shared" si="471"/>
        <v>46.24</v>
      </c>
      <c r="Y391" s="35">
        <f t="shared" si="472"/>
        <v>35.932705614344073</v>
      </c>
      <c r="Z391" s="83">
        <f t="shared" si="473"/>
        <v>35.932705614344073</v>
      </c>
      <c r="AA391" s="100">
        <f t="shared" ref="AA391:AA410" si="479">2*K391</f>
        <v>10.88</v>
      </c>
      <c r="AB391" s="100">
        <f t="shared" ref="AB391:AB410" si="480">(SUM(Q391:W391)+AG391)-AA391</f>
        <v>42.825600000000001</v>
      </c>
      <c r="AC391" s="100">
        <f t="shared" ref="AC391:AC410" si="481">AE391*$AC$13+P391*$AC$14</f>
        <v>301.82843614090177</v>
      </c>
      <c r="AD391" s="100">
        <f t="shared" ref="AD391:AD410" si="482">SUM(AB391:AC391)</f>
        <v>344.65403614090178</v>
      </c>
      <c r="AE391" s="100">
        <f t="shared" ref="AE391:AE410" si="483">IF(LEFT(F391,3)="10K",(0.417*1.07*K391),IF(LEFT(F391,3)="14K",(0.585*1.05*K391),IF(LEFT(F391,3)="18K",(0.75*1.05*K391),0)))</f>
        <v>3.34152</v>
      </c>
      <c r="AG391" s="26">
        <f t="shared" ref="AG391:AG410" si="484">IF(AF391&gt;0,AF391*K391,X391)</f>
        <v>46.24</v>
      </c>
    </row>
    <row r="392" spans="1:33" s="26" customFormat="1" ht="27.6">
      <c r="A392" s="94">
        <v>14</v>
      </c>
      <c r="B392" s="96" t="s">
        <v>297</v>
      </c>
      <c r="C392" s="93" t="s">
        <v>502</v>
      </c>
      <c r="D392" s="93">
        <v>147780</v>
      </c>
      <c r="E392" s="93">
        <v>118</v>
      </c>
      <c r="F392" s="93" t="s">
        <v>73</v>
      </c>
      <c r="G392" s="95">
        <v>1</v>
      </c>
      <c r="H392" s="117">
        <v>5.94</v>
      </c>
      <c r="I392" s="117">
        <v>0.28000000000000003</v>
      </c>
      <c r="J392" s="117">
        <v>0.32</v>
      </c>
      <c r="K392" s="118">
        <f t="shared" si="467"/>
        <v>5.34</v>
      </c>
      <c r="L392" s="97">
        <v>1.65</v>
      </c>
      <c r="M392" s="97" t="s">
        <v>63</v>
      </c>
      <c r="N392" s="98">
        <v>85</v>
      </c>
      <c r="O392" s="137">
        <v>8.5</v>
      </c>
      <c r="P392" s="143">
        <v>1.41</v>
      </c>
      <c r="Q392" s="35"/>
      <c r="R392" s="35"/>
      <c r="S392" s="35">
        <f t="shared" si="474"/>
        <v>1.7</v>
      </c>
      <c r="T392" s="35">
        <f t="shared" si="477"/>
        <v>2</v>
      </c>
      <c r="U392" s="35">
        <f t="shared" si="478"/>
        <v>1.2815999999999999</v>
      </c>
      <c r="V392" s="35"/>
      <c r="W392" s="35">
        <f t="shared" si="476"/>
        <v>25.5</v>
      </c>
      <c r="X392" s="35">
        <f t="shared" si="471"/>
        <v>45.39</v>
      </c>
      <c r="Y392" s="35">
        <f t="shared" si="472"/>
        <v>35.272177937609804</v>
      </c>
      <c r="Z392" s="83">
        <f t="shared" si="473"/>
        <v>35.272177937609804</v>
      </c>
      <c r="AA392" s="100">
        <f t="shared" si="479"/>
        <v>10.68</v>
      </c>
      <c r="AB392" s="100">
        <f t="shared" si="480"/>
        <v>65.191599999999994</v>
      </c>
      <c r="AC392" s="100">
        <f t="shared" si="481"/>
        <v>729.57818033526564</v>
      </c>
      <c r="AD392" s="100">
        <f t="shared" si="482"/>
        <v>794.76978033526564</v>
      </c>
      <c r="AE392" s="100">
        <f t="shared" si="483"/>
        <v>3.2800949999999998</v>
      </c>
      <c r="AG392" s="26">
        <f t="shared" si="484"/>
        <v>45.39</v>
      </c>
    </row>
    <row r="393" spans="1:33" s="26" customFormat="1" ht="28.2" thickBot="1">
      <c r="A393" s="94">
        <v>15</v>
      </c>
      <c r="B393" s="93" t="s">
        <v>416</v>
      </c>
      <c r="C393" s="93" t="s">
        <v>499</v>
      </c>
      <c r="D393" s="93">
        <v>147780</v>
      </c>
      <c r="E393" s="93">
        <v>119</v>
      </c>
      <c r="F393" s="93" t="s">
        <v>73</v>
      </c>
      <c r="G393" s="95">
        <v>1</v>
      </c>
      <c r="H393" s="117">
        <v>6.66</v>
      </c>
      <c r="I393" s="117">
        <v>0.05</v>
      </c>
      <c r="J393" s="117">
        <v>0.32</v>
      </c>
      <c r="K393" s="118">
        <f t="shared" si="467"/>
        <v>6.29</v>
      </c>
      <c r="L393" s="97">
        <v>1</v>
      </c>
      <c r="M393" s="97" t="s">
        <v>63</v>
      </c>
      <c r="N393" s="98">
        <v>58</v>
      </c>
      <c r="O393" s="137">
        <v>8.5</v>
      </c>
      <c r="P393" s="143">
        <v>0.26500000000000001</v>
      </c>
      <c r="Q393" s="35"/>
      <c r="R393" s="35"/>
      <c r="S393" s="35">
        <f t="shared" si="468"/>
        <v>1.1599999999999999</v>
      </c>
      <c r="T393" s="35">
        <f t="shared" si="469"/>
        <v>2</v>
      </c>
      <c r="U393" s="35">
        <f t="shared" si="470"/>
        <v>1.5096000000000001</v>
      </c>
      <c r="V393" s="35"/>
      <c r="W393" s="35">
        <f t="shared" si="476"/>
        <v>17.399999999999999</v>
      </c>
      <c r="X393" s="35">
        <f t="shared" si="471"/>
        <v>53.465000000000003</v>
      </c>
      <c r="Y393" s="35">
        <f t="shared" si="472"/>
        <v>41.547190866585332</v>
      </c>
      <c r="Z393" s="83">
        <f t="shared" si="473"/>
        <v>41.547190866585332</v>
      </c>
      <c r="AA393" s="100">
        <f t="shared" si="479"/>
        <v>12.58</v>
      </c>
      <c r="AB393" s="100">
        <f t="shared" si="480"/>
        <v>62.954599999999999</v>
      </c>
      <c r="AC393" s="100">
        <f t="shared" si="481"/>
        <v>370.91487701336553</v>
      </c>
      <c r="AD393" s="100">
        <f t="shared" si="482"/>
        <v>433.86947701336555</v>
      </c>
      <c r="AE393" s="100">
        <f t="shared" si="483"/>
        <v>3.8636324999999996</v>
      </c>
      <c r="AG393" s="26">
        <f t="shared" si="484"/>
        <v>53.465000000000003</v>
      </c>
    </row>
    <row r="394" spans="1:33" s="27" customFormat="1" ht="15.9" customHeight="1">
      <c r="A394" s="86" t="s">
        <v>66</v>
      </c>
      <c r="B394" s="63"/>
      <c r="C394" s="63"/>
      <c r="D394" s="63"/>
      <c r="E394" s="63"/>
      <c r="F394" s="63"/>
      <c r="G394" s="64">
        <f>SUM(G389:G393)</f>
        <v>5</v>
      </c>
      <c r="H394" s="119"/>
      <c r="I394" s="119"/>
      <c r="J394" s="119"/>
      <c r="K394" s="119">
        <f>SUM(K389:K393)</f>
        <v>34.6</v>
      </c>
      <c r="L394" s="65"/>
      <c r="M394" s="65"/>
      <c r="N394" s="65"/>
      <c r="O394" s="138"/>
      <c r="P394" s="101">
        <f>SUM(P389:P393)</f>
        <v>3.9999999999999996</v>
      </c>
      <c r="Q394" s="66">
        <f>SUM(Q389:Q393)</f>
        <v>0</v>
      </c>
      <c r="R394" s="66">
        <f>SUM(R389:R393)</f>
        <v>0</v>
      </c>
      <c r="S394" s="66">
        <f>SUM(S389:S393)</f>
        <v>7.48</v>
      </c>
      <c r="T394" s="66">
        <f>SUM(T389:T393)</f>
        <v>13</v>
      </c>
      <c r="U394" s="66">
        <f>SUM(U389:U393)</f>
        <v>5.6375999999999999</v>
      </c>
      <c r="V394" s="66">
        <f>SUM(V389:V393)</f>
        <v>0</v>
      </c>
      <c r="W394" s="66">
        <f>SUM(W389:W393)</f>
        <v>120.6</v>
      </c>
      <c r="X394" s="66">
        <f>SUM(X389:X393)</f>
        <v>313.36</v>
      </c>
      <c r="Y394" s="66">
        <f>SUM(Y389:Y393)</f>
        <v>228.54257615005602</v>
      </c>
      <c r="Z394" s="84">
        <f>SUM(Z389:Z393)</f>
        <v>228.54257615005602</v>
      </c>
      <c r="AA394" s="100"/>
      <c r="AB394" s="100"/>
      <c r="AC394" s="100"/>
      <c r="AD394" s="100"/>
      <c r="AE394" s="100"/>
      <c r="AF394" s="26"/>
      <c r="AG394" s="26"/>
    </row>
    <row r="395" spans="1:33" ht="15.9" customHeight="1">
      <c r="A395" s="52" t="s">
        <v>64</v>
      </c>
      <c r="K395" s="115"/>
      <c r="L395" s="48"/>
      <c r="M395" s="48"/>
      <c r="N395" s="48"/>
      <c r="W395" s="49"/>
      <c r="X395" s="80" t="s">
        <v>620</v>
      </c>
      <c r="Y395" s="92">
        <f>1.02*2866.45</f>
        <v>2923.779</v>
      </c>
      <c r="Z395" s="92">
        <f>1.02*2866.45</f>
        <v>2923.779</v>
      </c>
      <c r="AA395" s="100"/>
      <c r="AB395" s="100"/>
      <c r="AC395" s="100"/>
      <c r="AD395" s="100"/>
      <c r="AE395" s="100"/>
      <c r="AF395" s="26"/>
      <c r="AG395" s="26"/>
    </row>
    <row r="396" spans="1:33" s="91" customFormat="1" ht="27.6">
      <c r="A396" s="87" t="s">
        <v>4</v>
      </c>
      <c r="B396" s="88" t="s">
        <v>5</v>
      </c>
      <c r="C396" s="88" t="s">
        <v>24</v>
      </c>
      <c r="D396" s="88" t="s">
        <v>46</v>
      </c>
      <c r="E396" s="88" t="s">
        <v>67</v>
      </c>
      <c r="F396" s="88" t="s">
        <v>6</v>
      </c>
      <c r="G396" s="88" t="s">
        <v>7</v>
      </c>
      <c r="H396" s="116" t="s">
        <v>8</v>
      </c>
      <c r="I396" s="116" t="s">
        <v>47</v>
      </c>
      <c r="J396" s="116" t="s">
        <v>9</v>
      </c>
      <c r="K396" s="116" t="s">
        <v>14</v>
      </c>
      <c r="L396" s="89" t="s">
        <v>20</v>
      </c>
      <c r="M396" s="89" t="s">
        <v>23</v>
      </c>
      <c r="N396" s="89" t="s">
        <v>21</v>
      </c>
      <c r="O396" s="136" t="s">
        <v>10</v>
      </c>
      <c r="P396" s="90" t="s">
        <v>49</v>
      </c>
      <c r="Q396" s="45" t="s">
        <v>50</v>
      </c>
      <c r="R396" s="45" t="s">
        <v>55</v>
      </c>
      <c r="S396" s="45" t="s">
        <v>70</v>
      </c>
      <c r="T396" s="45" t="s">
        <v>13</v>
      </c>
      <c r="U396" s="45" t="s">
        <v>52</v>
      </c>
      <c r="V396" s="45" t="s">
        <v>48</v>
      </c>
      <c r="W396" s="45" t="s">
        <v>15</v>
      </c>
      <c r="X396" s="50" t="s">
        <v>12</v>
      </c>
      <c r="Y396" s="160" t="s">
        <v>22</v>
      </c>
      <c r="Z396" s="50" t="s">
        <v>68</v>
      </c>
      <c r="AA396" s="100"/>
      <c r="AB396" s="100"/>
      <c r="AC396" s="100"/>
      <c r="AD396" s="100"/>
      <c r="AE396" s="100"/>
      <c r="AF396" s="26"/>
      <c r="AG396" s="26"/>
    </row>
    <row r="397" spans="1:33" s="26" customFormat="1" ht="27.6">
      <c r="A397" s="165" t="s">
        <v>629</v>
      </c>
      <c r="B397" s="96" t="s">
        <v>375</v>
      </c>
      <c r="C397" s="93" t="s">
        <v>376</v>
      </c>
      <c r="D397" s="93">
        <v>147781</v>
      </c>
      <c r="E397" s="93">
        <v>113</v>
      </c>
      <c r="F397" s="93" t="s">
        <v>73</v>
      </c>
      <c r="G397" s="95">
        <v>2</v>
      </c>
      <c r="H397" s="117">
        <v>18.71</v>
      </c>
      <c r="I397" s="117">
        <v>0.38</v>
      </c>
      <c r="J397" s="117">
        <v>0.62</v>
      </c>
      <c r="K397" s="118">
        <f t="shared" ref="K397:K399" si="485">H397-I397-J397</f>
        <v>17.71</v>
      </c>
      <c r="L397" s="97">
        <v>2</v>
      </c>
      <c r="M397" s="97" t="s">
        <v>63</v>
      </c>
      <c r="N397" s="98">
        <v>29</v>
      </c>
      <c r="O397" s="137">
        <v>10</v>
      </c>
      <c r="P397" s="143">
        <v>1.87</v>
      </c>
      <c r="Q397" s="35"/>
      <c r="R397" s="35"/>
      <c r="S397" s="35">
        <f t="shared" ref="S397:S399" si="486">0.02*N397*G397</f>
        <v>1.1599999999999999</v>
      </c>
      <c r="T397" s="35">
        <f t="shared" ref="T397" si="487">2*G397</f>
        <v>4</v>
      </c>
      <c r="U397" s="35">
        <f t="shared" ref="U397:U399" si="488">IF(RIGHT(F397,2)="WG",K397*$AB$4,IF(RIGHT(F397,3)="WRG",K397*$AB$4+3*G397,IF(RIGHT(F397,3)="WYG",K397*$AB$4+3*G397,IF(RIGHT(F397,3)="WYR",K397*$AB$4+3*G397,0))))</f>
        <v>4.2504</v>
      </c>
      <c r="V397" s="35"/>
      <c r="W397" s="35">
        <f>G397*N397*1</f>
        <v>58</v>
      </c>
      <c r="X397" s="35">
        <f t="shared" ref="X397:X399" si="489">K397*O397</f>
        <v>177.10000000000002</v>
      </c>
      <c r="Y397" s="35">
        <f t="shared" ref="Y397:Y398" si="490">($Y$99/31.1035*IF(LEFT(F397,3)="10K",(0.417*1.07*K397),IF(LEFT(F397,3)="14K",(0.585*1.05*K397),IF(LEFT(F397,3)="18K",(0.75*1.05*K397),0))))*0.5</f>
        <v>1.582685600175592</v>
      </c>
      <c r="Z397" s="83">
        <f t="shared" ref="Z397:Z399" si="491">($Z$99/31.1035*IF(LEFT(F397,3)="10K",(0.417*1.07*K397),IF(LEFT(F397,3)="14K",(0.585*1.05*K397),IF(LEFT(F397,3)="18K",(0.75*1.05*K397),0))))*0.5</f>
        <v>1.582685600175592</v>
      </c>
      <c r="AA397" s="100">
        <f t="shared" si="479"/>
        <v>35.42</v>
      </c>
      <c r="AB397" s="100">
        <f t="shared" si="480"/>
        <v>209.09039999999999</v>
      </c>
      <c r="AC397" s="100">
        <f t="shared" si="481"/>
        <v>1437.6248759056361</v>
      </c>
      <c r="AD397" s="100">
        <f t="shared" si="482"/>
        <v>1646.7152759056362</v>
      </c>
      <c r="AE397" s="100">
        <f t="shared" si="483"/>
        <v>10.8783675</v>
      </c>
      <c r="AG397" s="26">
        <f t="shared" si="484"/>
        <v>177.10000000000002</v>
      </c>
    </row>
    <row r="398" spans="1:33" s="26" customFormat="1" ht="27.6">
      <c r="A398" s="94">
        <v>10</v>
      </c>
      <c r="B398" s="96" t="s">
        <v>630</v>
      </c>
      <c r="C398" s="93" t="s">
        <v>631</v>
      </c>
      <c r="D398" s="93">
        <v>147781</v>
      </c>
      <c r="E398" s="93">
        <v>111</v>
      </c>
      <c r="F398" s="93" t="s">
        <v>74</v>
      </c>
      <c r="G398" s="95">
        <v>1</v>
      </c>
      <c r="H398" s="117">
        <v>8.33</v>
      </c>
      <c r="I398" s="117">
        <v>0</v>
      </c>
      <c r="J398" s="117">
        <v>0.31</v>
      </c>
      <c r="K398" s="118">
        <f t="shared" si="485"/>
        <v>8.02</v>
      </c>
      <c r="L398" s="97">
        <v>1</v>
      </c>
      <c r="M398" s="97" t="s">
        <v>63</v>
      </c>
      <c r="N398" s="98">
        <v>72</v>
      </c>
      <c r="O398" s="137">
        <v>9.5</v>
      </c>
      <c r="P398" s="143">
        <v>0.33500000000000002</v>
      </c>
      <c r="Q398" s="35"/>
      <c r="R398" s="35"/>
      <c r="S398" s="35">
        <f t="shared" si="486"/>
        <v>1.44</v>
      </c>
      <c r="T398" s="35">
        <f t="shared" ref="T398" si="492">2*G398</f>
        <v>2</v>
      </c>
      <c r="U398" s="35">
        <f>0.15*N398*G398</f>
        <v>10.799999999999999</v>
      </c>
      <c r="V398" s="35"/>
      <c r="W398" s="35">
        <f t="shared" ref="W398:W399" si="493">G398*N398*0.3</f>
        <v>21.599999999999998</v>
      </c>
      <c r="X398" s="35">
        <f t="shared" si="489"/>
        <v>76.19</v>
      </c>
      <c r="Y398" s="35">
        <f t="shared" si="490"/>
        <v>0.71672154225907658</v>
      </c>
      <c r="Z398" s="83">
        <f t="shared" si="491"/>
        <v>0.71672154225907658</v>
      </c>
      <c r="AA398" s="100">
        <f t="shared" si="479"/>
        <v>16.04</v>
      </c>
      <c r="AB398" s="100">
        <f t="shared" si="480"/>
        <v>95.990000000000009</v>
      </c>
      <c r="AC398" s="100">
        <f t="shared" si="481"/>
        <v>471.9214554697262</v>
      </c>
      <c r="AD398" s="100">
        <f t="shared" si="482"/>
        <v>567.91145546972621</v>
      </c>
      <c r="AE398" s="100">
        <f t="shared" si="483"/>
        <v>4.9262849999999991</v>
      </c>
      <c r="AG398" s="26">
        <f t="shared" si="484"/>
        <v>76.19</v>
      </c>
    </row>
    <row r="399" spans="1:33" s="26" customFormat="1" ht="28.2" thickBot="1">
      <c r="A399" s="94">
        <v>20</v>
      </c>
      <c r="B399" s="96" t="s">
        <v>597</v>
      </c>
      <c r="C399" s="93" t="s">
        <v>598</v>
      </c>
      <c r="D399" s="93">
        <v>147781</v>
      </c>
      <c r="E399" s="93">
        <v>124</v>
      </c>
      <c r="F399" s="93" t="s">
        <v>110</v>
      </c>
      <c r="G399" s="95">
        <v>1</v>
      </c>
      <c r="H399" s="117">
        <v>9.93</v>
      </c>
      <c r="I399" s="117">
        <v>0.51</v>
      </c>
      <c r="J399" s="117">
        <v>0.32</v>
      </c>
      <c r="K399" s="118">
        <f t="shared" si="485"/>
        <v>9.1</v>
      </c>
      <c r="L399" s="97">
        <v>2.2999999999999998</v>
      </c>
      <c r="M399" s="97" t="s">
        <v>63</v>
      </c>
      <c r="N399" s="98">
        <v>50</v>
      </c>
      <c r="O399" s="137">
        <v>10</v>
      </c>
      <c r="P399" s="143">
        <v>2.56</v>
      </c>
      <c r="Q399" s="35"/>
      <c r="R399" s="35"/>
      <c r="S399" s="35">
        <f t="shared" si="486"/>
        <v>1</v>
      </c>
      <c r="T399" s="35">
        <f>6*G399</f>
        <v>6</v>
      </c>
      <c r="U399" s="35">
        <f t="shared" si="488"/>
        <v>5.1839999999999993</v>
      </c>
      <c r="V399" s="35"/>
      <c r="W399" s="35">
        <f t="shared" si="493"/>
        <v>15</v>
      </c>
      <c r="X399" s="35">
        <f t="shared" si="489"/>
        <v>91</v>
      </c>
      <c r="Y399" s="35">
        <f t="shared" ref="Y399" si="494">($Y$99/31.1035*IF(LEFT(F399,3)="10K",(0.417*1.07*K399),IF(LEFT(F399,3)="14K",(0.585*1.05*K399),IF(LEFT(F399,3)="18K",(0.75*1.05*K399),0))))*0.5</f>
        <v>0.81323766016927657</v>
      </c>
      <c r="Z399" s="83">
        <f t="shared" si="491"/>
        <v>0.81323766016927657</v>
      </c>
      <c r="AA399" s="100">
        <f t="shared" si="479"/>
        <v>18.2</v>
      </c>
      <c r="AB399" s="100">
        <f t="shared" si="480"/>
        <v>99.983999999999995</v>
      </c>
      <c r="AC399" s="100">
        <f t="shared" si="481"/>
        <v>1298.2956292611916</v>
      </c>
      <c r="AD399" s="100">
        <f t="shared" si="482"/>
        <v>1398.2796292611915</v>
      </c>
      <c r="AE399" s="100">
        <f t="shared" si="483"/>
        <v>5.5896749999999997</v>
      </c>
      <c r="AG399" s="26">
        <f t="shared" si="484"/>
        <v>91</v>
      </c>
    </row>
    <row r="400" spans="1:33" s="27" customFormat="1" ht="15.9" customHeight="1">
      <c r="A400" s="86" t="s">
        <v>66</v>
      </c>
      <c r="B400" s="63"/>
      <c r="C400" s="63"/>
      <c r="D400" s="63"/>
      <c r="E400" s="63"/>
      <c r="F400" s="63"/>
      <c r="G400" s="64">
        <f>SUM(G397:G399)</f>
        <v>4</v>
      </c>
      <c r="H400" s="119"/>
      <c r="I400" s="119"/>
      <c r="J400" s="119"/>
      <c r="K400" s="119">
        <f>SUM(K397:K399)</f>
        <v>34.83</v>
      </c>
      <c r="L400" s="65"/>
      <c r="M400" s="65"/>
      <c r="N400" s="65"/>
      <c r="O400" s="138"/>
      <c r="P400" s="101">
        <f>SUM(P397:P399)</f>
        <v>4.7650000000000006</v>
      </c>
      <c r="Q400" s="66">
        <f>SUM(Q397:Q399)</f>
        <v>0</v>
      </c>
      <c r="R400" s="66">
        <f>SUM(R397:R399)</f>
        <v>0</v>
      </c>
      <c r="S400" s="66">
        <f>SUM(S397:S399)</f>
        <v>3.5999999999999996</v>
      </c>
      <c r="T400" s="66">
        <f>SUM(T397:T399)</f>
        <v>12</v>
      </c>
      <c r="U400" s="66">
        <f>SUM(U397:U399)</f>
        <v>20.234400000000001</v>
      </c>
      <c r="V400" s="66">
        <f>SUM(V397:V399)</f>
        <v>0</v>
      </c>
      <c r="W400" s="66">
        <f>SUM(W397:W399)</f>
        <v>94.6</v>
      </c>
      <c r="X400" s="66">
        <f>SUM(X397:X399)</f>
        <v>344.29</v>
      </c>
      <c r="Y400" s="66">
        <f>SUM(Y397:Y399)</f>
        <v>3.112644802603945</v>
      </c>
      <c r="Z400" s="84">
        <f>SUM(Z397:Z399)</f>
        <v>3.112644802603945</v>
      </c>
      <c r="AA400" s="100"/>
      <c r="AB400" s="100"/>
      <c r="AC400" s="100"/>
      <c r="AD400" s="100"/>
      <c r="AE400" s="100"/>
      <c r="AF400" s="26"/>
      <c r="AG400" s="26"/>
    </row>
    <row r="401" spans="1:33" ht="15.9" customHeight="1">
      <c r="A401" s="52" t="s">
        <v>64</v>
      </c>
      <c r="K401" s="115"/>
      <c r="L401" s="48"/>
      <c r="M401" s="48"/>
      <c r="N401" s="48"/>
      <c r="W401" s="49"/>
      <c r="X401" s="80" t="s">
        <v>607</v>
      </c>
      <c r="Y401" s="92">
        <f>2918.5*1.02</f>
        <v>2976.87</v>
      </c>
      <c r="Z401" s="92">
        <f>2918.5*1.02</f>
        <v>2976.87</v>
      </c>
      <c r="AA401" s="100"/>
      <c r="AB401" s="100"/>
      <c r="AC401" s="100"/>
      <c r="AD401" s="100"/>
      <c r="AE401" s="100"/>
      <c r="AF401" s="26"/>
      <c r="AG401" s="26"/>
    </row>
    <row r="402" spans="1:33" s="91" customFormat="1" ht="27.6">
      <c r="A402" s="87" t="s">
        <v>4</v>
      </c>
      <c r="B402" s="88" t="s">
        <v>5</v>
      </c>
      <c r="C402" s="88" t="s">
        <v>24</v>
      </c>
      <c r="D402" s="88" t="s">
        <v>46</v>
      </c>
      <c r="E402" s="88" t="s">
        <v>67</v>
      </c>
      <c r="F402" s="88" t="s">
        <v>6</v>
      </c>
      <c r="G402" s="88" t="s">
        <v>7</v>
      </c>
      <c r="H402" s="116" t="s">
        <v>8</v>
      </c>
      <c r="I402" s="116" t="s">
        <v>47</v>
      </c>
      <c r="J402" s="116" t="s">
        <v>9</v>
      </c>
      <c r="K402" s="116" t="s">
        <v>14</v>
      </c>
      <c r="L402" s="89" t="s">
        <v>20</v>
      </c>
      <c r="M402" s="89" t="s">
        <v>23</v>
      </c>
      <c r="N402" s="89" t="s">
        <v>21</v>
      </c>
      <c r="O402" s="136" t="s">
        <v>10</v>
      </c>
      <c r="P402" s="90" t="s">
        <v>49</v>
      </c>
      <c r="Q402" s="45" t="s">
        <v>50</v>
      </c>
      <c r="R402" s="45" t="s">
        <v>55</v>
      </c>
      <c r="S402" s="45" t="s">
        <v>504</v>
      </c>
      <c r="T402" s="45" t="s">
        <v>13</v>
      </c>
      <c r="U402" s="45" t="s">
        <v>52</v>
      </c>
      <c r="V402" s="45" t="s">
        <v>48</v>
      </c>
      <c r="W402" s="45" t="s">
        <v>15</v>
      </c>
      <c r="X402" s="50" t="s">
        <v>12</v>
      </c>
      <c r="Y402" s="160" t="s">
        <v>22</v>
      </c>
      <c r="Z402" s="50" t="s">
        <v>68</v>
      </c>
      <c r="AA402" s="100"/>
      <c r="AB402" s="100"/>
      <c r="AC402" s="100"/>
      <c r="AD402" s="100"/>
      <c r="AE402" s="100"/>
      <c r="AF402" s="26"/>
      <c r="AG402" s="26"/>
    </row>
    <row r="403" spans="1:33" s="26" customFormat="1" ht="27.6">
      <c r="A403" s="94" t="s">
        <v>632</v>
      </c>
      <c r="B403" s="96" t="s">
        <v>536</v>
      </c>
      <c r="C403" s="93" t="s">
        <v>537</v>
      </c>
      <c r="D403" s="96" t="s">
        <v>633</v>
      </c>
      <c r="E403" s="96">
        <v>110</v>
      </c>
      <c r="F403" s="93" t="s">
        <v>73</v>
      </c>
      <c r="G403" s="95">
        <v>1</v>
      </c>
      <c r="H403" s="117">
        <v>8.7200000000000006</v>
      </c>
      <c r="I403" s="117">
        <v>0.06</v>
      </c>
      <c r="J403" s="117">
        <v>0.32</v>
      </c>
      <c r="K403" s="118">
        <f t="shared" ref="K403:K406" si="495">H403-I403-J403</f>
        <v>8.34</v>
      </c>
      <c r="L403" s="97">
        <v>1</v>
      </c>
      <c r="M403" s="97" t="s">
        <v>63</v>
      </c>
      <c r="N403" s="98">
        <v>72</v>
      </c>
      <c r="O403" s="137">
        <v>9.5</v>
      </c>
      <c r="P403" s="143">
        <v>0.32</v>
      </c>
      <c r="Q403" s="35"/>
      <c r="R403" s="35"/>
      <c r="S403" s="35">
        <f>G403*0.02*N403</f>
        <v>1.44</v>
      </c>
      <c r="T403" s="35">
        <f>G403*2</f>
        <v>2</v>
      </c>
      <c r="U403" s="35">
        <f t="shared" ref="U403:U406" si="496">IF(RIGHT(F403,2)="WG",K403*$AB$4,IF(RIGHT(F403,3)="WRG",K403*$AB$4+3*G403,IF(RIGHT(F403,3)="WYG",K403*$AB$4+3*G403,IF(RIGHT(F403,3)="WYR",K403*$AB$4+3*G403,0))))</f>
        <v>2.0015999999999998</v>
      </c>
      <c r="V403" s="35"/>
      <c r="W403" s="35">
        <f>G403*N403*0.3</f>
        <v>21.599999999999998</v>
      </c>
      <c r="X403" s="35">
        <f t="shared" ref="X403:X406" si="497">K403*O403</f>
        <v>79.23</v>
      </c>
      <c r="Y403" s="35">
        <f t="shared" ref="Y403:Y406" si="498">($Y$14/31.1035*IF(LEFT(F403,3)="10K",(0.417*1.07*K403),IF(LEFT(F403,3)="14K",(0.585*1.05*K403),IF(LEFT(F403,3)="18K",(0.75*1.05*K403),0))))*0.5</f>
        <v>252.22264399713856</v>
      </c>
      <c r="Z403" s="83">
        <f t="shared" ref="Z403:Z406" si="499">($Z$14/31.1035*IF(LEFT(F403,3)="10K",(0.417*1.07*K403),IF(LEFT(F403,3)="14K",(0.585*1.05*K403),IF(LEFT(F403,3)="18K",(0.75*1.05*K403),0))))*0.5</f>
        <v>252.22264399713856</v>
      </c>
      <c r="AA403" s="100">
        <f t="shared" si="479"/>
        <v>16.68</v>
      </c>
      <c r="AB403" s="100">
        <f t="shared" si="480"/>
        <v>89.5916</v>
      </c>
      <c r="AC403" s="100">
        <f t="shared" si="481"/>
        <v>480.82471865764893</v>
      </c>
      <c r="AD403" s="100">
        <f t="shared" si="482"/>
        <v>570.41631865764896</v>
      </c>
      <c r="AE403" s="100">
        <f t="shared" si="483"/>
        <v>5.1228449999999999</v>
      </c>
      <c r="AG403" s="26">
        <f t="shared" si="484"/>
        <v>79.23</v>
      </c>
    </row>
    <row r="404" spans="1:33" s="26" customFormat="1" ht="27.6">
      <c r="A404" s="94">
        <v>7</v>
      </c>
      <c r="B404" s="96" t="s">
        <v>536</v>
      </c>
      <c r="C404" s="93" t="s">
        <v>538</v>
      </c>
      <c r="D404" s="96" t="s">
        <v>633</v>
      </c>
      <c r="E404" s="93">
        <v>115</v>
      </c>
      <c r="F404" s="93" t="s">
        <v>74</v>
      </c>
      <c r="G404" s="95">
        <v>6</v>
      </c>
      <c r="H404" s="117">
        <v>51.710000000000008</v>
      </c>
      <c r="I404" s="117">
        <v>0.37</v>
      </c>
      <c r="J404" s="117">
        <v>1.9200000000000002</v>
      </c>
      <c r="K404" s="118">
        <f t="shared" si="495"/>
        <v>49.420000000000009</v>
      </c>
      <c r="L404" s="97">
        <v>1</v>
      </c>
      <c r="M404" s="97" t="s">
        <v>63</v>
      </c>
      <c r="N404" s="98">
        <v>72</v>
      </c>
      <c r="O404" s="137">
        <v>9.5</v>
      </c>
      <c r="P404" s="143">
        <v>1.9200000000000002</v>
      </c>
      <c r="Q404" s="35"/>
      <c r="R404" s="35"/>
      <c r="S404" s="35">
        <f t="shared" ref="S404" si="500">G404*0.02*N404</f>
        <v>8.64</v>
      </c>
      <c r="T404" s="35">
        <f t="shared" ref="T404" si="501">G404*2</f>
        <v>12</v>
      </c>
      <c r="U404" s="35">
        <f t="shared" si="496"/>
        <v>0</v>
      </c>
      <c r="V404" s="35"/>
      <c r="W404" s="35">
        <f>G404*N404*0.3</f>
        <v>129.6</v>
      </c>
      <c r="X404" s="35">
        <f t="shared" si="497"/>
        <v>469.49000000000007</v>
      </c>
      <c r="Y404" s="35">
        <f t="shared" si="498"/>
        <v>1494.585499560982</v>
      </c>
      <c r="Z404" s="83">
        <f t="shared" si="499"/>
        <v>1494.585499560982</v>
      </c>
      <c r="AA404" s="100">
        <f t="shared" si="479"/>
        <v>98.840000000000018</v>
      </c>
      <c r="AB404" s="100">
        <f t="shared" si="480"/>
        <v>520.89</v>
      </c>
      <c r="AC404" s="100">
        <f t="shared" si="481"/>
        <v>2857.5281919458944</v>
      </c>
      <c r="AD404" s="100">
        <f t="shared" si="482"/>
        <v>3378.4181919458943</v>
      </c>
      <c r="AE404" s="100">
        <f t="shared" si="483"/>
        <v>30.356235000000005</v>
      </c>
      <c r="AG404" s="26">
        <f t="shared" si="484"/>
        <v>469.49000000000007</v>
      </c>
    </row>
    <row r="405" spans="1:33" s="26" customFormat="1" ht="27.6">
      <c r="A405" s="94">
        <v>11</v>
      </c>
      <c r="B405" s="93" t="s">
        <v>625</v>
      </c>
      <c r="C405" s="93" t="s">
        <v>626</v>
      </c>
      <c r="D405" s="93" t="s">
        <v>633</v>
      </c>
      <c r="E405" s="93">
        <v>117</v>
      </c>
      <c r="F405" s="93" t="s">
        <v>74</v>
      </c>
      <c r="G405" s="95">
        <v>1</v>
      </c>
      <c r="H405" s="117">
        <v>21.01</v>
      </c>
      <c r="I405" s="117">
        <v>0.2</v>
      </c>
      <c r="J405" s="117">
        <v>0.44</v>
      </c>
      <c r="K405" s="118">
        <f t="shared" si="495"/>
        <v>20.37</v>
      </c>
      <c r="L405" s="97" t="s">
        <v>627</v>
      </c>
      <c r="M405" s="97" t="s">
        <v>75</v>
      </c>
      <c r="N405" s="98" t="s">
        <v>628</v>
      </c>
      <c r="O405" s="137">
        <f>8.5+2</f>
        <v>10.5</v>
      </c>
      <c r="P405" s="143">
        <v>1</v>
      </c>
      <c r="Q405" s="35"/>
      <c r="R405" s="35"/>
      <c r="S405" s="35">
        <f>G405*0.02*(66+33)</f>
        <v>1.98</v>
      </c>
      <c r="T405" s="35">
        <f>G405*2</f>
        <v>2</v>
      </c>
      <c r="U405" s="35">
        <f t="shared" si="496"/>
        <v>0</v>
      </c>
      <c r="V405" s="35"/>
      <c r="W405" s="35">
        <f>G405*(66+33)*0.3</f>
        <v>29.7</v>
      </c>
      <c r="X405" s="35">
        <f t="shared" si="497"/>
        <v>213.88500000000002</v>
      </c>
      <c r="Y405" s="35">
        <f t="shared" si="498"/>
        <v>616.04019882754346</v>
      </c>
      <c r="Z405" s="83">
        <f t="shared" si="499"/>
        <v>616.04019882754346</v>
      </c>
      <c r="AA405" s="100">
        <f t="shared" si="479"/>
        <v>40.74</v>
      </c>
      <c r="AB405" s="100">
        <f t="shared" si="480"/>
        <v>206.82500000000002</v>
      </c>
      <c r="AC405" s="100">
        <f t="shared" si="481"/>
        <v>1250.820740805153</v>
      </c>
      <c r="AD405" s="100">
        <f t="shared" si="482"/>
        <v>1457.6457408051531</v>
      </c>
      <c r="AE405" s="100">
        <f t="shared" si="483"/>
        <v>12.5122725</v>
      </c>
      <c r="AG405" s="26">
        <f t="shared" si="484"/>
        <v>213.88500000000002</v>
      </c>
    </row>
    <row r="406" spans="1:33" s="26" customFormat="1" ht="42" thickBot="1">
      <c r="A406" s="94">
        <v>14</v>
      </c>
      <c r="B406" s="93" t="s">
        <v>530</v>
      </c>
      <c r="C406" s="93" t="s">
        <v>636</v>
      </c>
      <c r="D406" s="93" t="s">
        <v>633</v>
      </c>
      <c r="E406" s="93">
        <v>121</v>
      </c>
      <c r="F406" s="93" t="s">
        <v>73</v>
      </c>
      <c r="G406" s="95">
        <v>1</v>
      </c>
      <c r="H406" s="117">
        <v>8.81</v>
      </c>
      <c r="I406" s="117">
        <v>0.23</v>
      </c>
      <c r="J406" s="117">
        <v>0.32</v>
      </c>
      <c r="K406" s="118">
        <f t="shared" si="495"/>
        <v>8.26</v>
      </c>
      <c r="L406" s="97" t="s">
        <v>634</v>
      </c>
      <c r="M406" s="97" t="s">
        <v>442</v>
      </c>
      <c r="N406" s="98" t="s">
        <v>635</v>
      </c>
      <c r="O406" s="137">
        <f>8.5+2</f>
        <v>10.5</v>
      </c>
      <c r="P406" s="143">
        <v>1.1399999999999999</v>
      </c>
      <c r="Q406" s="35"/>
      <c r="R406" s="35"/>
      <c r="S406" s="35">
        <f>G406*0.02*(21+20)</f>
        <v>0.82000000000000006</v>
      </c>
      <c r="T406" s="35">
        <f t="shared" ref="T406" si="502">G406*2</f>
        <v>2</v>
      </c>
      <c r="U406" s="35">
        <f t="shared" si="496"/>
        <v>1.9823999999999999</v>
      </c>
      <c r="V406" s="35"/>
      <c r="W406" s="35">
        <f>G406*(21+20)*0.3</f>
        <v>12.299999999999999</v>
      </c>
      <c r="X406" s="35">
        <f t="shared" si="497"/>
        <v>86.73</v>
      </c>
      <c r="Y406" s="35">
        <f t="shared" si="498"/>
        <v>249.80324213625471</v>
      </c>
      <c r="Z406" s="83">
        <f t="shared" si="499"/>
        <v>249.80324213625471</v>
      </c>
      <c r="AA406" s="100">
        <f t="shared" si="479"/>
        <v>16.52</v>
      </c>
      <c r="AB406" s="100">
        <f t="shared" si="480"/>
        <v>87.312400000000011</v>
      </c>
      <c r="AC406" s="100">
        <f t="shared" si="481"/>
        <v>764.23507771787422</v>
      </c>
      <c r="AD406" s="100">
        <f t="shared" si="482"/>
        <v>851.54747771787424</v>
      </c>
      <c r="AE406" s="100">
        <f t="shared" si="483"/>
        <v>5.0737049999999995</v>
      </c>
      <c r="AG406" s="26">
        <f t="shared" si="484"/>
        <v>86.73</v>
      </c>
    </row>
    <row r="407" spans="1:33" s="27" customFormat="1" ht="15.9" customHeight="1">
      <c r="A407" s="86" t="s">
        <v>66</v>
      </c>
      <c r="B407" s="63"/>
      <c r="C407" s="63"/>
      <c r="D407" s="63"/>
      <c r="E407" s="63"/>
      <c r="F407" s="63"/>
      <c r="G407" s="64">
        <f>SUM(G403:G406)</f>
        <v>9</v>
      </c>
      <c r="H407" s="119"/>
      <c r="I407" s="119"/>
      <c r="J407" s="119"/>
      <c r="K407" s="119">
        <f>SUM(K403:K406)</f>
        <v>86.390000000000015</v>
      </c>
      <c r="L407" s="65"/>
      <c r="M407" s="65"/>
      <c r="N407" s="65"/>
      <c r="O407" s="138"/>
      <c r="P407" s="101">
        <f>SUM(P403:P406)</f>
        <v>4.38</v>
      </c>
      <c r="Q407" s="66">
        <f>SUM(Q403:Q406)</f>
        <v>0</v>
      </c>
      <c r="R407" s="66">
        <f>SUM(R403:R406)</f>
        <v>0</v>
      </c>
      <c r="S407" s="66">
        <f>SUM(S403:S406)</f>
        <v>12.88</v>
      </c>
      <c r="T407" s="66">
        <f>SUM(T403:T406)</f>
        <v>18</v>
      </c>
      <c r="U407" s="66">
        <f>SUM(U403:U406)</f>
        <v>3.984</v>
      </c>
      <c r="V407" s="66">
        <f>SUM(V403:V406)</f>
        <v>0</v>
      </c>
      <c r="W407" s="66">
        <f>SUM(W403:W406)</f>
        <v>193.2</v>
      </c>
      <c r="X407" s="66">
        <f>SUM(X403:X406)</f>
        <v>849.33500000000004</v>
      </c>
      <c r="Y407" s="66">
        <f>SUM(Y403:Y406)</f>
        <v>2612.6515845219187</v>
      </c>
      <c r="Z407" s="84">
        <f>SUM(Z403:Z406)</f>
        <v>2612.6515845219187</v>
      </c>
      <c r="AA407" s="100"/>
      <c r="AB407" s="100"/>
      <c r="AC407" s="100"/>
      <c r="AD407" s="100"/>
      <c r="AE407" s="100"/>
      <c r="AF407" s="26"/>
      <c r="AG407" s="26"/>
    </row>
    <row r="408" spans="1:33" ht="15.9" customHeight="1">
      <c r="A408" s="52" t="s">
        <v>64</v>
      </c>
      <c r="K408" s="115"/>
      <c r="L408" s="48"/>
      <c r="M408" s="48"/>
      <c r="N408" s="48"/>
      <c r="W408" s="49"/>
      <c r="X408" s="80" t="s">
        <v>637</v>
      </c>
      <c r="Y408" s="92">
        <f>1.02*2901.65</f>
        <v>2959.683</v>
      </c>
      <c r="Z408" s="92">
        <f>1.02*2901.65</f>
        <v>2959.683</v>
      </c>
      <c r="AA408" s="100"/>
      <c r="AB408" s="100"/>
      <c r="AC408" s="100"/>
      <c r="AD408" s="100"/>
      <c r="AE408" s="100"/>
      <c r="AF408" s="26"/>
      <c r="AG408" s="26"/>
    </row>
    <row r="409" spans="1:33" s="91" customFormat="1" ht="27.6">
      <c r="A409" s="87" t="s">
        <v>4</v>
      </c>
      <c r="B409" s="88" t="s">
        <v>5</v>
      </c>
      <c r="C409" s="88" t="s">
        <v>24</v>
      </c>
      <c r="D409" s="88" t="s">
        <v>46</v>
      </c>
      <c r="E409" s="88" t="s">
        <v>67</v>
      </c>
      <c r="F409" s="88" t="s">
        <v>6</v>
      </c>
      <c r="G409" s="88" t="s">
        <v>7</v>
      </c>
      <c r="H409" s="116" t="s">
        <v>8</v>
      </c>
      <c r="I409" s="116" t="s">
        <v>47</v>
      </c>
      <c r="J409" s="116" t="s">
        <v>9</v>
      </c>
      <c r="K409" s="116" t="s">
        <v>14</v>
      </c>
      <c r="L409" s="89" t="s">
        <v>20</v>
      </c>
      <c r="M409" s="89" t="s">
        <v>23</v>
      </c>
      <c r="N409" s="89" t="s">
        <v>21</v>
      </c>
      <c r="O409" s="136" t="s">
        <v>10</v>
      </c>
      <c r="P409" s="90" t="s">
        <v>49</v>
      </c>
      <c r="Q409" s="45" t="s">
        <v>50</v>
      </c>
      <c r="R409" s="45" t="s">
        <v>55</v>
      </c>
      <c r="S409" s="45" t="s">
        <v>504</v>
      </c>
      <c r="T409" s="45" t="s">
        <v>13</v>
      </c>
      <c r="U409" s="45" t="s">
        <v>52</v>
      </c>
      <c r="V409" s="45" t="s">
        <v>48</v>
      </c>
      <c r="W409" s="45" t="s">
        <v>15</v>
      </c>
      <c r="X409" s="50" t="s">
        <v>12</v>
      </c>
      <c r="Y409" s="160" t="s">
        <v>22</v>
      </c>
      <c r="Z409" s="50" t="s">
        <v>68</v>
      </c>
      <c r="AA409" s="100"/>
      <c r="AB409" s="100"/>
      <c r="AC409" s="100"/>
      <c r="AD409" s="100"/>
      <c r="AE409" s="100"/>
      <c r="AF409" s="26"/>
      <c r="AG409" s="26"/>
    </row>
    <row r="410" spans="1:33" s="26" customFormat="1" ht="27.6">
      <c r="A410" s="94" t="s">
        <v>638</v>
      </c>
      <c r="B410" s="96" t="s">
        <v>421</v>
      </c>
      <c r="C410" s="93" t="s">
        <v>422</v>
      </c>
      <c r="D410" s="96" t="s">
        <v>639</v>
      </c>
      <c r="E410" s="93">
        <v>102</v>
      </c>
      <c r="F410" s="93" t="s">
        <v>110</v>
      </c>
      <c r="G410" s="95">
        <v>1</v>
      </c>
      <c r="H410" s="117">
        <v>4.6100000000000003</v>
      </c>
      <c r="I410" s="117">
        <v>0.1</v>
      </c>
      <c r="J410" s="117">
        <v>0.24</v>
      </c>
      <c r="K410" s="118">
        <f t="shared" ref="K410:K413" si="503">H410-I410-J410</f>
        <v>4.2700000000000005</v>
      </c>
      <c r="L410" s="97" t="s">
        <v>423</v>
      </c>
      <c r="M410" s="97" t="s">
        <v>75</v>
      </c>
      <c r="N410" s="98" t="s">
        <v>424</v>
      </c>
      <c r="O410" s="137">
        <f>10+2</f>
        <v>12</v>
      </c>
      <c r="P410" s="143">
        <v>0.48</v>
      </c>
      <c r="Q410" s="35"/>
      <c r="R410" s="35"/>
      <c r="S410" s="35">
        <f>G410*0.02*(2+42)</f>
        <v>0.88</v>
      </c>
      <c r="T410" s="35">
        <f>G410*3</f>
        <v>3</v>
      </c>
      <c r="U410" s="35">
        <f t="shared" ref="U410:U413" si="504">IF(RIGHT(F410,2)="WG",K410*$AB$4,IF(RIGHT(F410,3)="WRG",K410*$AB$4+3*G410,IF(RIGHT(F410,3)="WYG",K410*$AB$4+3*G410,IF(RIGHT(F410,3)="WYR",K410*$AB$4+3*G410,0))))</f>
        <v>4.0247999999999999</v>
      </c>
      <c r="V410" s="35"/>
      <c r="W410" s="35">
        <f>G410*(2*3+42*0.3)</f>
        <v>18.600000000000001</v>
      </c>
      <c r="X410" s="35">
        <f t="shared" ref="X410:X413" si="505">K410*O410</f>
        <v>51.240000000000009</v>
      </c>
      <c r="Y410" s="35">
        <f t="shared" ref="Y410:Y413" si="506">($Y$36/31.1035*IF(LEFT(F410,3)="10K",(0.417*1.07*K410),IF(LEFT(F410,3)="14K",(0.585*1.05*K410),IF(LEFT(F410,3)="18K",(0.75*1.05*K410),0))))*0.5</f>
        <v>40.784102541438088</v>
      </c>
      <c r="Z410" s="83">
        <f t="shared" ref="Z410:Z413" si="507">($Z$36/31.1035*IF(LEFT(F410,3)="10K",(0.417*1.07*K410),IF(LEFT(F410,3)="14K",(0.585*1.05*K410),IF(LEFT(F410,3)="18K",(0.75*1.05*K410),0))))*0.5</f>
        <v>40.784102541438088</v>
      </c>
      <c r="AA410" s="100">
        <f t="shared" si="479"/>
        <v>8.5400000000000009</v>
      </c>
      <c r="AB410" s="100">
        <f t="shared" si="480"/>
        <v>69.204800000000006</v>
      </c>
      <c r="AC410" s="100">
        <f t="shared" si="481"/>
        <v>356.81483798647344</v>
      </c>
      <c r="AD410" s="100">
        <f t="shared" si="482"/>
        <v>426.01963798647341</v>
      </c>
      <c r="AE410" s="100">
        <f t="shared" si="483"/>
        <v>2.6228475000000002</v>
      </c>
      <c r="AG410" s="26">
        <f t="shared" si="484"/>
        <v>51.240000000000009</v>
      </c>
    </row>
    <row r="411" spans="1:33" s="26" customFormat="1" ht="27.6">
      <c r="A411" s="94">
        <v>3</v>
      </c>
      <c r="B411" s="93" t="s">
        <v>360</v>
      </c>
      <c r="C411" s="93" t="s">
        <v>361</v>
      </c>
      <c r="D411" s="93" t="s">
        <v>639</v>
      </c>
      <c r="E411" s="93">
        <v>103</v>
      </c>
      <c r="F411" s="93" t="s">
        <v>73</v>
      </c>
      <c r="G411" s="95">
        <v>1</v>
      </c>
      <c r="H411" s="117">
        <v>3.78</v>
      </c>
      <c r="I411" s="117">
        <v>0.09</v>
      </c>
      <c r="J411" s="117">
        <v>0.18</v>
      </c>
      <c r="K411" s="118">
        <f t="shared" si="503"/>
        <v>3.51</v>
      </c>
      <c r="L411" s="97" t="s">
        <v>362</v>
      </c>
      <c r="M411" s="97" t="s">
        <v>75</v>
      </c>
      <c r="N411" s="98" t="s">
        <v>363</v>
      </c>
      <c r="O411" s="137">
        <f>10+2</f>
        <v>12</v>
      </c>
      <c r="P411" s="143">
        <v>0.45</v>
      </c>
      <c r="Q411" s="35"/>
      <c r="R411" s="35"/>
      <c r="S411" s="35">
        <f>G411*0.02*(9+71)</f>
        <v>1.6</v>
      </c>
      <c r="T411" s="35">
        <f>G411*2</f>
        <v>2</v>
      </c>
      <c r="U411" s="35">
        <f t="shared" si="504"/>
        <v>0.84239999999999993</v>
      </c>
      <c r="V411" s="35"/>
      <c r="W411" s="35">
        <f>G411*(9+71)*0.3</f>
        <v>24</v>
      </c>
      <c r="X411" s="35">
        <f t="shared" si="505"/>
        <v>42.12</v>
      </c>
      <c r="Y411" s="35">
        <f t="shared" si="506"/>
        <v>33.525105367786345</v>
      </c>
      <c r="Z411" s="83">
        <f t="shared" si="507"/>
        <v>33.525105367786345</v>
      </c>
      <c r="AA411" s="100">
        <f t="shared" ref="AA411:AA432" si="508">2*K411</f>
        <v>7.02</v>
      </c>
      <c r="AB411" s="100">
        <f t="shared" ref="AB411:AB432" si="509">(SUM(Q411:W411)+AG411)-AA411</f>
        <v>63.542400000000001</v>
      </c>
      <c r="AC411" s="100">
        <f t="shared" ref="AC411:AC432" si="510">AE411*$AC$13+P411*$AC$14</f>
        <v>312.70496436231883</v>
      </c>
      <c r="AD411" s="100">
        <f t="shared" ref="AD411:AD432" si="511">SUM(AB411:AC411)</f>
        <v>376.24736436231882</v>
      </c>
      <c r="AE411" s="100">
        <f t="shared" ref="AE411:AE432" si="512">IF(LEFT(F411,3)="10K",(0.417*1.07*K411),IF(LEFT(F411,3)="14K",(0.585*1.05*K411),IF(LEFT(F411,3)="18K",(0.75*1.05*K411),0)))</f>
        <v>2.1560174999999999</v>
      </c>
      <c r="AG411" s="26">
        <f t="shared" ref="AG411:AG432" si="513">IF(AF411&gt;0,AF411*K411,X411)</f>
        <v>42.12</v>
      </c>
    </row>
    <row r="412" spans="1:33" s="26" customFormat="1" ht="27.6">
      <c r="A412" s="94">
        <v>7</v>
      </c>
      <c r="B412" s="96" t="s">
        <v>604</v>
      </c>
      <c r="C412" s="93" t="s">
        <v>610</v>
      </c>
      <c r="D412" s="96" t="s">
        <v>639</v>
      </c>
      <c r="E412" s="93">
        <v>107</v>
      </c>
      <c r="F412" s="93" t="s">
        <v>73</v>
      </c>
      <c r="G412" s="95">
        <v>1</v>
      </c>
      <c r="H412" s="117">
        <v>12.96</v>
      </c>
      <c r="I412" s="117">
        <v>0.36</v>
      </c>
      <c r="J412" s="117">
        <v>0.31</v>
      </c>
      <c r="K412" s="118">
        <f t="shared" si="503"/>
        <v>12.290000000000001</v>
      </c>
      <c r="L412" s="97">
        <v>1.75</v>
      </c>
      <c r="M412" s="97" t="s">
        <v>63</v>
      </c>
      <c r="N412" s="98">
        <v>86</v>
      </c>
      <c r="O412" s="137">
        <f>11+2</f>
        <v>13</v>
      </c>
      <c r="P412" s="143">
        <v>1.78</v>
      </c>
      <c r="Q412" s="35"/>
      <c r="R412" s="35"/>
      <c r="S412" s="35">
        <f>G412*0.02*N412</f>
        <v>1.72</v>
      </c>
      <c r="T412" s="35">
        <f>G412*8</f>
        <v>8</v>
      </c>
      <c r="U412" s="35">
        <f t="shared" si="504"/>
        <v>2.9496000000000002</v>
      </c>
      <c r="V412" s="35"/>
      <c r="W412" s="35">
        <f>G412*N412*0.3</f>
        <v>25.8</v>
      </c>
      <c r="X412" s="35">
        <f t="shared" si="505"/>
        <v>159.77000000000001</v>
      </c>
      <c r="Y412" s="35">
        <f t="shared" si="506"/>
        <v>117.38562534760517</v>
      </c>
      <c r="Z412" s="83">
        <f t="shared" si="507"/>
        <v>117.38562534760517</v>
      </c>
      <c r="AA412" s="100">
        <f t="shared" si="508"/>
        <v>24.580000000000002</v>
      </c>
      <c r="AB412" s="100">
        <f t="shared" si="509"/>
        <v>173.65959999999998</v>
      </c>
      <c r="AC412" s="100">
        <f t="shared" si="510"/>
        <v>1166.4256150331723</v>
      </c>
      <c r="AD412" s="100">
        <f t="shared" si="511"/>
        <v>1340.0852150331723</v>
      </c>
      <c r="AE412" s="100">
        <f t="shared" si="512"/>
        <v>7.5491324999999998</v>
      </c>
      <c r="AG412" s="26">
        <f t="shared" si="513"/>
        <v>159.77000000000001</v>
      </c>
    </row>
    <row r="413" spans="1:33" s="26" customFormat="1" ht="28.2" thickBot="1">
      <c r="A413" s="94">
        <v>8</v>
      </c>
      <c r="B413" s="93" t="s">
        <v>640</v>
      </c>
      <c r="C413" s="93" t="s">
        <v>481</v>
      </c>
      <c r="D413" s="93" t="s">
        <v>639</v>
      </c>
      <c r="E413" s="93">
        <v>108</v>
      </c>
      <c r="F413" s="93" t="s">
        <v>74</v>
      </c>
      <c r="G413" s="95">
        <v>3</v>
      </c>
      <c r="H413" s="117">
        <v>21.83</v>
      </c>
      <c r="I413" s="117">
        <v>0.87000000000000011</v>
      </c>
      <c r="J413" s="117">
        <v>0.96</v>
      </c>
      <c r="K413" s="118">
        <f t="shared" si="503"/>
        <v>19.999999999999996</v>
      </c>
      <c r="L413" s="97" t="s">
        <v>548</v>
      </c>
      <c r="M413" s="97" t="s">
        <v>75</v>
      </c>
      <c r="N413" s="98" t="s">
        <v>483</v>
      </c>
      <c r="O413" s="137">
        <v>8.5</v>
      </c>
      <c r="P413" s="143">
        <v>4.335</v>
      </c>
      <c r="Q413" s="35"/>
      <c r="R413" s="35"/>
      <c r="S413" s="35">
        <f>G413*0.02*(12+11)</f>
        <v>1.38</v>
      </c>
      <c r="T413" s="35">
        <f>G413*2</f>
        <v>6</v>
      </c>
      <c r="U413" s="35">
        <f t="shared" si="504"/>
        <v>0</v>
      </c>
      <c r="V413" s="35"/>
      <c r="W413" s="35">
        <f>G413*(12*1+11*8)</f>
        <v>300</v>
      </c>
      <c r="X413" s="35">
        <f t="shared" si="505"/>
        <v>169.99999999999997</v>
      </c>
      <c r="Y413" s="35">
        <f t="shared" si="506"/>
        <v>191.02624141188795</v>
      </c>
      <c r="Z413" s="83">
        <f t="shared" si="507"/>
        <v>191.02624141188795</v>
      </c>
      <c r="AA413" s="100">
        <f t="shared" si="508"/>
        <v>39.999999999999993</v>
      </c>
      <c r="AB413" s="100">
        <f t="shared" si="509"/>
        <v>437.38</v>
      </c>
      <c r="AC413" s="100">
        <f t="shared" si="510"/>
        <v>2401.4974186903378</v>
      </c>
      <c r="AD413" s="100">
        <f t="shared" si="511"/>
        <v>2838.8774186903379</v>
      </c>
      <c r="AE413" s="100">
        <f t="shared" si="512"/>
        <v>12.284999999999997</v>
      </c>
      <c r="AG413" s="26">
        <f t="shared" si="513"/>
        <v>169.99999999999997</v>
      </c>
    </row>
    <row r="414" spans="1:33" s="27" customFormat="1" ht="15.9" customHeight="1">
      <c r="A414" s="86" t="s">
        <v>66</v>
      </c>
      <c r="B414" s="63"/>
      <c r="C414" s="63"/>
      <c r="D414" s="63"/>
      <c r="E414" s="63"/>
      <c r="F414" s="63"/>
      <c r="G414" s="64">
        <f>SUM(G410:G413)</f>
        <v>6</v>
      </c>
      <c r="H414" s="119"/>
      <c r="I414" s="119"/>
      <c r="J414" s="119"/>
      <c r="K414" s="119">
        <f>SUM(K410:K413)</f>
        <v>40.069999999999993</v>
      </c>
      <c r="L414" s="65"/>
      <c r="M414" s="65"/>
      <c r="N414" s="65"/>
      <c r="O414" s="138"/>
      <c r="P414" s="101">
        <f>SUM(P410:P413)</f>
        <v>7.0449999999999999</v>
      </c>
      <c r="Q414" s="66">
        <f>SUM(Q410:Q413)</f>
        <v>0</v>
      </c>
      <c r="R414" s="66">
        <f>SUM(R410:R413)</f>
        <v>0</v>
      </c>
      <c r="S414" s="66">
        <f>SUM(S410:S413)</f>
        <v>5.58</v>
      </c>
      <c r="T414" s="66">
        <f>SUM(T410:T413)</f>
        <v>19</v>
      </c>
      <c r="U414" s="66">
        <f>SUM(U410:U413)</f>
        <v>7.8167999999999997</v>
      </c>
      <c r="V414" s="66">
        <f>SUM(V410:V413)</f>
        <v>0</v>
      </c>
      <c r="W414" s="66">
        <f>SUM(W410:W413)</f>
        <v>368.4</v>
      </c>
      <c r="X414" s="66">
        <f>SUM(X410:X413)</f>
        <v>423.13</v>
      </c>
      <c r="Y414" s="66">
        <f>SUM(Y410:Y413)</f>
        <v>382.72107466871756</v>
      </c>
      <c r="Z414" s="84">
        <f>SUM(Z410:Z413)</f>
        <v>382.72107466871756</v>
      </c>
      <c r="AA414" s="100"/>
      <c r="AB414" s="100"/>
      <c r="AC414" s="100"/>
      <c r="AD414" s="100"/>
      <c r="AE414" s="100"/>
      <c r="AF414" s="26"/>
      <c r="AG414" s="26"/>
    </row>
    <row r="415" spans="1:33" ht="15.9" customHeight="1">
      <c r="A415" s="52" t="s">
        <v>64</v>
      </c>
      <c r="K415" s="115"/>
      <c r="L415" s="48"/>
      <c r="M415" s="48"/>
      <c r="N415" s="48"/>
      <c r="W415" s="49"/>
      <c r="X415" s="80" t="s">
        <v>637</v>
      </c>
      <c r="Y415" s="92">
        <f>1.02*2901.65</f>
        <v>2959.683</v>
      </c>
      <c r="Z415" s="92">
        <f>1.02*2901.65</f>
        <v>2959.683</v>
      </c>
      <c r="AA415" s="100"/>
      <c r="AB415" s="100"/>
      <c r="AC415" s="100"/>
      <c r="AD415" s="100"/>
      <c r="AE415" s="100"/>
      <c r="AF415" s="26"/>
      <c r="AG415" s="26"/>
    </row>
    <row r="416" spans="1:33" s="91" customFormat="1" ht="27.6">
      <c r="A416" s="87" t="s">
        <v>4</v>
      </c>
      <c r="B416" s="88" t="s">
        <v>5</v>
      </c>
      <c r="C416" s="88" t="s">
        <v>24</v>
      </c>
      <c r="D416" s="88" t="s">
        <v>46</v>
      </c>
      <c r="E416" s="88" t="s">
        <v>67</v>
      </c>
      <c r="F416" s="88" t="s">
        <v>6</v>
      </c>
      <c r="G416" s="88" t="s">
        <v>7</v>
      </c>
      <c r="H416" s="116" t="s">
        <v>8</v>
      </c>
      <c r="I416" s="116" t="s">
        <v>47</v>
      </c>
      <c r="J416" s="116" t="s">
        <v>9</v>
      </c>
      <c r="K416" s="116" t="s">
        <v>14</v>
      </c>
      <c r="L416" s="89" t="s">
        <v>20</v>
      </c>
      <c r="M416" s="89" t="s">
        <v>23</v>
      </c>
      <c r="N416" s="89" t="s">
        <v>21</v>
      </c>
      <c r="O416" s="136" t="s">
        <v>10</v>
      </c>
      <c r="P416" s="90" t="s">
        <v>49</v>
      </c>
      <c r="Q416" s="45" t="s">
        <v>50</v>
      </c>
      <c r="R416" s="45" t="s">
        <v>55</v>
      </c>
      <c r="S416" s="45" t="s">
        <v>504</v>
      </c>
      <c r="T416" s="45" t="s">
        <v>13</v>
      </c>
      <c r="U416" s="45" t="s">
        <v>52</v>
      </c>
      <c r="V416" s="45" t="s">
        <v>48</v>
      </c>
      <c r="W416" s="45" t="s">
        <v>15</v>
      </c>
      <c r="X416" s="50" t="s">
        <v>12</v>
      </c>
      <c r="Y416" s="160" t="s">
        <v>22</v>
      </c>
      <c r="Z416" s="50" t="s">
        <v>68</v>
      </c>
      <c r="AA416" s="100"/>
      <c r="AB416" s="100"/>
      <c r="AC416" s="100"/>
      <c r="AD416" s="100"/>
      <c r="AE416" s="100"/>
      <c r="AF416" s="26"/>
      <c r="AG416" s="26"/>
    </row>
    <row r="417" spans="1:33" s="26" customFormat="1" ht="69.599999999999994" thickBot="1">
      <c r="A417" s="94" t="s">
        <v>641</v>
      </c>
      <c r="B417" s="93" t="s">
        <v>428</v>
      </c>
      <c r="C417" s="93" t="s">
        <v>429</v>
      </c>
      <c r="D417" s="93" t="s">
        <v>639</v>
      </c>
      <c r="E417" s="93">
        <v>111</v>
      </c>
      <c r="F417" s="93" t="s">
        <v>74</v>
      </c>
      <c r="G417" s="95">
        <v>1</v>
      </c>
      <c r="H417" s="117">
        <v>4.8099999999999996</v>
      </c>
      <c r="I417" s="117">
        <v>0.06</v>
      </c>
      <c r="J417" s="117">
        <v>0.32</v>
      </c>
      <c r="K417" s="118">
        <f t="shared" ref="K417" si="514">H417-I417-J417</f>
        <v>4.43</v>
      </c>
      <c r="L417" s="97" t="s">
        <v>430</v>
      </c>
      <c r="M417" s="97" t="s">
        <v>367</v>
      </c>
      <c r="N417" s="98" t="s">
        <v>431</v>
      </c>
      <c r="O417" s="137">
        <f>9.5+2</f>
        <v>11.5</v>
      </c>
      <c r="P417" s="143">
        <v>0.2</v>
      </c>
      <c r="Q417" s="35">
        <f>G417*1*20</f>
        <v>20</v>
      </c>
      <c r="R417" s="35"/>
      <c r="S417" s="35">
        <f>G417*0.02*(20+4+2)</f>
        <v>0.52</v>
      </c>
      <c r="T417" s="35">
        <f>G417*2</f>
        <v>2</v>
      </c>
      <c r="U417" s="35">
        <f t="shared" ref="U417" si="515">IF(RIGHT(F417,2)="WG",K417*$AB$4,IF(RIGHT(F417,3)="WRG",K417*$AB$4+3*G417,IF(RIGHT(F417,3)="WYG",K417*$AB$4+3*G417,IF(RIGHT(F417,3)="WYR",K417*$AB$4+3*G417,0))))</f>
        <v>0</v>
      </c>
      <c r="V417" s="35"/>
      <c r="W417" s="35">
        <f>G417*(20+4+2)*0.3</f>
        <v>7.8</v>
      </c>
      <c r="X417" s="35">
        <f t="shared" ref="X417" si="516">K417*O417</f>
        <v>50.944999999999993</v>
      </c>
      <c r="Y417" s="35">
        <f>($Y$51/31.1035*IF(LEFT(F417,3)="10K",(0.417*1.07*K417),IF(LEFT(F417,3)="14K",(0.585*1.05*K417),IF(LEFT(F417,3)="18K",(0.75*1.05*K417),0))))*0.5</f>
        <v>148.62468844426672</v>
      </c>
      <c r="Z417" s="83">
        <f>($Z$51/31.1035*IF(LEFT(F417,3)="10K",(0.417*1.07*K417),IF(LEFT(F417,3)="14K",(0.585*1.05*K417),IF(LEFT(F417,3)="18K",(0.75*1.05*K417),0))))*0.5</f>
        <v>148.62468844426672</v>
      </c>
      <c r="AA417" s="100">
        <f t="shared" si="508"/>
        <v>8.86</v>
      </c>
      <c r="AB417" s="100">
        <f t="shared" si="509"/>
        <v>72.404999999999987</v>
      </c>
      <c r="AC417" s="100">
        <f t="shared" si="510"/>
        <v>265.90860416103061</v>
      </c>
      <c r="AD417" s="100">
        <f t="shared" si="511"/>
        <v>338.31360416103058</v>
      </c>
      <c r="AE417" s="100">
        <f t="shared" si="512"/>
        <v>2.7211274999999997</v>
      </c>
      <c r="AG417" s="26">
        <f t="shared" si="513"/>
        <v>50.944999999999993</v>
      </c>
    </row>
    <row r="418" spans="1:33" s="27" customFormat="1" ht="15.9" customHeight="1">
      <c r="A418" s="86" t="s">
        <v>66</v>
      </c>
      <c r="B418" s="63"/>
      <c r="C418" s="63"/>
      <c r="D418" s="63"/>
      <c r="E418" s="63"/>
      <c r="F418" s="63"/>
      <c r="G418" s="64">
        <f>SUM(G417:G417)</f>
        <v>1</v>
      </c>
      <c r="H418" s="119"/>
      <c r="I418" s="119"/>
      <c r="J418" s="119"/>
      <c r="K418" s="119">
        <f>SUM(K417:K417)</f>
        <v>4.43</v>
      </c>
      <c r="L418" s="65"/>
      <c r="M418" s="65"/>
      <c r="N418" s="65"/>
      <c r="O418" s="138"/>
      <c r="P418" s="101">
        <f t="shared" ref="P418:Z418" si="517">SUM(P417:P417)</f>
        <v>0.2</v>
      </c>
      <c r="Q418" s="66">
        <f t="shared" si="517"/>
        <v>20</v>
      </c>
      <c r="R418" s="66">
        <f t="shared" si="517"/>
        <v>0</v>
      </c>
      <c r="S418" s="66">
        <f t="shared" si="517"/>
        <v>0.52</v>
      </c>
      <c r="T418" s="66">
        <f t="shared" si="517"/>
        <v>2</v>
      </c>
      <c r="U418" s="66">
        <f t="shared" si="517"/>
        <v>0</v>
      </c>
      <c r="V418" s="66">
        <f t="shared" si="517"/>
        <v>0</v>
      </c>
      <c r="W418" s="66">
        <f t="shared" si="517"/>
        <v>7.8</v>
      </c>
      <c r="X418" s="66">
        <f t="shared" si="517"/>
        <v>50.944999999999993</v>
      </c>
      <c r="Y418" s="66">
        <f t="shared" si="517"/>
        <v>148.62468844426672</v>
      </c>
      <c r="Z418" s="84">
        <f t="shared" si="517"/>
        <v>148.62468844426672</v>
      </c>
      <c r="AA418" s="100"/>
      <c r="AB418" s="100"/>
      <c r="AC418" s="100"/>
      <c r="AD418" s="100"/>
      <c r="AE418" s="100"/>
      <c r="AF418" s="26"/>
      <c r="AG418" s="26"/>
    </row>
    <row r="419" spans="1:33" ht="15.9" customHeight="1">
      <c r="A419" s="52" t="s">
        <v>64</v>
      </c>
      <c r="K419" s="115"/>
      <c r="L419" s="48"/>
      <c r="M419" s="48"/>
      <c r="N419" s="48"/>
      <c r="W419" s="49"/>
      <c r="X419" s="80" t="s">
        <v>642</v>
      </c>
      <c r="Y419" s="92">
        <f>2861.2*1.02</f>
        <v>2918.424</v>
      </c>
      <c r="Z419" s="92">
        <f>2861.2*1.02</f>
        <v>2918.424</v>
      </c>
      <c r="AA419" s="100"/>
      <c r="AB419" s="100"/>
      <c r="AC419" s="100"/>
      <c r="AD419" s="100"/>
      <c r="AE419" s="100"/>
      <c r="AF419" s="26"/>
      <c r="AG419" s="26"/>
    </row>
    <row r="420" spans="1:33" s="91" customFormat="1" ht="27.6">
      <c r="A420" s="87" t="s">
        <v>4</v>
      </c>
      <c r="B420" s="88" t="s">
        <v>5</v>
      </c>
      <c r="C420" s="88" t="s">
        <v>24</v>
      </c>
      <c r="D420" s="88" t="s">
        <v>46</v>
      </c>
      <c r="E420" s="88" t="s">
        <v>67</v>
      </c>
      <c r="F420" s="88" t="s">
        <v>6</v>
      </c>
      <c r="G420" s="88" t="s">
        <v>7</v>
      </c>
      <c r="H420" s="116" t="s">
        <v>8</v>
      </c>
      <c r="I420" s="116" t="s">
        <v>47</v>
      </c>
      <c r="J420" s="116" t="s">
        <v>9</v>
      </c>
      <c r="K420" s="116" t="s">
        <v>14</v>
      </c>
      <c r="L420" s="89" t="s">
        <v>20</v>
      </c>
      <c r="M420" s="89" t="s">
        <v>23</v>
      </c>
      <c r="N420" s="89" t="s">
        <v>21</v>
      </c>
      <c r="O420" s="136" t="s">
        <v>10</v>
      </c>
      <c r="P420" s="90" t="s">
        <v>49</v>
      </c>
      <c r="Q420" s="45" t="s">
        <v>50</v>
      </c>
      <c r="R420" s="45" t="s">
        <v>55</v>
      </c>
      <c r="S420" s="45" t="s">
        <v>70</v>
      </c>
      <c r="T420" s="45" t="s">
        <v>13</v>
      </c>
      <c r="U420" s="45" t="s">
        <v>52</v>
      </c>
      <c r="V420" s="45" t="s">
        <v>48</v>
      </c>
      <c r="W420" s="45" t="s">
        <v>15</v>
      </c>
      <c r="X420" s="50" t="s">
        <v>12</v>
      </c>
      <c r="Y420" s="160" t="s">
        <v>22</v>
      </c>
      <c r="Z420" s="50" t="s">
        <v>68</v>
      </c>
      <c r="AA420" s="100"/>
      <c r="AB420" s="100"/>
      <c r="AC420" s="100"/>
      <c r="AD420" s="100"/>
      <c r="AE420" s="100"/>
      <c r="AF420" s="26"/>
      <c r="AG420" s="26"/>
    </row>
    <row r="421" spans="1:33" s="26" customFormat="1" ht="55.2">
      <c r="A421" s="165" t="s">
        <v>643</v>
      </c>
      <c r="B421" s="93" t="s">
        <v>644</v>
      </c>
      <c r="C421" s="93" t="s">
        <v>176</v>
      </c>
      <c r="D421" s="93">
        <v>147644</v>
      </c>
      <c r="E421" s="93"/>
      <c r="F421" s="93" t="s">
        <v>74</v>
      </c>
      <c r="G421" s="167">
        <v>1</v>
      </c>
      <c r="H421" s="168">
        <v>5.62</v>
      </c>
      <c r="I421" s="168">
        <v>0.16</v>
      </c>
      <c r="J421" s="168">
        <v>0.31</v>
      </c>
      <c r="K421" s="169">
        <f t="shared" ref="K421:K422" si="518">H421-I421-J421</f>
        <v>5.15</v>
      </c>
      <c r="L421" s="97" t="s">
        <v>173</v>
      </c>
      <c r="M421" s="97" t="s">
        <v>174</v>
      </c>
      <c r="N421" s="98" t="s">
        <v>175</v>
      </c>
      <c r="O421" s="137">
        <v>8.5</v>
      </c>
      <c r="P421" s="143">
        <v>0.81</v>
      </c>
      <c r="Q421" s="35"/>
      <c r="R421" s="35"/>
      <c r="S421" s="35">
        <f>0.02*(12+14+14+7)*G421</f>
        <v>0.94000000000000006</v>
      </c>
      <c r="T421" s="35">
        <f t="shared" ref="T421:T422" si="519">2*G421</f>
        <v>2</v>
      </c>
      <c r="U421" s="35">
        <f t="shared" ref="U421:U422" si="520">IF(RIGHT(F421,2)="WG",K421*$AB$4,IF(RIGHT(F421,3)="WRG",K421*$AB$4+3*G421,IF(RIGHT(F421,3)="WYG",K421*$AB$4+3*G421,IF(RIGHT(F421,3)="WYR",K421*$AB$4+3*G421,0))))</f>
        <v>0</v>
      </c>
      <c r="V421" s="35"/>
      <c r="W421" s="35">
        <f>G421*(12+14+14+7)*0.3</f>
        <v>14.1</v>
      </c>
      <c r="X421" s="35">
        <f t="shared" ref="X421:X422" si="521">K421*O421</f>
        <v>43.775000000000006</v>
      </c>
      <c r="Y421" s="35">
        <f t="shared" ref="Y421:Y422" si="522">($Y$14/31.1035*IF(LEFT(F421,3)="10K",(0.417*1.07*K421),IF(LEFT(F421,3)="14K",(0.585*1.05*K421),IF(LEFT(F421,3)="18K",(0.75*1.05*K421),0))))*0.5</f>
        <v>155.74899479439614</v>
      </c>
      <c r="Z421" s="83">
        <f t="shared" ref="Z421:Z422" si="523">($Z$14/31.1035*IF(LEFT(F421,3)="10K",(0.417*1.07*K421),IF(LEFT(F421,3)="14K",(0.585*1.05*K421),IF(LEFT(F421,3)="18K",(0.75*1.05*K421),0))))*0.5</f>
        <v>155.74899479439614</v>
      </c>
      <c r="AA421" s="100">
        <f t="shared" si="508"/>
        <v>10.3</v>
      </c>
      <c r="AB421" s="100">
        <f t="shared" si="509"/>
        <v>50.515000000000001</v>
      </c>
      <c r="AC421" s="100">
        <f t="shared" si="510"/>
        <v>511.21296785217396</v>
      </c>
      <c r="AD421" s="100">
        <f t="shared" si="511"/>
        <v>561.72796785217395</v>
      </c>
      <c r="AE421" s="100">
        <f t="shared" si="512"/>
        <v>3.1633875000000002</v>
      </c>
      <c r="AG421" s="26">
        <f t="shared" si="513"/>
        <v>43.775000000000006</v>
      </c>
    </row>
    <row r="422" spans="1:33" s="26" customFormat="1" ht="42" thickBot="1">
      <c r="A422" s="94">
        <v>7</v>
      </c>
      <c r="B422" s="93" t="s">
        <v>645</v>
      </c>
      <c r="C422" s="93" t="s">
        <v>646</v>
      </c>
      <c r="D422" s="93">
        <v>147644</v>
      </c>
      <c r="E422" s="93"/>
      <c r="F422" s="93" t="s">
        <v>74</v>
      </c>
      <c r="G422" s="167">
        <v>1</v>
      </c>
      <c r="H422" s="168">
        <v>9.2799999999999994</v>
      </c>
      <c r="I422" s="168">
        <v>0.23</v>
      </c>
      <c r="J422" s="168">
        <v>0.3</v>
      </c>
      <c r="K422" s="169">
        <f t="shared" si="518"/>
        <v>8.7499999999999982</v>
      </c>
      <c r="L422" s="97" t="s">
        <v>90</v>
      </c>
      <c r="M422" s="97" t="s">
        <v>91</v>
      </c>
      <c r="N422" s="98" t="s">
        <v>92</v>
      </c>
      <c r="O422" s="137">
        <v>10.5</v>
      </c>
      <c r="P422" s="143">
        <v>1.155</v>
      </c>
      <c r="Q422" s="35"/>
      <c r="R422" s="35"/>
      <c r="S422" s="35">
        <f>0.02*(8+32+12)*G422</f>
        <v>1.04</v>
      </c>
      <c r="T422" s="35">
        <f t="shared" si="519"/>
        <v>2</v>
      </c>
      <c r="U422" s="35">
        <f t="shared" si="520"/>
        <v>0</v>
      </c>
      <c r="V422" s="35"/>
      <c r="W422" s="35">
        <f>((8+12)*0.6+(0.3*32))*G422</f>
        <v>21.6</v>
      </c>
      <c r="X422" s="35">
        <f t="shared" si="521"/>
        <v>91.874999999999986</v>
      </c>
      <c r="Y422" s="35">
        <f t="shared" si="522"/>
        <v>264.62207853416811</v>
      </c>
      <c r="Z422" s="83">
        <f t="shared" si="523"/>
        <v>264.62207853416811</v>
      </c>
      <c r="AA422" s="100">
        <f t="shared" si="508"/>
        <v>17.499999999999996</v>
      </c>
      <c r="AB422" s="100">
        <f t="shared" si="509"/>
        <v>99.014999999999986</v>
      </c>
      <c r="AC422" s="100">
        <f t="shared" si="510"/>
        <v>791.1548745299516</v>
      </c>
      <c r="AD422" s="100">
        <f t="shared" si="511"/>
        <v>890.16987452995158</v>
      </c>
      <c r="AE422" s="100">
        <f t="shared" si="512"/>
        <v>5.3746874999999985</v>
      </c>
      <c r="AG422" s="26">
        <f t="shared" si="513"/>
        <v>91.874999999999986</v>
      </c>
    </row>
    <row r="423" spans="1:33" s="27" customFormat="1" ht="15.9" customHeight="1">
      <c r="A423" s="86" t="s">
        <v>66</v>
      </c>
      <c r="B423" s="63"/>
      <c r="C423" s="63"/>
      <c r="D423" s="63"/>
      <c r="E423" s="63"/>
      <c r="F423" s="63"/>
      <c r="G423" s="170">
        <f>SUM(G421:G422)</f>
        <v>2</v>
      </c>
      <c r="H423" s="171"/>
      <c r="I423" s="171"/>
      <c r="J423" s="171"/>
      <c r="K423" s="171">
        <f>SUM(K421:K422)</f>
        <v>13.899999999999999</v>
      </c>
      <c r="L423" s="65"/>
      <c r="M423" s="65"/>
      <c r="N423" s="65"/>
      <c r="O423" s="138"/>
      <c r="P423" s="101">
        <f t="shared" ref="P423:Z423" si="524">SUM(P421:P422)</f>
        <v>1.9650000000000001</v>
      </c>
      <c r="Q423" s="66">
        <f t="shared" si="524"/>
        <v>0</v>
      </c>
      <c r="R423" s="66">
        <f t="shared" si="524"/>
        <v>0</v>
      </c>
      <c r="S423" s="66">
        <f t="shared" si="524"/>
        <v>1.98</v>
      </c>
      <c r="T423" s="66">
        <f t="shared" si="524"/>
        <v>4</v>
      </c>
      <c r="U423" s="66">
        <f t="shared" si="524"/>
        <v>0</v>
      </c>
      <c r="V423" s="66">
        <f t="shared" si="524"/>
        <v>0</v>
      </c>
      <c r="W423" s="66">
        <f t="shared" si="524"/>
        <v>35.700000000000003</v>
      </c>
      <c r="X423" s="66">
        <f t="shared" si="524"/>
        <v>135.64999999999998</v>
      </c>
      <c r="Y423" s="66">
        <f t="shared" si="524"/>
        <v>420.37107332856425</v>
      </c>
      <c r="Z423" s="84">
        <f t="shared" si="524"/>
        <v>420.37107332856425</v>
      </c>
      <c r="AA423" s="100"/>
      <c r="AB423" s="100"/>
      <c r="AC423" s="100"/>
      <c r="AD423" s="100"/>
      <c r="AE423" s="100"/>
      <c r="AF423" s="26"/>
      <c r="AG423" s="26"/>
    </row>
    <row r="424" spans="1:33" ht="15.9" customHeight="1">
      <c r="A424" s="52" t="s">
        <v>64</v>
      </c>
      <c r="K424" s="115"/>
      <c r="L424" s="48"/>
      <c r="M424" s="48"/>
      <c r="N424" s="48"/>
      <c r="W424" s="49"/>
      <c r="X424" s="80" t="s">
        <v>642</v>
      </c>
      <c r="Y424" s="92">
        <f>2861.2*1.02</f>
        <v>2918.424</v>
      </c>
      <c r="Z424" s="92">
        <f>2861.2*1.02</f>
        <v>2918.424</v>
      </c>
      <c r="AA424" s="100"/>
      <c r="AB424" s="100"/>
      <c r="AC424" s="100"/>
      <c r="AD424" s="100"/>
      <c r="AE424" s="100"/>
      <c r="AF424" s="26"/>
      <c r="AG424" s="26"/>
    </row>
    <row r="425" spans="1:33" s="91" customFormat="1" ht="27.6">
      <c r="A425" s="87" t="s">
        <v>4</v>
      </c>
      <c r="B425" s="88" t="s">
        <v>5</v>
      </c>
      <c r="C425" s="88" t="s">
        <v>24</v>
      </c>
      <c r="D425" s="88" t="s">
        <v>46</v>
      </c>
      <c r="E425" s="88" t="s">
        <v>67</v>
      </c>
      <c r="F425" s="88" t="s">
        <v>6</v>
      </c>
      <c r="G425" s="88" t="s">
        <v>7</v>
      </c>
      <c r="H425" s="116" t="s">
        <v>8</v>
      </c>
      <c r="I425" s="116" t="s">
        <v>47</v>
      </c>
      <c r="J425" s="116" t="s">
        <v>9</v>
      </c>
      <c r="K425" s="116" t="s">
        <v>14</v>
      </c>
      <c r="L425" s="89" t="s">
        <v>20</v>
      </c>
      <c r="M425" s="89" t="s">
        <v>23</v>
      </c>
      <c r="N425" s="89" t="s">
        <v>21</v>
      </c>
      <c r="O425" s="136" t="s">
        <v>10</v>
      </c>
      <c r="P425" s="90" t="s">
        <v>49</v>
      </c>
      <c r="Q425" s="45" t="s">
        <v>50</v>
      </c>
      <c r="R425" s="45" t="s">
        <v>55</v>
      </c>
      <c r="S425" s="45" t="s">
        <v>70</v>
      </c>
      <c r="T425" s="45" t="s">
        <v>13</v>
      </c>
      <c r="U425" s="45" t="s">
        <v>52</v>
      </c>
      <c r="V425" s="45" t="s">
        <v>48</v>
      </c>
      <c r="W425" s="45" t="s">
        <v>15</v>
      </c>
      <c r="X425" s="50" t="s">
        <v>12</v>
      </c>
      <c r="Y425" s="160" t="s">
        <v>22</v>
      </c>
      <c r="Z425" s="50" t="s">
        <v>68</v>
      </c>
      <c r="AA425" s="100"/>
      <c r="AB425" s="100"/>
      <c r="AC425" s="100"/>
      <c r="AD425" s="100"/>
      <c r="AE425" s="100"/>
      <c r="AF425" s="26"/>
      <c r="AG425" s="26"/>
    </row>
    <row r="426" spans="1:33" s="26" customFormat="1" ht="27.6">
      <c r="A426" s="165" t="s">
        <v>647</v>
      </c>
      <c r="B426" s="93" t="s">
        <v>441</v>
      </c>
      <c r="C426" s="93" t="s">
        <v>648</v>
      </c>
      <c r="D426" s="93">
        <v>147663</v>
      </c>
      <c r="E426" s="93">
        <v>120</v>
      </c>
      <c r="F426" s="93" t="s">
        <v>159</v>
      </c>
      <c r="G426" s="95">
        <v>1</v>
      </c>
      <c r="H426" s="117">
        <v>6.37</v>
      </c>
      <c r="I426" s="117">
        <v>0.11</v>
      </c>
      <c r="J426" s="117">
        <v>0.31</v>
      </c>
      <c r="K426" s="118">
        <f t="shared" ref="K426:K427" si="525">H426-I426-J426</f>
        <v>5.95</v>
      </c>
      <c r="L426" s="97">
        <v>2.1</v>
      </c>
      <c r="M426" s="97" t="s">
        <v>63</v>
      </c>
      <c r="N426" s="98">
        <v>14</v>
      </c>
      <c r="O426" s="137">
        <v>8.5</v>
      </c>
      <c r="P426" s="143">
        <v>0.53500000000000003</v>
      </c>
      <c r="Q426" s="35"/>
      <c r="R426" s="35"/>
      <c r="S426" s="35">
        <f t="shared" ref="S426:S427" si="526">0.02*N426*G426</f>
        <v>0.28000000000000003</v>
      </c>
      <c r="T426" s="35">
        <f t="shared" ref="T426:T427" si="527">2*G426</f>
        <v>2</v>
      </c>
      <c r="U426" s="35">
        <f t="shared" ref="U426" si="528">IF(RIGHT(F426,2)="WG",K426*$AB$4,IF(RIGHT(F426,3)="WRG",K426*$AB$4+3*G426,IF(RIGHT(F426,3)="WYG",K426*$AB$4+3*G426,IF(RIGHT(F426,3)="WYR",K426*$AB$4+3*G426,0))))</f>
        <v>0</v>
      </c>
      <c r="V426" s="35"/>
      <c r="W426" s="35">
        <f t="shared" ref="W426:W427" si="529">G426*N426*0.3</f>
        <v>4.2</v>
      </c>
      <c r="X426" s="35">
        <f t="shared" ref="X426:X427" si="530">K426*O426</f>
        <v>50.575000000000003</v>
      </c>
      <c r="Y426" s="35">
        <f t="shared" ref="Y426:Y427" si="531">($Y$25/31.1035*IF(LEFT(F426,3)="10K",(0.417*1.07*K426),IF(LEFT(F426,3)="14K",(0.585*1.05*K426),IF(LEFT(F426,3)="18K",(0.75*1.05*K426),0))))*0.5</f>
        <v>68.877550611683375</v>
      </c>
      <c r="Z426" s="83">
        <f t="shared" ref="Z426:Z427" si="532">($Z$25/31.1035*IF(LEFT(F426,3)="10K",(0.417*1.07*K426),IF(LEFT(F426,3)="14K",(0.585*1.05*K426),IF(LEFT(F426,3)="18K",(0.75*1.05*K426),0))))*0.5</f>
        <v>68.877550611683375</v>
      </c>
      <c r="AA426" s="100">
        <f t="shared" si="508"/>
        <v>11.9</v>
      </c>
      <c r="AB426" s="100">
        <f t="shared" si="509"/>
        <v>45.155000000000008</v>
      </c>
      <c r="AC426" s="100">
        <f t="shared" si="510"/>
        <v>450.36105963075681</v>
      </c>
      <c r="AD426" s="100">
        <f t="shared" si="511"/>
        <v>495.51605963075684</v>
      </c>
      <c r="AE426" s="100">
        <f t="shared" si="512"/>
        <v>3.6547874999999999</v>
      </c>
      <c r="AG426" s="26">
        <f t="shared" si="513"/>
        <v>50.575000000000003</v>
      </c>
    </row>
    <row r="427" spans="1:33" s="26" customFormat="1" ht="28.2" thickBot="1">
      <c r="A427" s="94">
        <v>16</v>
      </c>
      <c r="B427" s="93" t="s">
        <v>649</v>
      </c>
      <c r="C427" s="93" t="s">
        <v>650</v>
      </c>
      <c r="D427" s="93">
        <v>147663</v>
      </c>
      <c r="E427" s="93">
        <v>121</v>
      </c>
      <c r="F427" s="93" t="s">
        <v>159</v>
      </c>
      <c r="G427" s="95">
        <v>1</v>
      </c>
      <c r="H427" s="117">
        <v>7.02</v>
      </c>
      <c r="I427" s="117">
        <v>0.11</v>
      </c>
      <c r="J427" s="117">
        <v>0.33</v>
      </c>
      <c r="K427" s="118">
        <f t="shared" si="525"/>
        <v>6.5799999999999992</v>
      </c>
      <c r="L427" s="97">
        <v>2.1</v>
      </c>
      <c r="M427" s="97" t="s">
        <v>63</v>
      </c>
      <c r="N427" s="98">
        <v>14</v>
      </c>
      <c r="O427" s="137">
        <v>8.5</v>
      </c>
      <c r="P427" s="143">
        <v>0.55500000000000005</v>
      </c>
      <c r="Q427" s="35"/>
      <c r="R427" s="35"/>
      <c r="S427" s="35">
        <f t="shared" si="526"/>
        <v>0.28000000000000003</v>
      </c>
      <c r="T427" s="35">
        <f t="shared" si="527"/>
        <v>2</v>
      </c>
      <c r="U427" s="35"/>
      <c r="V427" s="35"/>
      <c r="W427" s="35">
        <f t="shared" si="529"/>
        <v>4.2</v>
      </c>
      <c r="X427" s="35">
        <f t="shared" si="530"/>
        <v>55.929999999999993</v>
      </c>
      <c r="Y427" s="35">
        <f t="shared" si="531"/>
        <v>76.170467735273363</v>
      </c>
      <c r="Z427" s="83">
        <f t="shared" si="532"/>
        <v>76.170467735273363</v>
      </c>
      <c r="AA427" s="100">
        <f t="shared" si="508"/>
        <v>13.159999999999998</v>
      </c>
      <c r="AB427" s="100">
        <f t="shared" si="509"/>
        <v>49.25</v>
      </c>
      <c r="AC427" s="100">
        <f t="shared" si="510"/>
        <v>485.22218204685987</v>
      </c>
      <c r="AD427" s="100">
        <f t="shared" si="511"/>
        <v>534.47218204685987</v>
      </c>
      <c r="AE427" s="100">
        <f t="shared" si="512"/>
        <v>4.0417649999999989</v>
      </c>
      <c r="AG427" s="26">
        <f t="shared" si="513"/>
        <v>55.929999999999993</v>
      </c>
    </row>
    <row r="428" spans="1:33" s="27" customFormat="1" ht="15.9" customHeight="1">
      <c r="A428" s="86" t="s">
        <v>66</v>
      </c>
      <c r="B428" s="63"/>
      <c r="C428" s="63"/>
      <c r="D428" s="63"/>
      <c r="E428" s="63"/>
      <c r="F428" s="63"/>
      <c r="G428" s="64">
        <f>SUM(G426:G427)</f>
        <v>2</v>
      </c>
      <c r="H428" s="119"/>
      <c r="I428" s="119"/>
      <c r="J428" s="119"/>
      <c r="K428" s="119">
        <f>SUM(K426:K427)</f>
        <v>12.53</v>
      </c>
      <c r="L428" s="65"/>
      <c r="M428" s="65"/>
      <c r="N428" s="65"/>
      <c r="O428" s="138"/>
      <c r="P428" s="101">
        <f>SUM(P426:P427)</f>
        <v>1.0900000000000001</v>
      </c>
      <c r="Q428" s="66">
        <f>SUM(Q426:Q427)</f>
        <v>0</v>
      </c>
      <c r="R428" s="66">
        <f>SUM(R426:R427)</f>
        <v>0</v>
      </c>
      <c r="S428" s="66">
        <f>SUM(S426:S427)</f>
        <v>0.56000000000000005</v>
      </c>
      <c r="T428" s="66">
        <f>SUM(T426:T427)</f>
        <v>4</v>
      </c>
      <c r="U428" s="66">
        <f>SUM(U426:U427)</f>
        <v>0</v>
      </c>
      <c r="V428" s="66">
        <f>SUM(V426:V427)</f>
        <v>0</v>
      </c>
      <c r="W428" s="66">
        <f>SUM(W426:W427)</f>
        <v>8.4</v>
      </c>
      <c r="X428" s="66">
        <f>SUM(X426:X427)</f>
        <v>106.505</v>
      </c>
      <c r="Y428" s="66">
        <f>SUM(Y426:Y427)</f>
        <v>145.04801834695672</v>
      </c>
      <c r="Z428" s="84">
        <f>SUM(Z426:Z427)</f>
        <v>145.04801834695672</v>
      </c>
      <c r="AA428" s="100"/>
      <c r="AB428" s="100"/>
      <c r="AC428" s="100"/>
      <c r="AD428" s="100"/>
      <c r="AE428" s="100"/>
      <c r="AF428" s="26"/>
      <c r="AG428" s="26"/>
    </row>
    <row r="429" spans="1:33" ht="15.9" customHeight="1">
      <c r="A429" s="52" t="s">
        <v>64</v>
      </c>
      <c r="K429" s="115"/>
      <c r="L429" s="48"/>
      <c r="M429" s="48"/>
      <c r="N429" s="48"/>
      <c r="W429" s="49"/>
      <c r="X429" s="80" t="s">
        <v>642</v>
      </c>
      <c r="Y429" s="92">
        <f>2861.2*1.02</f>
        <v>2918.424</v>
      </c>
      <c r="Z429" s="92">
        <f>2861.2*1.02</f>
        <v>2918.424</v>
      </c>
      <c r="AA429" s="100"/>
      <c r="AB429" s="100"/>
      <c r="AC429" s="100"/>
      <c r="AD429" s="100"/>
      <c r="AE429" s="100"/>
      <c r="AF429" s="26"/>
      <c r="AG429" s="26"/>
    </row>
    <row r="430" spans="1:33" s="91" customFormat="1" ht="27.6">
      <c r="A430" s="87" t="s">
        <v>4</v>
      </c>
      <c r="B430" s="88" t="s">
        <v>5</v>
      </c>
      <c r="C430" s="88" t="s">
        <v>24</v>
      </c>
      <c r="D430" s="88" t="s">
        <v>46</v>
      </c>
      <c r="E430" s="88" t="s">
        <v>67</v>
      </c>
      <c r="F430" s="88" t="s">
        <v>6</v>
      </c>
      <c r="G430" s="88" t="s">
        <v>7</v>
      </c>
      <c r="H430" s="116" t="s">
        <v>8</v>
      </c>
      <c r="I430" s="116" t="s">
        <v>47</v>
      </c>
      <c r="J430" s="116" t="s">
        <v>9</v>
      </c>
      <c r="K430" s="116" t="s">
        <v>14</v>
      </c>
      <c r="L430" s="89" t="s">
        <v>20</v>
      </c>
      <c r="M430" s="89" t="s">
        <v>23</v>
      </c>
      <c r="N430" s="89" t="s">
        <v>21</v>
      </c>
      <c r="O430" s="136" t="s">
        <v>10</v>
      </c>
      <c r="P430" s="90" t="s">
        <v>49</v>
      </c>
      <c r="Q430" s="45" t="s">
        <v>50</v>
      </c>
      <c r="R430" s="45" t="s">
        <v>55</v>
      </c>
      <c r="S430" s="45" t="s">
        <v>70</v>
      </c>
      <c r="T430" s="45" t="s">
        <v>13</v>
      </c>
      <c r="U430" s="45" t="s">
        <v>52</v>
      </c>
      <c r="V430" s="45" t="s">
        <v>48</v>
      </c>
      <c r="W430" s="45" t="s">
        <v>15</v>
      </c>
      <c r="X430" s="50" t="s">
        <v>12</v>
      </c>
      <c r="Y430" s="160" t="s">
        <v>22</v>
      </c>
      <c r="Z430" s="50" t="s">
        <v>68</v>
      </c>
      <c r="AA430" s="100"/>
      <c r="AB430" s="100"/>
      <c r="AC430" s="100"/>
      <c r="AD430" s="100"/>
      <c r="AE430" s="100"/>
      <c r="AF430" s="26"/>
      <c r="AG430" s="26"/>
    </row>
    <row r="431" spans="1:33" s="26" customFormat="1" ht="41.4">
      <c r="A431" s="165" t="s">
        <v>651</v>
      </c>
      <c r="B431" s="93" t="s">
        <v>652</v>
      </c>
      <c r="C431" s="93" t="s">
        <v>653</v>
      </c>
      <c r="D431" s="93">
        <v>147664</v>
      </c>
      <c r="E431" s="93">
        <v>101</v>
      </c>
      <c r="F431" s="93" t="s">
        <v>73</v>
      </c>
      <c r="G431" s="95">
        <v>1</v>
      </c>
      <c r="H431" s="117">
        <v>5.32</v>
      </c>
      <c r="I431" s="117">
        <v>0.1</v>
      </c>
      <c r="J431" s="117">
        <v>0.72</v>
      </c>
      <c r="K431" s="118">
        <f>H431-I431-J431</f>
        <v>4.5000000000000009</v>
      </c>
      <c r="L431" s="97" t="s">
        <v>654</v>
      </c>
      <c r="M431" s="97" t="s">
        <v>91</v>
      </c>
      <c r="N431" s="98" t="s">
        <v>655</v>
      </c>
      <c r="O431" s="137">
        <v>9.5</v>
      </c>
      <c r="P431" s="143">
        <v>0.51</v>
      </c>
      <c r="Q431" s="35"/>
      <c r="R431" s="35"/>
      <c r="S431" s="35">
        <f>0.02*(18+18+27)*G431</f>
        <v>1.26</v>
      </c>
      <c r="T431" s="35">
        <f t="shared" ref="T431" si="533">2*G431</f>
        <v>2</v>
      </c>
      <c r="U431" s="35">
        <f t="shared" ref="U431:U433" si="534">IF(RIGHT(F431,2)="WG",K431*$AB$4,IF(RIGHT(F431,3)="WRG",K431*$AB$4+3*G431,IF(RIGHT(F431,3)="WYG",K431*$AB$4+3*G431,IF(RIGHT(F431,3)="WYR",K431*$AB$4+3*G431,0))))</f>
        <v>1.08</v>
      </c>
      <c r="V431" s="35"/>
      <c r="W431" s="35">
        <f>G431*(18+18+27)*0.3</f>
        <v>18.899999999999999</v>
      </c>
      <c r="X431" s="35">
        <f t="shared" ref="X431:X433" si="535">K431*O431</f>
        <v>42.750000000000007</v>
      </c>
      <c r="Y431" s="35">
        <f>($Y$50/31.1035*IF(LEFT(F431,3)="10K",(0.417*1.07*K431),IF(LEFT(F431,3)="14K",(0.585*1.05*K431),IF(LEFT(F431,3)="18K",(0.75*1.05*K431),0))))*0.5</f>
        <v>7.1594804279259083</v>
      </c>
      <c r="Z431" s="83">
        <f>($Z$50/31.1035*IF(LEFT(F431,3)="10K",(0.417*1.07*K431),IF(LEFT(F431,3)="14K",(0.585*1.05*K431),IF(LEFT(F431,3)="18K",(0.75*1.05*K431),0))))*0.5</f>
        <v>7.1594804279259083</v>
      </c>
      <c r="AA431" s="100">
        <f t="shared" si="508"/>
        <v>9.0000000000000018</v>
      </c>
      <c r="AB431" s="100">
        <f t="shared" si="509"/>
        <v>56.990000000000009</v>
      </c>
      <c r="AC431" s="100">
        <f t="shared" si="510"/>
        <v>377.48493161062805</v>
      </c>
      <c r="AD431" s="100">
        <f t="shared" si="511"/>
        <v>434.47493161062806</v>
      </c>
      <c r="AE431" s="100">
        <f t="shared" si="512"/>
        <v>2.7641250000000004</v>
      </c>
      <c r="AG431" s="26">
        <f t="shared" si="513"/>
        <v>42.750000000000007</v>
      </c>
    </row>
    <row r="432" spans="1:33" s="26" customFormat="1" ht="41.4">
      <c r="A432" s="94">
        <v>3</v>
      </c>
      <c r="B432" s="96" t="s">
        <v>349</v>
      </c>
      <c r="C432" s="93" t="s">
        <v>350</v>
      </c>
      <c r="D432" s="93">
        <v>147664</v>
      </c>
      <c r="E432" s="93">
        <v>103</v>
      </c>
      <c r="F432" s="93" t="s">
        <v>110</v>
      </c>
      <c r="G432" s="95">
        <v>3</v>
      </c>
      <c r="H432" s="117">
        <v>13.809999999999999</v>
      </c>
      <c r="I432" s="117">
        <v>0.90999999999999992</v>
      </c>
      <c r="J432" s="117">
        <v>0.72</v>
      </c>
      <c r="K432" s="118">
        <f t="shared" ref="K432:K433" si="536">H432-I432-J432</f>
        <v>12.179999999999998</v>
      </c>
      <c r="L432" s="97" t="s">
        <v>656</v>
      </c>
      <c r="M432" s="97" t="s">
        <v>91</v>
      </c>
      <c r="N432" s="98" t="s">
        <v>351</v>
      </c>
      <c r="O432" s="137">
        <v>10</v>
      </c>
      <c r="P432" s="143">
        <v>4.58</v>
      </c>
      <c r="Q432" s="35"/>
      <c r="R432" s="35"/>
      <c r="S432" s="35">
        <f>0.02*(1+16+104)*G432</f>
        <v>7.26</v>
      </c>
      <c r="T432" s="35">
        <f>3*G432</f>
        <v>9</v>
      </c>
      <c r="U432" s="35">
        <f t="shared" si="534"/>
        <v>11.9232</v>
      </c>
      <c r="V432" s="35"/>
      <c r="W432" s="35">
        <f>((4.5*1)+(16+104)*0.3)*G432</f>
        <v>121.5</v>
      </c>
      <c r="X432" s="35">
        <f t="shared" si="535"/>
        <v>121.79999999999998</v>
      </c>
      <c r="Y432" s="35">
        <f>($Y$50/31.1035*IF(LEFT(F432,3)="10K",(0.417*1.07*K432),IF(LEFT(F432,3)="14K",(0.585*1.05*K432),IF(LEFT(F432,3)="18K",(0.75*1.05*K432),0))))*0.5</f>
        <v>19.37832702491945</v>
      </c>
      <c r="Z432" s="83">
        <f>($Z$50/31.1035*IF(LEFT(F432,3)="10K",(0.417*1.07*K432),IF(LEFT(F432,3)="14K",(0.585*1.05*K432),IF(LEFT(F432,3)="18K",(0.75*1.05*K432),0))))*0.5</f>
        <v>19.37832702491945</v>
      </c>
      <c r="AA432" s="100">
        <f t="shared" si="508"/>
        <v>24.359999999999996</v>
      </c>
      <c r="AB432" s="100">
        <f t="shared" si="509"/>
        <v>247.12320000000003</v>
      </c>
      <c r="AC432" s="100">
        <f t="shared" si="510"/>
        <v>2141.3846932876004</v>
      </c>
      <c r="AD432" s="100">
        <f t="shared" si="511"/>
        <v>2388.5078932876004</v>
      </c>
      <c r="AE432" s="100">
        <f t="shared" si="512"/>
        <v>7.481564999999998</v>
      </c>
      <c r="AG432" s="26">
        <f t="shared" si="513"/>
        <v>121.79999999999998</v>
      </c>
    </row>
    <row r="433" spans="1:33" s="26" customFormat="1" ht="42" thickBot="1">
      <c r="A433" s="94">
        <v>10</v>
      </c>
      <c r="B433" s="93" t="s">
        <v>657</v>
      </c>
      <c r="C433" s="93" t="s">
        <v>418</v>
      </c>
      <c r="D433" s="93">
        <v>147664</v>
      </c>
      <c r="E433" s="93">
        <v>111</v>
      </c>
      <c r="F433" s="93" t="s">
        <v>73</v>
      </c>
      <c r="G433" s="95">
        <v>2</v>
      </c>
      <c r="H433" s="117">
        <v>8.83</v>
      </c>
      <c r="I433" s="117">
        <v>0.32</v>
      </c>
      <c r="J433" s="117">
        <v>0.36</v>
      </c>
      <c r="K433" s="118">
        <f t="shared" si="536"/>
        <v>8.15</v>
      </c>
      <c r="L433" s="97" t="s">
        <v>419</v>
      </c>
      <c r="M433" s="97" t="s">
        <v>91</v>
      </c>
      <c r="N433" s="98" t="s">
        <v>420</v>
      </c>
      <c r="O433" s="137">
        <v>10</v>
      </c>
      <c r="P433" s="143">
        <v>1.56</v>
      </c>
      <c r="Q433" s="35"/>
      <c r="R433" s="35"/>
      <c r="S433" s="35">
        <f>0.02*(34+2+1)*G433</f>
        <v>1.48</v>
      </c>
      <c r="T433" s="35">
        <f>4*G433</f>
        <v>8</v>
      </c>
      <c r="U433" s="35">
        <f t="shared" si="534"/>
        <v>1.956</v>
      </c>
      <c r="V433" s="35"/>
      <c r="W433" s="35">
        <f>((0.3*34)+(2+1)*3)*G433</f>
        <v>38.4</v>
      </c>
      <c r="X433" s="35">
        <f t="shared" si="535"/>
        <v>81.5</v>
      </c>
      <c r="Y433" s="35">
        <f t="shared" ref="Y433" si="537">($Y$50/31.1035*IF(LEFT(F433,3)="10K",(0.417*1.07*K433),IF(LEFT(F433,3)="14K",(0.585*1.05*K433),IF(LEFT(F433,3)="18K",(0.75*1.05*K433),0))))*0.5</f>
        <v>12.966614552799145</v>
      </c>
      <c r="Z433" s="83">
        <f t="shared" ref="Z433" si="538">($Z$50/31.1035*IF(LEFT(F433,3)="10K",(0.417*1.07*K433),IF(LEFT(F433,3)="14K",(0.585*1.05*K433),IF(LEFT(F433,3)="18K",(0.75*1.05*K433),0))))*0.5</f>
        <v>12.966614552799145</v>
      </c>
      <c r="AA433" s="100">
        <f t="shared" ref="AA433:AA438" si="539">2*K433</f>
        <v>16.3</v>
      </c>
      <c r="AB433" s="100">
        <f t="shared" ref="AB433:AB438" si="540">(SUM(Q433:W433)+AG433)-AA433</f>
        <v>115.03600000000002</v>
      </c>
      <c r="AC433" s="100">
        <f t="shared" ref="AC433:AC438" si="541">AE433*$AC$13+P433*$AC$14</f>
        <v>906.34380845603869</v>
      </c>
      <c r="AD433" s="100">
        <f t="shared" ref="AD433:AD438" si="542">SUM(AB433:AC433)</f>
        <v>1021.3798084560387</v>
      </c>
      <c r="AE433" s="100">
        <f t="shared" ref="AE433:AE438" si="543">IF(LEFT(F433,3)="10K",(0.417*1.07*K433),IF(LEFT(F433,3)="14K",(0.585*1.05*K433),IF(LEFT(F433,3)="18K",(0.75*1.05*K433),0)))</f>
        <v>5.0061375000000004</v>
      </c>
      <c r="AG433" s="26">
        <f t="shared" ref="AG433:AG438" si="544">IF(AF433&gt;0,AF433*K433,X433)</f>
        <v>81.5</v>
      </c>
    </row>
    <row r="434" spans="1:33" s="27" customFormat="1" ht="15.9" customHeight="1">
      <c r="A434" s="86" t="s">
        <v>66</v>
      </c>
      <c r="B434" s="63"/>
      <c r="C434" s="63"/>
      <c r="D434" s="63"/>
      <c r="E434" s="63"/>
      <c r="F434" s="63"/>
      <c r="G434" s="64">
        <f>SUM(G431:G433)</f>
        <v>6</v>
      </c>
      <c r="H434" s="119"/>
      <c r="I434" s="119"/>
      <c r="J434" s="119"/>
      <c r="K434" s="119">
        <f>SUM(K431:K433)</f>
        <v>24.83</v>
      </c>
      <c r="L434" s="65"/>
      <c r="M434" s="65"/>
      <c r="N434" s="65"/>
      <c r="O434" s="138"/>
      <c r="P434" s="101">
        <f>SUM(P431:P433)</f>
        <v>6.65</v>
      </c>
      <c r="Q434" s="66">
        <f>SUM(Q431:Q433)</f>
        <v>0</v>
      </c>
      <c r="R434" s="66">
        <f>SUM(R431:R433)</f>
        <v>0</v>
      </c>
      <c r="S434" s="66">
        <f>SUM(S431:S433)</f>
        <v>10</v>
      </c>
      <c r="T434" s="66">
        <f>SUM(T431:T433)</f>
        <v>19</v>
      </c>
      <c r="U434" s="66">
        <f>SUM(U431:U433)</f>
        <v>14.959199999999999</v>
      </c>
      <c r="V434" s="66">
        <f>SUM(V431:V433)</f>
        <v>0</v>
      </c>
      <c r="W434" s="66">
        <f>SUM(W431:W433)</f>
        <v>178.8</v>
      </c>
      <c r="X434" s="66">
        <f>SUM(X431:X433)</f>
        <v>246.04999999999998</v>
      </c>
      <c r="Y434" s="66">
        <f>SUM(Y431:Y433)</f>
        <v>39.5044220056445</v>
      </c>
      <c r="Z434" s="84">
        <f>SUM(Z431:Z433)</f>
        <v>39.5044220056445</v>
      </c>
      <c r="AA434" s="100"/>
      <c r="AB434" s="100"/>
      <c r="AC434" s="100"/>
      <c r="AD434" s="100"/>
      <c r="AE434" s="100"/>
      <c r="AF434" s="26"/>
      <c r="AG434" s="26"/>
    </row>
    <row r="435" spans="1:33" ht="15.9" customHeight="1">
      <c r="A435" s="52" t="s">
        <v>64</v>
      </c>
      <c r="K435" s="115"/>
      <c r="L435" s="48"/>
      <c r="M435" s="48"/>
      <c r="N435" s="48"/>
      <c r="W435" s="49"/>
      <c r="X435" s="80" t="s">
        <v>658</v>
      </c>
      <c r="Y435" s="92">
        <f>2940.6*1.02</f>
        <v>2999.4119999999998</v>
      </c>
      <c r="Z435" s="92">
        <f>2940.6*1.02</f>
        <v>2999.4119999999998</v>
      </c>
      <c r="AA435" s="100"/>
      <c r="AB435" s="100"/>
      <c r="AC435" s="100"/>
      <c r="AD435" s="100"/>
      <c r="AE435" s="100"/>
      <c r="AF435" s="26"/>
      <c r="AG435" s="26"/>
    </row>
    <row r="436" spans="1:33" s="91" customFormat="1" ht="27.6">
      <c r="A436" s="87" t="s">
        <v>4</v>
      </c>
      <c r="B436" s="88" t="s">
        <v>5</v>
      </c>
      <c r="C436" s="88" t="s">
        <v>24</v>
      </c>
      <c r="D436" s="88" t="s">
        <v>46</v>
      </c>
      <c r="E436" s="88" t="s">
        <v>67</v>
      </c>
      <c r="F436" s="88" t="s">
        <v>6</v>
      </c>
      <c r="G436" s="88" t="s">
        <v>7</v>
      </c>
      <c r="H436" s="116" t="s">
        <v>8</v>
      </c>
      <c r="I436" s="116" t="s">
        <v>47</v>
      </c>
      <c r="J436" s="116" t="s">
        <v>9</v>
      </c>
      <c r="K436" s="116" t="s">
        <v>14</v>
      </c>
      <c r="L436" s="89" t="s">
        <v>20</v>
      </c>
      <c r="M436" s="89" t="s">
        <v>23</v>
      </c>
      <c r="N436" s="89" t="s">
        <v>21</v>
      </c>
      <c r="O436" s="136" t="s">
        <v>10</v>
      </c>
      <c r="P436" s="90" t="s">
        <v>49</v>
      </c>
      <c r="Q436" s="45" t="s">
        <v>50</v>
      </c>
      <c r="R436" s="45" t="s">
        <v>55</v>
      </c>
      <c r="S436" s="45" t="s">
        <v>504</v>
      </c>
      <c r="T436" s="45" t="s">
        <v>13</v>
      </c>
      <c r="U436" s="45" t="s">
        <v>52</v>
      </c>
      <c r="V436" s="45" t="s">
        <v>48</v>
      </c>
      <c r="W436" s="45" t="s">
        <v>15</v>
      </c>
      <c r="X436" s="50" t="s">
        <v>12</v>
      </c>
      <c r="Y436" s="160" t="s">
        <v>22</v>
      </c>
      <c r="Z436" s="50" t="s">
        <v>68</v>
      </c>
      <c r="AA436" s="100"/>
      <c r="AB436" s="100"/>
      <c r="AC436" s="100"/>
      <c r="AD436" s="100"/>
      <c r="AE436" s="100"/>
      <c r="AF436" s="26"/>
      <c r="AG436" s="26"/>
    </row>
    <row r="437" spans="1:33" s="26" customFormat="1" ht="27.6">
      <c r="A437" s="94" t="s">
        <v>659</v>
      </c>
      <c r="B437" s="93" t="s">
        <v>660</v>
      </c>
      <c r="C437" s="93" t="s">
        <v>538</v>
      </c>
      <c r="D437" s="93">
        <v>147979</v>
      </c>
      <c r="E437" s="93">
        <v>105</v>
      </c>
      <c r="F437" s="93" t="s">
        <v>74</v>
      </c>
      <c r="G437" s="95">
        <v>2</v>
      </c>
      <c r="H437" s="117">
        <v>17.46</v>
      </c>
      <c r="I437" s="117">
        <v>7.0000000000000007E-2</v>
      </c>
      <c r="J437" s="117">
        <v>0.64</v>
      </c>
      <c r="K437" s="118">
        <f t="shared" ref="K437:K438" si="545">H437-I437-J437</f>
        <v>16.75</v>
      </c>
      <c r="L437" s="97">
        <v>1</v>
      </c>
      <c r="M437" s="97" t="s">
        <v>63</v>
      </c>
      <c r="N437" s="98">
        <v>72</v>
      </c>
      <c r="O437" s="137">
        <v>9.5</v>
      </c>
      <c r="P437" s="143">
        <v>0.34</v>
      </c>
      <c r="Q437" s="35"/>
      <c r="R437" s="35"/>
      <c r="S437" s="35">
        <f>G437*0.02*N437</f>
        <v>2.88</v>
      </c>
      <c r="T437" s="35">
        <f t="shared" ref="T437:T438" si="546">G437*2</f>
        <v>4</v>
      </c>
      <c r="U437" s="35">
        <f t="shared" ref="U437:U438" si="547">IF(RIGHT(F437,2)="WG",K437*$AB$4,IF(RIGHT(F437,3)="WRG",K437*$AB$4+3*G437,IF(RIGHT(F437,3)="WYG",K437*$AB$4+3*G437,IF(RIGHT(F437,3)="WYR",K437*$AB$4+3*G437,0))))</f>
        <v>0</v>
      </c>
      <c r="V437" s="35"/>
      <c r="W437" s="35">
        <f>G437*N437*0.3</f>
        <v>43.199999999999996</v>
      </c>
      <c r="X437" s="35">
        <f t="shared" ref="X437:X438" si="548">K437*O437</f>
        <v>159.125</v>
      </c>
      <c r="Y437" s="35">
        <f t="shared" ref="Y437:Y438" si="549">($Y$50/31.1035*IF(LEFT(F437,3)="10K",(0.417*1.07*K437),IF(LEFT(F437,3)="14K",(0.585*1.05*K437),IF(LEFT(F437,3)="18K",(0.75*1.05*K437),0))))*0.5</f>
        <v>26.64917714839088</v>
      </c>
      <c r="Z437" s="83">
        <f t="shared" ref="Z437:Z438" si="550">($Z$50/31.1035*IF(LEFT(F437,3)="10K",(0.417*1.07*K437),IF(LEFT(F437,3)="14K",(0.585*1.05*K437),IF(LEFT(F437,3)="18K",(0.75*1.05*K437),0))))*0.5</f>
        <v>26.64917714839088</v>
      </c>
      <c r="AA437" s="100">
        <f t="shared" si="539"/>
        <v>33.5</v>
      </c>
      <c r="AB437" s="100">
        <f t="shared" si="540"/>
        <v>175.70499999999998</v>
      </c>
      <c r="AC437" s="100">
        <f t="shared" si="541"/>
        <v>859.76412107375199</v>
      </c>
      <c r="AD437" s="100">
        <f t="shared" si="542"/>
        <v>1035.4691210737519</v>
      </c>
      <c r="AE437" s="100">
        <f t="shared" si="543"/>
        <v>10.2886875</v>
      </c>
      <c r="AG437" s="26">
        <f t="shared" si="544"/>
        <v>159.125</v>
      </c>
    </row>
    <row r="438" spans="1:33" s="26" customFormat="1" ht="28.2" thickBot="1">
      <c r="A438" s="94">
        <v>6</v>
      </c>
      <c r="B438" s="93" t="s">
        <v>588</v>
      </c>
      <c r="C438" s="93" t="s">
        <v>589</v>
      </c>
      <c r="D438" s="93">
        <v>147979</v>
      </c>
      <c r="E438" s="93">
        <v>106</v>
      </c>
      <c r="F438" s="93" t="s">
        <v>73</v>
      </c>
      <c r="G438" s="95">
        <v>3</v>
      </c>
      <c r="H438" s="117">
        <v>28.589999999999996</v>
      </c>
      <c r="I438" s="117">
        <v>2.25</v>
      </c>
      <c r="J438" s="117">
        <v>0.96</v>
      </c>
      <c r="K438" s="118">
        <f t="shared" si="545"/>
        <v>25.379999999999995</v>
      </c>
      <c r="L438" s="97">
        <v>2.5499999999999998</v>
      </c>
      <c r="M438" s="97" t="s">
        <v>63</v>
      </c>
      <c r="N438" s="98">
        <v>59</v>
      </c>
      <c r="O438" s="137">
        <v>8.5</v>
      </c>
      <c r="P438" s="143">
        <v>11.260000000000002</v>
      </c>
      <c r="Q438" s="35"/>
      <c r="R438" s="35"/>
      <c r="S438" s="35">
        <f>G438*0.02*N438</f>
        <v>3.54</v>
      </c>
      <c r="T438" s="35">
        <f t="shared" si="546"/>
        <v>6</v>
      </c>
      <c r="U438" s="35">
        <f t="shared" si="547"/>
        <v>6.0911999999999988</v>
      </c>
      <c r="V438" s="35"/>
      <c r="W438" s="35">
        <f>G438*N438*0.3</f>
        <v>53.1</v>
      </c>
      <c r="X438" s="35">
        <f t="shared" si="548"/>
        <v>215.72999999999996</v>
      </c>
      <c r="Y438" s="35">
        <f t="shared" si="549"/>
        <v>40.37946961350211</v>
      </c>
      <c r="Z438" s="83">
        <f t="shared" si="550"/>
        <v>40.37946961350211</v>
      </c>
      <c r="AA438" s="100">
        <f t="shared" si="539"/>
        <v>50.759999999999991</v>
      </c>
      <c r="AB438" s="100">
        <f t="shared" si="540"/>
        <v>233.70119999999997</v>
      </c>
      <c r="AC438" s="100">
        <f t="shared" si="541"/>
        <v>5062.7478602660231</v>
      </c>
      <c r="AD438" s="100">
        <f t="shared" si="542"/>
        <v>5296.4490602660226</v>
      </c>
      <c r="AE438" s="100">
        <f t="shared" si="543"/>
        <v>15.589664999999997</v>
      </c>
      <c r="AG438" s="26">
        <f t="shared" si="544"/>
        <v>215.72999999999996</v>
      </c>
    </row>
    <row r="439" spans="1:33" s="27" customFormat="1" ht="15.9" customHeight="1">
      <c r="A439" s="86" t="s">
        <v>66</v>
      </c>
      <c r="B439" s="63"/>
      <c r="C439" s="63"/>
      <c r="D439" s="63"/>
      <c r="E439" s="63"/>
      <c r="F439" s="63"/>
      <c r="G439" s="64">
        <f>SUM(G437:G438)</f>
        <v>5</v>
      </c>
      <c r="H439" s="119"/>
      <c r="I439" s="119"/>
      <c r="J439" s="119"/>
      <c r="K439" s="119">
        <f>SUM(K437:K438)</f>
        <v>42.129999999999995</v>
      </c>
      <c r="L439" s="65"/>
      <c r="M439" s="65"/>
      <c r="N439" s="65"/>
      <c r="O439" s="138"/>
      <c r="P439" s="101">
        <f>SUM(P437:P438)</f>
        <v>11.600000000000001</v>
      </c>
      <c r="Q439" s="66">
        <f>SUM(Q437:Q438)</f>
        <v>0</v>
      </c>
      <c r="R439" s="66">
        <f>SUM(R437:R438)</f>
        <v>0</v>
      </c>
      <c r="S439" s="66">
        <f>SUM(S437:S438)</f>
        <v>6.42</v>
      </c>
      <c r="T439" s="66">
        <f>SUM(T437:T438)</f>
        <v>10</v>
      </c>
      <c r="U439" s="66">
        <f>SUM(U437:U438)</f>
        <v>6.0911999999999988</v>
      </c>
      <c r="V439" s="66">
        <f>SUM(V437:V438)</f>
        <v>0</v>
      </c>
      <c r="W439" s="66">
        <f>SUM(W437:W438)</f>
        <v>96.3</v>
      </c>
      <c r="X439" s="66">
        <f>SUM(X437:X438)</f>
        <v>374.85499999999996</v>
      </c>
      <c r="Y439" s="66">
        <f>SUM(Y437:Y438)</f>
        <v>67.028646761892986</v>
      </c>
      <c r="Z439" s="84">
        <f>SUM(Z437:Z438)</f>
        <v>67.028646761892986</v>
      </c>
      <c r="AA439" s="100"/>
      <c r="AB439" s="163">
        <f>SUM(AB16:AB438)</f>
        <v>34809.816399999989</v>
      </c>
      <c r="AC439" s="163">
        <f t="shared" ref="AC439:AE439" si="551">SUM(AC16:AC438)</f>
        <v>322783.35983863863</v>
      </c>
      <c r="AD439" s="163">
        <f t="shared" si="551"/>
        <v>357593.17623863841</v>
      </c>
      <c r="AE439" s="163">
        <f t="shared" si="551"/>
        <v>1787.0068124999996</v>
      </c>
      <c r="AG439" s="163">
        <f>SUM(AG16:AG438)</f>
        <v>28230.890000000014</v>
      </c>
    </row>
    <row r="440" spans="1:33" s="27" customFormat="1" ht="15.9" customHeight="1">
      <c r="A440" s="145" t="s">
        <v>62</v>
      </c>
      <c r="B440" s="21"/>
      <c r="C440" s="21"/>
      <c r="D440" s="21"/>
      <c r="E440" s="21"/>
      <c r="F440" s="21"/>
      <c r="G440" s="146">
        <f>SUM(G439,G434,G428,G423,G418,G414,G407,G400,G394,G386,G381,G377,G370,G366,G362,G358,G349,G345,G341,G335,G327,G323,G315,G304,G300,G295,G288,G284,G280,G276,G264,G259,G254,G245,G241,G234,G226,G222,G218,G206,G194,G189,G181,G171,G159,G152,G133,G120,G112,G108,G100,G87,G78,G62,G58,G54,G50,G46,G42,G36,G29,G25,G17)</f>
        <v>365</v>
      </c>
      <c r="H440" s="147"/>
      <c r="I440" s="147"/>
      <c r="J440" s="147"/>
      <c r="K440" s="147">
        <f>SUM(K439,K434,K428,K423,K418,K414,K407,K400,K394,K386,K381,K377,K370,K366,K362,K358,K349,K345,K341,K335,K327,K323,K315,K304,K300,K295,K288,K284,K280,K276,K264,K259,K254,K245,K241,K234,K226,K222,K218,K206,K194,K189,K181,K171,K159,K152,K133,K120,K112,K108,K100,K87,K78,K62,K58,K54,K50,K46,K42,K36,K29,K25,K17)</f>
        <v>2909.2500000000005</v>
      </c>
      <c r="L440" s="148"/>
      <c r="M440" s="148"/>
      <c r="N440" s="148"/>
      <c r="O440" s="149"/>
      <c r="P440" s="150">
        <f t="shared" ref="P440:Z440" si="552">SUM(P439,P434,P428,P423,P418,P414,P407,P400,P394,P386,P381,P377,P370,P366,P362,P358,P349,P345,P341,P335,P327,P323,P315,P304,P300,P295,P288,P284,P280,P276,P264,P259,P254,P245,P241,P234,P226,P222,P218,P206,P194,P189,P181,P171,P159,P152,P133,P120,P112,P108,P100,P87,P78,P62,P58,P54,P50,P46,P42,P36,P29,P25,P17)</f>
        <v>554.55499999999995</v>
      </c>
      <c r="Q440" s="151">
        <f t="shared" si="552"/>
        <v>2125</v>
      </c>
      <c r="R440" s="151">
        <f t="shared" si="552"/>
        <v>0</v>
      </c>
      <c r="S440" s="151">
        <f t="shared" si="552"/>
        <v>359.1</v>
      </c>
      <c r="T440" s="151">
        <f t="shared" si="552"/>
        <v>957.93</v>
      </c>
      <c r="U440" s="151">
        <f t="shared" si="552"/>
        <v>628.07639999999981</v>
      </c>
      <c r="V440" s="151">
        <f t="shared" si="552"/>
        <v>485</v>
      </c>
      <c r="W440" s="151">
        <f t="shared" si="552"/>
        <v>7832.5999999999985</v>
      </c>
      <c r="X440" s="153">
        <f t="shared" si="552"/>
        <v>28230.889999999992</v>
      </c>
      <c r="Y440" s="153">
        <f t="shared" si="552"/>
        <v>60905.07735909403</v>
      </c>
      <c r="Z440" s="152">
        <f t="shared" si="552"/>
        <v>60905.07735909403</v>
      </c>
      <c r="AA440" s="100"/>
      <c r="AB440" s="100"/>
      <c r="AC440" s="100"/>
      <c r="AD440" s="100"/>
      <c r="AE440" s="100"/>
    </row>
    <row r="441" spans="1:33" s="27" customFormat="1" ht="15.9" customHeight="1" thickBot="1">
      <c r="A441" s="67"/>
      <c r="B441" s="68"/>
      <c r="C441" s="68"/>
      <c r="D441" s="68"/>
      <c r="E441" s="68"/>
      <c r="F441" s="68"/>
      <c r="G441" s="68"/>
      <c r="H441" s="120"/>
      <c r="I441" s="120"/>
      <c r="J441" s="120"/>
      <c r="K441" s="120"/>
      <c r="L441" s="59"/>
      <c r="M441" s="59"/>
      <c r="N441" s="59"/>
      <c r="O441" s="139"/>
      <c r="P441" s="60"/>
      <c r="Q441" s="61"/>
      <c r="R441" s="61"/>
      <c r="S441" s="61"/>
      <c r="T441" s="61"/>
      <c r="U441" s="61"/>
      <c r="V441" s="62"/>
      <c r="W441" s="69" t="s">
        <v>26</v>
      </c>
      <c r="X441" s="62"/>
      <c r="Y441" s="161"/>
      <c r="Z441" s="85"/>
      <c r="AB441" s="144"/>
      <c r="AC441" s="144"/>
      <c r="AD441" s="144"/>
      <c r="AE441" s="144"/>
    </row>
    <row r="442" spans="1:33" s="27" customFormat="1" ht="18.600000000000001" thickTop="1">
      <c r="A442" s="47"/>
      <c r="B442" s="180"/>
      <c r="C442" s="180"/>
      <c r="D442" s="180"/>
      <c r="E442" s="180"/>
      <c r="F442" s="180"/>
      <c r="G442" s="180"/>
      <c r="H442" s="180"/>
      <c r="I442" s="114"/>
      <c r="J442" s="114"/>
      <c r="K442" s="114"/>
      <c r="L442" s="24"/>
      <c r="M442" s="24"/>
      <c r="N442" s="24"/>
      <c r="O442" s="135"/>
      <c r="P442" s="25"/>
      <c r="Q442" s="51"/>
      <c r="R442" s="51"/>
      <c r="S442" s="51"/>
      <c r="T442" s="51"/>
      <c r="U442" s="51"/>
      <c r="W442" s="70" t="s">
        <v>16</v>
      </c>
      <c r="X442" s="181">
        <f>SUM(Q440:Z440)</f>
        <v>162428.75111818805</v>
      </c>
      <c r="Y442" s="181"/>
      <c r="Z442" s="154"/>
    </row>
    <row r="443" spans="1:33" s="27" customFormat="1" ht="18">
      <c r="A443" s="99" t="s">
        <v>53</v>
      </c>
      <c r="B443" s="78"/>
      <c r="C443" s="78"/>
      <c r="D443" s="78"/>
      <c r="E443" s="78"/>
      <c r="F443" s="79"/>
      <c r="G443" s="79"/>
      <c r="H443" s="121"/>
      <c r="I443" s="114"/>
      <c r="J443" s="114"/>
      <c r="K443" s="114"/>
      <c r="L443" s="24"/>
      <c r="M443" s="24"/>
      <c r="N443" s="24"/>
      <c r="O443" s="135"/>
      <c r="P443" s="25"/>
      <c r="Q443" s="51"/>
      <c r="R443" s="51"/>
      <c r="S443" s="51"/>
      <c r="T443" s="51"/>
      <c r="U443" s="51"/>
      <c r="W443" s="70" t="s">
        <v>17</v>
      </c>
      <c r="X443" s="182"/>
      <c r="Y443" s="183"/>
      <c r="Z443" s="155"/>
    </row>
    <row r="444" spans="1:33" ht="15.6">
      <c r="A444" s="47"/>
      <c r="B444" s="37"/>
      <c r="C444" s="37"/>
      <c r="D444" s="37"/>
      <c r="E444" s="37"/>
      <c r="G444" s="22"/>
      <c r="K444" s="114"/>
      <c r="L444" s="24"/>
      <c r="M444" s="24"/>
      <c r="N444" s="24"/>
      <c r="P444" s="25"/>
      <c r="V444" s="22"/>
      <c r="W444" s="70" t="s">
        <v>18</v>
      </c>
      <c r="X444" s="182">
        <f>X442-X443</f>
        <v>162428.75111818805</v>
      </c>
      <c r="Y444" s="183"/>
      <c r="Z444" s="155"/>
    </row>
    <row r="445" spans="1:33" ht="20.399999999999999">
      <c r="A445" s="52"/>
      <c r="G445" s="22"/>
      <c r="K445" s="114"/>
      <c r="L445" s="24"/>
      <c r="M445" s="24"/>
      <c r="N445" s="24"/>
      <c r="P445" s="25"/>
      <c r="V445" s="38"/>
      <c r="W445" s="38"/>
      <c r="X445" s="178"/>
      <c r="Y445" s="179"/>
      <c r="Z445" s="156"/>
    </row>
    <row r="446" spans="1:33" ht="22.5" customHeight="1">
      <c r="A446" s="52"/>
      <c r="B446" s="39"/>
      <c r="C446" s="39"/>
      <c r="D446" s="39"/>
      <c r="E446" s="39"/>
      <c r="G446" s="22"/>
      <c r="K446" s="114"/>
      <c r="L446" s="24"/>
      <c r="M446" s="24"/>
      <c r="N446" s="24"/>
      <c r="P446" s="25"/>
      <c r="V446" s="38"/>
      <c r="W446" s="38"/>
      <c r="X446" s="162"/>
      <c r="Y446" s="157"/>
      <c r="Z446" s="157"/>
    </row>
    <row r="447" spans="1:33" ht="15.9" customHeight="1">
      <c r="A447" s="53"/>
      <c r="B447" s="39"/>
      <c r="C447" s="39"/>
      <c r="D447" s="39"/>
      <c r="E447" s="39"/>
      <c r="F447" s="30"/>
      <c r="G447" s="30"/>
      <c r="H447" s="122"/>
      <c r="I447" s="122"/>
      <c r="J447" s="123"/>
      <c r="K447" s="122"/>
      <c r="L447" s="30"/>
      <c r="M447" s="30"/>
      <c r="N447" s="30"/>
      <c r="O447" s="140"/>
      <c r="P447" s="31"/>
      <c r="Q447" s="31"/>
      <c r="R447" s="31"/>
      <c r="S447" s="31"/>
      <c r="T447" s="31"/>
      <c r="U447" s="31"/>
      <c r="V447" s="22"/>
      <c r="W447" s="32"/>
      <c r="X447" s="158"/>
      <c r="Y447" s="158"/>
      <c r="Z447" s="158"/>
    </row>
    <row r="448" spans="1:33" ht="15.9" customHeight="1">
      <c r="A448" s="53"/>
      <c r="B448" s="39"/>
      <c r="C448" s="39"/>
      <c r="D448" s="39"/>
      <c r="E448" s="39"/>
      <c r="F448" s="30"/>
      <c r="G448" s="30"/>
      <c r="H448" s="122"/>
      <c r="I448" s="122"/>
      <c r="J448" s="122"/>
      <c r="K448" s="122"/>
      <c r="L448" s="30"/>
      <c r="M448" s="30"/>
      <c r="N448" s="30"/>
      <c r="O448" s="140"/>
      <c r="P448" s="31"/>
      <c r="Q448" s="31"/>
      <c r="R448" s="31"/>
      <c r="S448" s="31"/>
      <c r="T448" s="31"/>
      <c r="U448" s="31"/>
      <c r="V448" s="29"/>
      <c r="W448" s="29"/>
      <c r="X448" s="159"/>
      <c r="Y448" s="159"/>
      <c r="Z448" s="159"/>
    </row>
    <row r="449" spans="1:26">
      <c r="A449" s="54"/>
      <c r="B449" s="39"/>
      <c r="C449" s="39"/>
      <c r="D449" s="39"/>
      <c r="E449" s="39"/>
      <c r="F449" s="30"/>
      <c r="G449" s="30"/>
      <c r="H449" s="122"/>
      <c r="I449" s="122"/>
      <c r="J449" s="122"/>
      <c r="K449" s="122"/>
      <c r="L449" s="30"/>
      <c r="M449" s="30"/>
      <c r="N449" s="30"/>
      <c r="O449" s="141"/>
      <c r="P449" s="30"/>
      <c r="Q449" s="30"/>
      <c r="R449" s="30"/>
      <c r="S449" s="30"/>
      <c r="T449" s="30"/>
      <c r="U449" s="30"/>
      <c r="V449" s="71" t="s">
        <v>11</v>
      </c>
      <c r="W449" s="29"/>
      <c r="X449" s="34" t="s">
        <v>25</v>
      </c>
      <c r="Y449" s="159"/>
      <c r="Z449" s="159"/>
    </row>
    <row r="450" spans="1:26" s="30" customFormat="1" ht="12.75" customHeight="1">
      <c r="A450" s="55"/>
      <c r="B450" s="56"/>
      <c r="C450" s="56"/>
      <c r="D450" s="56"/>
      <c r="E450" s="56"/>
      <c r="F450" s="57"/>
      <c r="G450" s="57"/>
      <c r="H450" s="124"/>
      <c r="I450" s="124"/>
      <c r="J450" s="124"/>
      <c r="K450" s="124"/>
      <c r="L450" s="57"/>
      <c r="M450" s="57"/>
      <c r="N450" s="57"/>
      <c r="O450" s="142"/>
      <c r="P450" s="57"/>
      <c r="Q450" s="57"/>
      <c r="R450" s="57"/>
      <c r="S450" s="57"/>
      <c r="T450" s="57"/>
      <c r="U450" s="57"/>
      <c r="V450" s="58"/>
      <c r="W450" s="58"/>
      <c r="X450" s="57"/>
      <c r="Y450" s="57"/>
      <c r="Z450" s="159"/>
    </row>
    <row r="451" spans="1:26" s="33" customFormat="1" ht="12.75" customHeight="1">
      <c r="A451" s="21"/>
      <c r="B451" s="21"/>
      <c r="C451" s="21"/>
      <c r="D451" s="21"/>
      <c r="E451" s="21"/>
      <c r="F451" s="21"/>
      <c r="G451" s="21"/>
      <c r="H451" s="114"/>
      <c r="I451" s="114"/>
      <c r="J451" s="114"/>
      <c r="K451" s="125"/>
      <c r="L451" s="23"/>
      <c r="M451" s="23"/>
      <c r="N451" s="23"/>
      <c r="O451" s="135"/>
      <c r="P451" s="24"/>
      <c r="Q451" s="25"/>
      <c r="R451" s="25"/>
      <c r="S451" s="25"/>
      <c r="T451" s="25"/>
      <c r="U451" s="25"/>
      <c r="V451" s="25"/>
      <c r="W451" s="25"/>
      <c r="X451" s="28"/>
      <c r="Y451" s="22"/>
      <c r="Z451" s="22"/>
    </row>
    <row r="452" spans="1:26" s="30" customFormat="1" ht="12.75" customHeight="1">
      <c r="A452" s="21"/>
      <c r="B452" s="21"/>
      <c r="C452" s="21"/>
      <c r="D452" s="21"/>
      <c r="E452" s="21"/>
      <c r="F452" s="21"/>
      <c r="G452" s="21"/>
      <c r="H452" s="114"/>
      <c r="I452" s="114"/>
      <c r="J452" s="114"/>
      <c r="K452" s="125"/>
      <c r="L452" s="23"/>
      <c r="M452" s="23"/>
      <c r="N452" s="23"/>
      <c r="O452" s="135"/>
      <c r="P452" s="24"/>
      <c r="Q452" s="25"/>
      <c r="R452" s="25"/>
      <c r="S452" s="25"/>
      <c r="T452" s="25"/>
      <c r="U452" s="25"/>
      <c r="V452" s="25"/>
      <c r="W452" s="25"/>
      <c r="X452" s="28"/>
      <c r="Y452" s="22"/>
      <c r="Z452" s="22"/>
    </row>
    <row r="453" spans="1:26" s="30" customFormat="1" ht="12.75" customHeight="1">
      <c r="A453" s="21"/>
      <c r="B453" s="21"/>
      <c r="C453" s="21"/>
      <c r="D453" s="21"/>
      <c r="E453" s="21"/>
      <c r="F453" s="21"/>
      <c r="G453" s="21"/>
      <c r="H453" s="114"/>
      <c r="I453" s="114"/>
      <c r="J453" s="114"/>
      <c r="K453" s="125"/>
      <c r="L453" s="23"/>
      <c r="M453" s="23"/>
      <c r="N453" s="23"/>
      <c r="O453" s="135"/>
      <c r="P453" s="24"/>
      <c r="Q453" s="25"/>
      <c r="R453" s="25"/>
      <c r="S453" s="25"/>
      <c r="T453" s="25"/>
      <c r="U453" s="25"/>
      <c r="V453" s="25"/>
      <c r="W453" s="25"/>
      <c r="X453" s="28"/>
      <c r="Y453" s="22"/>
      <c r="Z453" s="22"/>
    </row>
    <row r="454" spans="1:26" s="30" customFormat="1" ht="12.75" customHeight="1">
      <c r="A454" s="21"/>
      <c r="B454" s="21"/>
      <c r="C454" s="21"/>
      <c r="D454" s="21"/>
      <c r="E454" s="21"/>
      <c r="F454" s="21"/>
      <c r="G454" s="21"/>
      <c r="H454" s="114"/>
      <c r="I454" s="114"/>
      <c r="J454" s="114"/>
      <c r="K454" s="125"/>
      <c r="L454" s="23"/>
      <c r="M454" s="23"/>
      <c r="N454" s="23"/>
      <c r="O454" s="135"/>
      <c r="P454" s="24"/>
      <c r="Q454" s="25"/>
      <c r="R454" s="25"/>
      <c r="S454" s="25"/>
      <c r="T454" s="25"/>
      <c r="U454" s="25"/>
      <c r="V454" s="25"/>
      <c r="W454" s="25"/>
      <c r="X454" s="28"/>
      <c r="Y454" s="22"/>
      <c r="Z454" s="22"/>
    </row>
  </sheetData>
  <mergeCells count="8">
    <mergeCell ref="A1:Z1"/>
    <mergeCell ref="A2:Z2"/>
    <mergeCell ref="A3:Z3"/>
    <mergeCell ref="X445:Y445"/>
    <mergeCell ref="B442:H442"/>
    <mergeCell ref="X442:Y442"/>
    <mergeCell ref="X443:Y443"/>
    <mergeCell ref="X444:Y444"/>
  </mergeCells>
  <phoneticPr fontId="3" type="noConversion"/>
  <pageMargins left="0" right="0" top="0.19685039370078741" bottom="0" header="0.31496062992125984" footer="0.31496062992125984"/>
  <pageSetup paperSize="9" scale="47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</vt:lpstr>
      <vt:lpstr>PI!Print_Area</vt:lpstr>
      <vt:lpstr>PI!Print_Titles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hkjung</dc:creator>
  <cp:lastModifiedBy>Rizka EPO</cp:lastModifiedBy>
  <cp:lastPrinted>2018-08-29T01:12:30Z</cp:lastPrinted>
  <dcterms:created xsi:type="dcterms:W3CDTF">2018-02-12T04:12:08Z</dcterms:created>
  <dcterms:modified xsi:type="dcterms:W3CDTF">2025-05-08T13:35:45Z</dcterms:modified>
</cp:coreProperties>
</file>