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I" sheetId="1" state="visible" r:id="rId1"/>
    <sheet xmlns:r="http://schemas.openxmlformats.org/officeDocument/2006/relationships" name="Sheet1" sheetId="2" state="visible" r:id="rId2"/>
  </sheets>
  <definedNames>
    <definedName name="GOLD" hidden="0" function="0" vbProcedure="0">pi!#ref!</definedName>
    <definedName name="GOLD_1102" hidden="0" function="0" vbProcedure="0">pi!#ref!</definedName>
    <definedName name="LABOR" hidden="0" function="0" vbProcedure="0">#REF!</definedName>
    <definedName name="LABOR1" hidden="0" function="0" vbProcedure="0">pi!#ref!</definedName>
    <definedName name="SETTING" hidden="0" function="0" vbProcedure="0">pi!#ref!</definedName>
    <definedName name="SETTING1" hidden="0" function="0" vbProcedure="0">#REF!</definedName>
    <definedName name="SILVER" hidden="0" function="0" vbProcedure="0">pi!#ref!</definedName>
    <definedName name="_xlnm.Print_Titles" localSheetId="0">'PI'!$1:$13</definedName>
    <definedName name="_xlnm.Print_Area" localSheetId="0">'PI'!$A$1:$Z$90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6">
    <numFmt numFmtId="164" formatCode="0.000&quot; cts&quot;"/>
    <numFmt numFmtId="165" formatCode="0&quot; pcs&quot;"/>
    <numFmt numFmtId="166" formatCode="&quot;$ &quot;0.00"/>
    <numFmt numFmtId="167" formatCode="m/d/yyyy"/>
    <numFmt numFmtId="168" formatCode="[$-409]d\-mmm\-yy;@"/>
    <numFmt numFmtId="169" formatCode="&quot;$ &quot;#,#00.00&quot; /oz&quot;"/>
    <numFmt numFmtId="170" formatCode="0.00&quot; gr&quot;"/>
    <numFmt numFmtId="171" formatCode="#,##0.00&quot; g&quot;"/>
    <numFmt numFmtId="172" formatCode="0.00&quot;mm&quot;"/>
    <numFmt numFmtId="173" formatCode="\$0.00&quot;/g&quot;"/>
    <numFmt numFmtId="174" formatCode="#,##0.000&quot; ct&quot;"/>
    <numFmt numFmtId="175" formatCode="\$#,##0.00"/>
    <numFmt numFmtId="176" formatCode="#,#00.00&quot; gr&quot;"/>
    <numFmt numFmtId="177" formatCode="0.00&quot; g&quot;"/>
    <numFmt numFmtId="178" formatCode="\$0.00&quot;/station&quot;"/>
    <numFmt numFmtId="179" formatCode="_-* #,##0_-;\-* #,##0_-;_-* \-_-;_-@_-"/>
  </numFmts>
  <fonts count="32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29"/>
      <family val="3"/>
      <sz val="12"/>
    </font>
    <font>
      <name val="Times New Roman"/>
      <charset val="1"/>
      <family val="1"/>
      <color theme="1"/>
      <sz val="11"/>
    </font>
    <font>
      <name val="Times New Roman"/>
      <charset val="1"/>
      <family val="1"/>
      <b val="1"/>
      <i val="1"/>
      <sz val="20"/>
    </font>
    <font>
      <name val="Times New Roman"/>
      <charset val="1"/>
      <family val="1"/>
      <i val="1"/>
      <sz val="12"/>
    </font>
    <font>
      <name val="Times New Roman"/>
      <charset val="1"/>
      <family val="1"/>
      <sz val="10"/>
    </font>
    <font>
      <name val="Times New Roman"/>
      <charset val="1"/>
      <family val="1"/>
      <sz val="12"/>
    </font>
    <font>
      <name val="Times New Roman"/>
      <charset val="1"/>
      <family val="1"/>
      <b val="1"/>
      <sz val="16"/>
    </font>
    <font>
      <name val="Times New Roman"/>
      <charset val="1"/>
      <family val="1"/>
      <b val="1"/>
      <sz val="12"/>
    </font>
    <font>
      <name val="Times New Roman"/>
      <charset val="1"/>
      <family val="1"/>
      <b val="1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b val="1"/>
      <color rgb="FFFF0000"/>
      <sz val="12"/>
    </font>
    <font>
      <name val="Comic Sans MS"/>
      <charset val="1"/>
      <family val="4"/>
      <color rgb="FF222222"/>
      <sz val="8"/>
    </font>
    <font>
      <name val="Times New Roman"/>
      <charset val="1"/>
      <family val="1"/>
      <sz val="11"/>
    </font>
    <font>
      <name val="Times New Roman"/>
      <charset val="1"/>
      <family val="1"/>
      <color rgb="FFFF0000"/>
      <sz val="11"/>
    </font>
    <font>
      <name val="Times New Roman"/>
      <charset val="1"/>
      <family val="1"/>
      <b val="1"/>
      <color rgb="FFFF0000"/>
      <sz val="11"/>
    </font>
    <font>
      <name val="Times New Roman"/>
      <charset val="1"/>
      <family val="1"/>
      <color theme="0"/>
      <sz val="11"/>
    </font>
    <font>
      <name val="Times New Roman"/>
      <charset val="1"/>
      <family val="1"/>
      <color rgb="FF000000"/>
      <sz val="11"/>
    </font>
    <font>
      <name val="Times New Roman"/>
      <charset val="1"/>
      <family val="1"/>
      <b val="1"/>
      <color theme="1"/>
      <sz val="11"/>
    </font>
    <font>
      <name val="Times New Roman"/>
      <charset val="1"/>
      <family val="1"/>
      <color rgb="FFFF0000"/>
      <sz val="14"/>
      <u val="single"/>
    </font>
    <font>
      <name val="Times New Roman"/>
      <charset val="1"/>
      <family val="1"/>
      <color theme="1"/>
      <sz val="14"/>
    </font>
    <font>
      <name val="Times New Roman"/>
      <charset val="1"/>
      <family val="1"/>
      <b val="1"/>
      <color theme="1"/>
      <sz val="12"/>
      <u val="single"/>
    </font>
    <font>
      <name val="Times New Roman"/>
      <charset val="1"/>
      <family val="1"/>
      <i val="1"/>
      <color theme="1"/>
      <sz val="14"/>
      <u val="single"/>
    </font>
    <font>
      <name val="Times New Roman"/>
      <charset val="1"/>
      <family val="1"/>
      <color theme="1"/>
      <sz val="14"/>
      <u val="single"/>
    </font>
    <font>
      <name val="Times New Roman"/>
      <charset val="1"/>
      <family val="1"/>
      <b val="1"/>
      <color theme="1"/>
      <sz val="16"/>
      <u val="single"/>
    </font>
    <font>
      <name val="Times New Roman"/>
      <charset val="1"/>
      <family val="1"/>
      <b val="1"/>
      <color theme="1" tint="0.4999"/>
      <sz val="10"/>
    </font>
    <font>
      <name val="Times New Roman"/>
      <charset val="1"/>
      <family val="1"/>
      <b val="1"/>
      <sz val="14"/>
    </font>
    <font>
      <name val="Times New Roman"/>
      <charset val="1"/>
      <family val="1"/>
      <b val="1"/>
      <color theme="0" tint="-0.5"/>
      <sz val="10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theme="1" tint="0.4999"/>
        <bgColor rgb="FF808080"/>
      </patternFill>
    </fill>
    <fill>
      <patternFill patternType="solid">
        <fgColor theme="1"/>
        <bgColor rgb="FF222222"/>
      </patternFill>
    </fill>
    <fill>
      <patternFill patternType="solid">
        <fgColor theme="0" tint="-0.5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5">
    <border>
      <left/>
      <right/>
      <top/>
      <bottom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hair"/>
      <diagonal/>
    </border>
    <border>
      <left/>
      <right/>
      <top/>
      <bottom style="hair"/>
      <diagonal/>
    </border>
    <border>
      <left/>
      <right style="thin"/>
      <top/>
      <bottom style="hair"/>
      <diagonal/>
    </border>
    <border>
      <left style="thin"/>
      <right/>
      <top style="hair"/>
      <bottom style="hair"/>
      <diagonal/>
    </border>
    <border>
      <left/>
      <right/>
      <top style="hair"/>
      <bottom style="hair"/>
      <diagonal/>
    </border>
    <border>
      <left/>
      <right style="thin"/>
      <top style="hair"/>
      <bottom style="hair"/>
      <diagonal/>
    </border>
    <border>
      <left style="thin"/>
      <right/>
      <top style="medium"/>
      <bottom style="hair"/>
      <diagonal/>
    </border>
    <border>
      <left/>
      <right/>
      <top style="medium"/>
      <bottom style="hair"/>
      <diagonal/>
    </border>
    <border>
      <left/>
      <right style="thin"/>
      <top style="medium"/>
      <bottom style="hair"/>
      <diagonal/>
    </border>
    <border>
      <left style="thin"/>
      <right/>
      <top style="hair"/>
      <bottom style="thick"/>
      <diagonal/>
    </border>
    <border>
      <left/>
      <right/>
      <top style="hair"/>
      <bottom style="thick"/>
      <diagonal/>
    </border>
    <border>
      <left/>
      <right style="thin"/>
      <top style="hair"/>
      <bottom style="thick"/>
      <diagonal/>
    </border>
    <border>
      <left/>
      <right/>
      <top style="thick"/>
      <bottom/>
      <diagonal/>
    </border>
  </borders>
  <cellStyleXfs count="8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0" fontId="4" fillId="0" borderId="0" applyAlignment="1">
      <alignment horizontal="general" vertical="bottom"/>
    </xf>
  </cellStyleXfs>
  <cellXfs count="314"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8" fillId="0" borderId="2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center"/>
    </xf>
    <xf numFmtId="0" fontId="10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general" vertical="center"/>
    </xf>
    <xf numFmtId="0" fontId="11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general" vertical="center"/>
    </xf>
    <xf numFmtId="0" fontId="12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general" vertical="center"/>
    </xf>
    <xf numFmtId="0" fontId="8" fillId="0" borderId="5" applyAlignment="1" pivotButton="0" quotePrefix="0" xfId="0">
      <alignment horizontal="general" vertical="center"/>
    </xf>
    <xf numFmtId="0" fontId="8" fillId="0" borderId="6" applyAlignment="1" pivotButton="0" quotePrefix="0" xfId="0">
      <alignment horizontal="general" vertical="center"/>
    </xf>
    <xf numFmtId="0" fontId="8" fillId="0" borderId="7" applyAlignment="1" pivotButton="0" quotePrefix="0" xfId="0">
      <alignment horizontal="general" vertical="center"/>
    </xf>
    <xf numFmtId="167" fontId="8" fillId="0" borderId="7" applyAlignment="1" pivotButton="0" quotePrefix="0" xfId="0">
      <alignment horizontal="general" vertical="center"/>
    </xf>
    <xf numFmtId="168" fontId="8" fillId="0" borderId="7" applyAlignment="1" pivotButton="0" quotePrefix="0" xfId="0">
      <alignment horizontal="general" vertical="center"/>
    </xf>
    <xf numFmtId="168" fontId="8" fillId="0" borderId="8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8" fillId="0" borderId="2" applyAlignment="1" pivotButton="0" quotePrefix="0" xfId="0">
      <alignment horizontal="general" vertical="center"/>
    </xf>
    <xf numFmtId="0" fontId="8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9" applyAlignment="1" pivotButton="0" quotePrefix="0" xfId="0">
      <alignment horizontal="general" vertical="center"/>
    </xf>
    <xf numFmtId="0" fontId="13" fillId="0" borderId="7" applyAlignment="1" pivotButton="0" quotePrefix="0" xfId="0">
      <alignment horizontal="general" vertical="center"/>
    </xf>
    <xf numFmtId="0" fontId="8" fillId="0" borderId="8" applyAlignment="1" pivotButton="0" quotePrefix="0" xfId="0">
      <alignment horizontal="general" vertical="center"/>
    </xf>
    <xf numFmtId="0" fontId="8" fillId="0" borderId="4" applyAlignment="1" pivotButton="0" quotePrefix="0" xfId="0">
      <alignment horizontal="left" vertical="center"/>
    </xf>
    <xf numFmtId="0" fontId="8" fillId="0" borderId="4" applyAlignment="1" pivotButton="0" quotePrefix="0" xfId="0">
      <alignment horizontal="general" vertical="center"/>
    </xf>
    <xf numFmtId="0" fontId="8" fillId="0" borderId="10" applyAlignment="1" pivotButton="0" quotePrefix="0" xfId="0">
      <alignment horizontal="general" vertical="center"/>
    </xf>
    <xf numFmtId="0" fontId="8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general" vertical="center"/>
    </xf>
    <xf numFmtId="0" fontId="8" fillId="0" borderId="11" applyAlignment="1" pivotButton="0" quotePrefix="0" xfId="0">
      <alignment horizontal="general" vertical="center"/>
    </xf>
    <xf numFmtId="0" fontId="8" fillId="0" borderId="3" applyAlignment="1" pivotButton="0" quotePrefix="0" xfId="0">
      <alignment horizontal="general" vertical="center"/>
    </xf>
    <xf numFmtId="0" fontId="8" fillId="0" borderId="7" applyAlignment="1" pivotButton="0" quotePrefix="0" xfId="0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center"/>
    </xf>
    <xf numFmtId="0" fontId="8" fillId="0" borderId="6" applyAlignment="1" pivotButton="0" quotePrefix="0" xfId="0">
      <alignment horizontal="left" vertical="center"/>
    </xf>
    <xf numFmtId="168" fontId="8" fillId="0" borderId="7" applyAlignment="1" pivotButton="0" quotePrefix="0" xfId="0">
      <alignment horizontal="right" vertical="center"/>
    </xf>
    <xf numFmtId="168" fontId="8" fillId="0" borderId="7" applyAlignment="1" pivotButton="0" quotePrefix="0" xfId="0">
      <alignment horizontal="left" vertical="center"/>
    </xf>
    <xf numFmtId="167" fontId="8" fillId="0" borderId="7" applyAlignment="1" pivotButton="0" quotePrefix="0" xfId="0">
      <alignment horizontal="right" vertical="center"/>
    </xf>
    <xf numFmtId="0" fontId="16" fillId="0" borderId="3" applyAlignment="1" pivotButton="0" quotePrefix="0" xfId="0">
      <alignment horizontal="center" vertical="center"/>
    </xf>
    <xf numFmtId="0" fontId="8" fillId="0" borderId="7" applyAlignment="1" pivotButton="0" quotePrefix="0" xfId="0">
      <alignment horizontal="right" vertical="center"/>
    </xf>
    <xf numFmtId="0" fontId="5" fillId="0" borderId="2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169" fontId="18" fillId="0" borderId="0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 wrapText="1"/>
    </xf>
    <xf numFmtId="0" fontId="19" fillId="2" borderId="13" applyAlignment="1" pivotButton="0" quotePrefix="0" xfId="0">
      <alignment horizontal="center" vertical="center" wrapText="1"/>
    </xf>
    <xf numFmtId="2" fontId="19" fillId="2" borderId="13" applyAlignment="1" pivotButton="0" quotePrefix="0" xfId="0">
      <alignment horizontal="center" vertical="center" wrapText="1"/>
    </xf>
    <xf numFmtId="170" fontId="19" fillId="2" borderId="13" applyAlignment="1" pivotButton="0" quotePrefix="0" xfId="0">
      <alignment horizontal="center" vertical="center" wrapText="1"/>
    </xf>
    <xf numFmtId="164" fontId="19" fillId="2" borderId="13" applyAlignment="1" pivotButton="0" quotePrefix="0" xfId="0">
      <alignment horizontal="center" vertical="center" wrapText="1"/>
    </xf>
    <xf numFmtId="164" fontId="19" fillId="3" borderId="13" applyAlignment="1" pivotButton="0" quotePrefix="0" xfId="0">
      <alignment horizontal="center" vertical="center" wrapText="1"/>
    </xf>
    <xf numFmtId="0" fontId="19" fillId="3" borderId="14" applyAlignment="1" pivotButton="0" quotePrefix="0" xfId="0">
      <alignment horizontal="center" vertical="center" wrapText="1"/>
    </xf>
    <xf numFmtId="0" fontId="19" fillId="3" borderId="13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 wrapText="1"/>
    </xf>
    <xf numFmtId="0" fontId="16" fillId="0" borderId="15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 wrapText="1"/>
    </xf>
    <xf numFmtId="1" fontId="20" fillId="0" borderId="13" applyAlignment="1" pivotButton="0" quotePrefix="0" xfId="0">
      <alignment horizontal="center" vertical="center" shrinkToFit="1"/>
    </xf>
    <xf numFmtId="171" fontId="16" fillId="5" borderId="16" applyAlignment="1" pivotButton="0" quotePrefix="0" xfId="0">
      <alignment horizontal="center" vertical="center" wrapText="1"/>
    </xf>
    <xf numFmtId="171" fontId="16" fillId="5" borderId="13" applyAlignment="1" pivotButton="0" quotePrefix="0" xfId="0">
      <alignment horizontal="center" vertical="center" wrapText="1"/>
    </xf>
    <xf numFmtId="171" fontId="5" fillId="5" borderId="16" applyAlignment="1" pivotButton="0" quotePrefix="0" xfId="0">
      <alignment horizontal="center" vertical="center"/>
    </xf>
    <xf numFmtId="172" fontId="5" fillId="0" borderId="16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73" fontId="16" fillId="0" borderId="16" applyAlignment="1" pivotButton="0" quotePrefix="0" xfId="0">
      <alignment horizontal="center" vertical="center"/>
    </xf>
    <xf numFmtId="174" fontId="16" fillId="0" borderId="16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/>
    </xf>
    <xf numFmtId="175" fontId="5" fillId="0" borderId="17" applyAlignment="1" pivotButton="0" quotePrefix="0" xfId="0">
      <alignment horizontal="center" vertical="center"/>
    </xf>
    <xf numFmtId="2" fontId="17" fillId="4" borderId="0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/>
    </xf>
    <xf numFmtId="0" fontId="21" fillId="0" borderId="18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/>
    </xf>
    <xf numFmtId="1" fontId="21" fillId="0" borderId="19" applyAlignment="1" pivotButton="0" quotePrefix="0" xfId="0">
      <alignment horizontal="center" vertical="center"/>
    </xf>
    <xf numFmtId="171" fontId="5" fillId="5" borderId="19" applyAlignment="1" pivotButton="0" quotePrefix="0" xfId="0">
      <alignment horizontal="center" vertical="center"/>
    </xf>
    <xf numFmtId="176" fontId="5" fillId="0" borderId="19" applyAlignment="1" pivotButton="0" quotePrefix="0" xfId="0">
      <alignment horizontal="center" vertical="center"/>
    </xf>
    <xf numFmtId="164" fontId="21" fillId="0" borderId="19" applyAlignment="1" pivotButton="0" quotePrefix="0" xfId="0">
      <alignment horizontal="center" vertical="center"/>
    </xf>
    <xf numFmtId="174" fontId="21" fillId="0" borderId="19" applyAlignment="1" pivotButton="0" quotePrefix="0" xfId="0">
      <alignment horizontal="center" vertical="center"/>
    </xf>
    <xf numFmtId="175" fontId="21" fillId="0" borderId="19" applyAlignment="1" pivotButton="0" quotePrefix="0" xfId="0">
      <alignment horizontal="center" vertical="center"/>
    </xf>
    <xf numFmtId="175" fontId="21" fillId="0" borderId="2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16" fillId="0" borderId="16" applyAlignment="1" pivotButton="0" quotePrefix="0" xfId="0">
      <alignment horizontal="center" vertical="center" wrapText="1"/>
    </xf>
    <xf numFmtId="171" fontId="16" fillId="0" borderId="16" applyAlignment="1" pivotButton="0" quotePrefix="0" xfId="0">
      <alignment horizontal="center" vertical="center" wrapText="1"/>
    </xf>
    <xf numFmtId="171" fontId="16" fillId="0" borderId="13" applyAlignment="1" pivotButton="0" quotePrefix="0" xfId="0">
      <alignment horizontal="center" vertical="center" wrapText="1"/>
    </xf>
    <xf numFmtId="171" fontId="5" fillId="0" borderId="16" applyAlignment="1" pivotButton="0" quotePrefix="0" xfId="0">
      <alignment horizontal="center" vertical="center"/>
    </xf>
    <xf numFmtId="165" fontId="5" fillId="6" borderId="16" applyAlignment="1" pivotButton="0" quotePrefix="0" xfId="0">
      <alignment horizontal="center" vertical="center" wrapText="1"/>
    </xf>
    <xf numFmtId="175" fontId="17" fillId="4" borderId="0" applyAlignment="1" pivotButton="0" quotePrefix="0" xfId="0">
      <alignment horizontal="center" vertical="center"/>
    </xf>
    <xf numFmtId="171" fontId="5" fillId="0" borderId="19" applyAlignment="1" pivotButton="0" quotePrefix="0" xfId="0">
      <alignment horizontal="center" vertical="center"/>
    </xf>
    <xf numFmtId="1" fontId="20" fillId="0" borderId="16" applyAlignment="1" pivotButton="0" quotePrefix="0" xfId="0">
      <alignment horizontal="center" vertical="center" shrinkToFit="1"/>
    </xf>
    <xf numFmtId="0" fontId="16" fillId="0" borderId="12" applyAlignment="1" pivotButton="0" quotePrefix="0" xfId="0">
      <alignment horizontal="center" vertical="center"/>
    </xf>
    <xf numFmtId="177" fontId="5" fillId="0" borderId="0" applyAlignment="1" pivotButton="0" quotePrefix="0" xfId="0">
      <alignment horizontal="general" vertical="center"/>
    </xf>
    <xf numFmtId="177" fontId="5" fillId="0" borderId="0" applyAlignment="1" pivotButton="0" quotePrefix="0" xfId="0">
      <alignment horizontal="center" vertical="center"/>
    </xf>
    <xf numFmtId="173" fontId="5" fillId="0" borderId="0" applyAlignment="1" pivotButton="0" quotePrefix="0" xfId="0">
      <alignment horizontal="general" vertical="center"/>
    </xf>
    <xf numFmtId="177" fontId="19" fillId="2" borderId="13" applyAlignment="1" pivotButton="0" quotePrefix="0" xfId="0">
      <alignment horizontal="center" vertical="center" wrapText="1"/>
    </xf>
    <xf numFmtId="173" fontId="19" fillId="2" borderId="13" applyAlignment="1" pivotButton="0" quotePrefix="0" xfId="0">
      <alignment horizontal="center" vertical="center" wrapText="1"/>
    </xf>
    <xf numFmtId="177" fontId="16" fillId="0" borderId="16" applyAlignment="1" pivotButton="0" quotePrefix="0" xfId="0">
      <alignment horizontal="center" vertical="center" wrapText="1"/>
    </xf>
    <xf numFmtId="177" fontId="5" fillId="0" borderId="16" applyAlignment="1" pivotButton="0" quotePrefix="0" xfId="0">
      <alignment horizontal="center" vertical="center"/>
    </xf>
    <xf numFmtId="177" fontId="5" fillId="0" borderId="19" applyAlignment="1" pivotButton="0" quotePrefix="0" xfId="0">
      <alignment horizontal="center" vertical="center"/>
    </xf>
    <xf numFmtId="173" fontId="21" fillId="0" borderId="19" applyAlignment="1" pivotButton="0" quotePrefix="0" xfId="0">
      <alignment horizontal="center" vertical="center"/>
    </xf>
    <xf numFmtId="177" fontId="16" fillId="5" borderId="16" applyAlignment="1" pivotButton="0" quotePrefix="0" xfId="0">
      <alignment horizontal="center" vertical="center" wrapText="1"/>
    </xf>
    <xf numFmtId="177" fontId="5" fillId="5" borderId="16" applyAlignment="1" pivotButton="0" quotePrefix="0" xfId="0">
      <alignment horizontal="center" vertical="center"/>
    </xf>
    <xf numFmtId="178" fontId="16" fillId="0" borderId="16" applyAlignment="1" pivotButton="0" quotePrefix="0" xfId="0">
      <alignment horizontal="center" vertical="center"/>
    </xf>
    <xf numFmtId="177" fontId="5" fillId="5" borderId="19" applyAlignment="1" pivotButton="0" quotePrefix="0" xfId="0">
      <alignment horizontal="center" vertical="center"/>
    </xf>
    <xf numFmtId="2" fontId="19" fillId="4" borderId="0" applyAlignment="1" pivotButton="0" quotePrefix="0" xfId="0">
      <alignment horizontal="center" vertical="center"/>
    </xf>
    <xf numFmtId="0" fontId="19" fillId="4" borderId="0" applyAlignment="1" pivotButton="0" quotePrefix="0" xfId="0">
      <alignment horizontal="center" vertical="center"/>
    </xf>
    <xf numFmtId="0" fontId="21" fillId="0" borderId="2" applyAlignment="1" pivotButton="0" quotePrefix="0" xfId="0">
      <alignment horizontal="left" vertical="center"/>
    </xf>
    <xf numFmtId="1" fontId="21" fillId="0" borderId="0" applyAlignment="1" pivotButton="0" quotePrefix="0" xfId="0">
      <alignment horizontal="center" vertical="center"/>
    </xf>
    <xf numFmtId="177" fontId="5" fillId="5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73" fontId="21" fillId="0" borderId="0" applyAlignment="1" pivotButton="0" quotePrefix="0" xfId="0">
      <alignment horizontal="center" vertical="center"/>
    </xf>
    <xf numFmtId="174" fontId="21" fillId="0" borderId="0" applyAlignment="1" pivotButton="0" quotePrefix="0" xfId="0">
      <alignment horizontal="center" vertical="center"/>
    </xf>
    <xf numFmtId="175" fontId="21" fillId="0" borderId="0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170" fontId="16" fillId="0" borderId="22" applyAlignment="1" pivotButton="0" quotePrefix="0" xfId="0">
      <alignment horizontal="center" vertical="center"/>
    </xf>
    <xf numFmtId="165" fontId="16" fillId="0" borderId="22" applyAlignment="1" pivotButton="0" quotePrefix="0" xfId="0">
      <alignment horizontal="center" vertical="center"/>
    </xf>
    <xf numFmtId="164" fontId="16" fillId="0" borderId="22" applyAlignment="1" pivotButton="0" quotePrefix="0" xfId="0">
      <alignment horizontal="center" vertical="center"/>
    </xf>
    <xf numFmtId="175" fontId="5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right" vertical="center"/>
    </xf>
    <xf numFmtId="175" fontId="5" fillId="0" borderId="2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2" fillId="0" borderId="24" applyAlignment="1" pivotButton="0" quotePrefix="0" xfId="0">
      <alignment horizontal="center" vertical="bottom"/>
    </xf>
    <xf numFmtId="170" fontId="5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general" vertical="center"/>
    </xf>
    <xf numFmtId="164" fontId="24" fillId="0" borderId="0" applyAlignment="1" pivotButton="0" quotePrefix="0" xfId="0">
      <alignment horizontal="right" vertical="center"/>
    </xf>
    <xf numFmtId="175" fontId="24" fillId="0" borderId="24" applyAlignment="1" pivotButton="0" quotePrefix="0" xfId="0">
      <alignment horizontal="center" vertical="center"/>
    </xf>
    <xf numFmtId="0" fontId="17" fillId="0" borderId="24" applyAlignment="1" pivotButton="0" quotePrefix="0" xfId="0">
      <alignment horizontal="right" vertical="center"/>
    </xf>
    <xf numFmtId="164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75" fontId="2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9" fontId="5" fillId="0" borderId="0" applyAlignment="1" pivotButton="0" quotePrefix="0" xfId="0">
      <alignment horizontal="general" vertical="center"/>
    </xf>
    <xf numFmtId="164" fontId="27" fillId="0" borderId="0" applyAlignment="1" pivotButton="0" quotePrefix="0" xfId="0">
      <alignment horizontal="right" vertical="center"/>
    </xf>
    <xf numFmtId="175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general" vertical="center"/>
    </xf>
    <xf numFmtId="175" fontId="27" fillId="0" borderId="0" applyAlignment="1" pivotButton="0" quotePrefix="0" xfId="0">
      <alignment horizontal="general" vertical="center"/>
    </xf>
    <xf numFmtId="0" fontId="5" fillId="0" borderId="9" applyAlignment="1" pivotButton="0" quotePrefix="0" xfId="0">
      <alignment horizontal="general" vertical="center"/>
    </xf>
    <xf numFmtId="0" fontId="8" fillId="0" borderId="2" applyAlignment="1" pivotButton="0" quotePrefix="0" xfId="0">
      <alignment horizontal="left" vertical="center"/>
    </xf>
    <xf numFmtId="17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general" vertical="center"/>
    </xf>
    <xf numFmtId="0" fontId="29" fillId="0" borderId="9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166" fontId="8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/>
    </xf>
    <xf numFmtId="0" fontId="30" fillId="0" borderId="3" applyAlignment="1" pivotButton="0" quotePrefix="0" xfId="0">
      <alignment horizontal="general" vertical="center"/>
    </xf>
    <xf numFmtId="0" fontId="8" fillId="0" borderId="3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general" vertical="center"/>
    </xf>
    <xf numFmtId="2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left" vertical="center"/>
    </xf>
    <xf numFmtId="165" fontId="5" fillId="0" borderId="0" applyAlignment="1" pivotButton="0" quotePrefix="0" xfId="0">
      <alignment horizontal="general" vertical="center"/>
    </xf>
    <xf numFmtId="164" fontId="5" fillId="0" borderId="0" applyAlignment="1" pivotButton="0" quotePrefix="0" xfId="0">
      <alignment horizontal="general" vertical="center"/>
    </xf>
    <xf numFmtId="166" fontId="5" fillId="0" borderId="0" applyAlignment="1" pivotButton="0" quotePrefix="0" xfId="0">
      <alignment horizontal="general" vertical="center"/>
    </xf>
    <xf numFmtId="0" fontId="7" fillId="0" borderId="0" applyAlignment="1" pivotButton="0" quotePrefix="0" xfId="0">
      <alignment horizontal="general" vertical="center"/>
    </xf>
    <xf numFmtId="0" fontId="6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9" fillId="0" borderId="0" applyAlignment="1" pivotButton="0" quotePrefix="0" xfId="0">
      <alignment horizontal="general" vertical="center"/>
    </xf>
    <xf numFmtId="0" fontId="8" fillId="0" borderId="2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10" fillId="0" borderId="2" applyAlignment="1" pivotButton="0" quotePrefix="0" xfId="0">
      <alignment horizontal="center" vertical="center"/>
    </xf>
    <xf numFmtId="0" fontId="11" fillId="0" borderId="3" applyAlignment="1" pivotButton="0" quotePrefix="0" xfId="0">
      <alignment horizontal="general" vertical="center"/>
    </xf>
    <xf numFmtId="0" fontId="8" fillId="0" borderId="0" applyAlignment="1" pivotButton="0" quotePrefix="0" xfId="0">
      <alignment horizontal="general" vertical="center"/>
    </xf>
    <xf numFmtId="0" fontId="8" fillId="0" borderId="1" applyAlignment="1" pivotButton="0" quotePrefix="0" xfId="0">
      <alignment horizontal="general" vertical="center"/>
    </xf>
    <xf numFmtId="0" fontId="12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general" vertical="center"/>
    </xf>
    <xf numFmtId="0" fontId="8" fillId="0" borderId="5" applyAlignment="1" pivotButton="0" quotePrefix="0" xfId="0">
      <alignment horizontal="general" vertical="center"/>
    </xf>
    <xf numFmtId="0" fontId="8" fillId="0" borderId="6" applyAlignment="1" pivotButton="0" quotePrefix="0" xfId="0">
      <alignment horizontal="general" vertical="center"/>
    </xf>
    <xf numFmtId="0" fontId="8" fillId="0" borderId="7" applyAlignment="1" pivotButton="0" quotePrefix="0" xfId="0">
      <alignment horizontal="general" vertical="center"/>
    </xf>
    <xf numFmtId="167" fontId="8" fillId="0" borderId="7" applyAlignment="1" pivotButton="0" quotePrefix="0" xfId="0">
      <alignment horizontal="general" vertical="center"/>
    </xf>
    <xf numFmtId="168" fontId="8" fillId="0" borderId="7" applyAlignment="1" pivotButton="0" quotePrefix="0" xfId="0">
      <alignment horizontal="general" vertical="center"/>
    </xf>
    <xf numFmtId="168" fontId="8" fillId="0" borderId="8" applyAlignment="1" pivotButton="0" quotePrefix="0" xfId="0">
      <alignment horizontal="general" vertical="center"/>
    </xf>
    <xf numFmtId="0" fontId="8" fillId="0" borderId="2" applyAlignment="1" pivotButton="0" quotePrefix="0" xfId="0">
      <alignment horizontal="general" vertical="center"/>
    </xf>
    <xf numFmtId="0" fontId="8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general" vertical="center"/>
    </xf>
    <xf numFmtId="0" fontId="8" fillId="0" borderId="9" applyAlignment="1" pivotButton="0" quotePrefix="0" xfId="0">
      <alignment horizontal="general" vertical="center"/>
    </xf>
    <xf numFmtId="0" fontId="13" fillId="0" borderId="7" applyAlignment="1" pivotButton="0" quotePrefix="0" xfId="0">
      <alignment horizontal="general" vertical="center"/>
    </xf>
    <xf numFmtId="0" fontId="8" fillId="0" borderId="8" applyAlignment="1" pivotButton="0" quotePrefix="0" xfId="0">
      <alignment horizontal="general" vertical="center"/>
    </xf>
    <xf numFmtId="0" fontId="8" fillId="0" borderId="4" applyAlignment="1" pivotButton="0" quotePrefix="0" xfId="0">
      <alignment horizontal="left" vertical="center"/>
    </xf>
    <xf numFmtId="0" fontId="8" fillId="0" borderId="4" applyAlignment="1" pivotButton="0" quotePrefix="0" xfId="0">
      <alignment horizontal="general" vertical="center"/>
    </xf>
    <xf numFmtId="0" fontId="8" fillId="0" borderId="10" applyAlignment="1" pivotButton="0" quotePrefix="0" xfId="0">
      <alignment horizontal="general" vertical="center"/>
    </xf>
    <xf numFmtId="0" fontId="8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general" vertical="center"/>
    </xf>
    <xf numFmtId="0" fontId="8" fillId="0" borderId="11" applyAlignment="1" pivotButton="0" quotePrefix="0" xfId="0">
      <alignment horizontal="general" vertical="center"/>
    </xf>
    <xf numFmtId="0" fontId="8" fillId="0" borderId="3" applyAlignment="1" pivotButton="0" quotePrefix="0" xfId="0">
      <alignment horizontal="general" vertical="center"/>
    </xf>
    <xf numFmtId="0" fontId="8" fillId="0" borderId="7" applyAlignment="1" pivotButton="0" quotePrefix="0" xfId="0">
      <alignment horizontal="left" vertical="center"/>
    </xf>
    <xf numFmtId="0" fontId="14" fillId="0" borderId="0" applyAlignment="1" pivotButton="0" quotePrefix="0" xfId="0">
      <alignment horizontal="general" vertical="bottom"/>
    </xf>
    <xf numFmtId="0" fontId="15" fillId="0" borderId="0" applyAlignment="1" pivotButton="0" quotePrefix="0" xfId="0">
      <alignment horizontal="general" vertical="bottom"/>
    </xf>
    <xf numFmtId="49" fontId="8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general" vertical="center"/>
    </xf>
    <xf numFmtId="0" fontId="8" fillId="0" borderId="6" applyAlignment="1" pivotButton="0" quotePrefix="0" xfId="0">
      <alignment horizontal="left" vertical="center"/>
    </xf>
    <xf numFmtId="168" fontId="8" fillId="0" borderId="7" applyAlignment="1" pivotButton="0" quotePrefix="0" xfId="0">
      <alignment horizontal="right" vertical="center"/>
    </xf>
    <xf numFmtId="168" fontId="8" fillId="0" borderId="7" applyAlignment="1" pivotButton="0" quotePrefix="0" xfId="0">
      <alignment horizontal="left" vertical="center"/>
    </xf>
    <xf numFmtId="167" fontId="8" fillId="0" borderId="7" applyAlignment="1" pivotButton="0" quotePrefix="0" xfId="0">
      <alignment horizontal="right" vertical="center"/>
    </xf>
    <xf numFmtId="0" fontId="16" fillId="0" borderId="3" applyAlignment="1" pivotButton="0" quotePrefix="0" xfId="0">
      <alignment horizontal="center" vertical="center"/>
    </xf>
    <xf numFmtId="0" fontId="8" fillId="0" borderId="7" applyAlignment="1" pivotButton="0" quotePrefix="0" xfId="0">
      <alignment horizontal="right" vertical="center"/>
    </xf>
    <xf numFmtId="0" fontId="0" fillId="0" borderId="0" pivotButton="0" quotePrefix="0" xfId="0"/>
    <xf numFmtId="0" fontId="5" fillId="0" borderId="2" applyAlignment="1" pivotButton="0" quotePrefix="0" xfId="0">
      <alignment horizontal="left" vertical="center"/>
    </xf>
    <xf numFmtId="164" fontId="5" fillId="0" borderId="0" applyAlignment="1" pivotButton="0" quotePrefix="0" xfId="0">
      <alignment horizontal="center" vertical="center"/>
    </xf>
    <xf numFmtId="164" fontId="17" fillId="0" borderId="0" applyAlignment="1" pivotButton="0" quotePrefix="0" xfId="0">
      <alignment horizontal="general" vertical="center"/>
    </xf>
    <xf numFmtId="164" fontId="17" fillId="0" borderId="0" applyAlignment="1" pivotButton="0" quotePrefix="0" xfId="0">
      <alignment horizontal="right" vertical="center"/>
    </xf>
    <xf numFmtId="169" fontId="18" fillId="0" borderId="0" applyAlignment="1" pivotButton="0" quotePrefix="0" xfId="0">
      <alignment horizontal="center" vertical="center"/>
    </xf>
    <xf numFmtId="0" fontId="17" fillId="4" borderId="0" applyAlignment="1" pivotButton="0" quotePrefix="0" xfId="0">
      <alignment horizontal="center" vertical="center" wrapText="1"/>
    </xf>
    <xf numFmtId="0" fontId="19" fillId="2" borderId="12" applyAlignment="1" pivotButton="0" quotePrefix="0" xfId="0">
      <alignment horizontal="center" vertical="center" wrapText="1"/>
    </xf>
    <xf numFmtId="0" fontId="19" fillId="2" borderId="13" applyAlignment="1" pivotButton="0" quotePrefix="0" xfId="0">
      <alignment horizontal="center" vertical="center" wrapText="1"/>
    </xf>
    <xf numFmtId="2" fontId="19" fillId="2" borderId="13" applyAlignment="1" pivotButton="0" quotePrefix="0" xfId="0">
      <alignment horizontal="center" vertical="center" wrapText="1"/>
    </xf>
    <xf numFmtId="170" fontId="19" fillId="2" borderId="13" applyAlignment="1" pivotButton="0" quotePrefix="0" xfId="0">
      <alignment horizontal="center" vertical="center" wrapText="1"/>
    </xf>
    <xf numFmtId="164" fontId="19" fillId="2" borderId="13" applyAlignment="1" pivotButton="0" quotePrefix="0" xfId="0">
      <alignment horizontal="center" vertical="center" wrapText="1"/>
    </xf>
    <xf numFmtId="164" fontId="19" fillId="3" borderId="13" applyAlignment="1" pivotButton="0" quotePrefix="0" xfId="0">
      <alignment horizontal="center" vertical="center" wrapText="1"/>
    </xf>
    <xf numFmtId="0" fontId="19" fillId="3" borderId="14" applyAlignment="1" pivotButton="0" quotePrefix="0" xfId="0">
      <alignment horizontal="center" vertical="center" wrapText="1"/>
    </xf>
    <xf numFmtId="0" fontId="19" fillId="3" borderId="13" applyAlignment="1" pivotButton="0" quotePrefix="0" xfId="0">
      <alignment horizontal="center" vertical="center" wrapText="1"/>
    </xf>
    <xf numFmtId="0" fontId="17" fillId="4" borderId="0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 wrapText="1"/>
    </xf>
    <xf numFmtId="1" fontId="20" fillId="0" borderId="13" applyAlignment="1" pivotButton="0" quotePrefix="0" xfId="0">
      <alignment horizontal="center" vertical="center" shrinkToFit="1"/>
    </xf>
    <xf numFmtId="171" fontId="16" fillId="5" borderId="16" applyAlignment="1" pivotButton="0" quotePrefix="0" xfId="0">
      <alignment horizontal="center" vertical="center" wrapText="1"/>
    </xf>
    <xf numFmtId="171" fontId="16" fillId="5" borderId="13" applyAlignment="1" pivotButton="0" quotePrefix="0" xfId="0">
      <alignment horizontal="center" vertical="center" wrapText="1"/>
    </xf>
    <xf numFmtId="171" fontId="5" fillId="5" borderId="16" applyAlignment="1" pivotButton="0" quotePrefix="0" xfId="0">
      <alignment horizontal="center" vertical="center"/>
    </xf>
    <xf numFmtId="172" fontId="5" fillId="0" borderId="16" applyAlignment="1" pivotButton="0" quotePrefix="0" xfId="0">
      <alignment horizontal="center" vertical="center" wrapText="1"/>
    </xf>
    <xf numFmtId="165" fontId="5" fillId="0" borderId="16" applyAlignment="1" pivotButton="0" quotePrefix="0" xfId="0">
      <alignment horizontal="center" vertical="center" wrapText="1"/>
    </xf>
    <xf numFmtId="173" fontId="16" fillId="0" borderId="16" applyAlignment="1" pivotButton="0" quotePrefix="0" xfId="0">
      <alignment horizontal="center" vertical="center"/>
    </xf>
    <xf numFmtId="174" fontId="16" fillId="0" borderId="16" applyAlignment="1" pivotButton="0" quotePrefix="0" xfId="0">
      <alignment horizontal="center" vertical="center"/>
    </xf>
    <xf numFmtId="175" fontId="5" fillId="0" borderId="16" applyAlignment="1" pivotButton="0" quotePrefix="0" xfId="0">
      <alignment horizontal="center" vertical="center"/>
    </xf>
    <xf numFmtId="175" fontId="5" fillId="0" borderId="17" applyAlignment="1" pivotButton="0" quotePrefix="0" xfId="0">
      <alignment horizontal="center" vertical="center"/>
    </xf>
    <xf numFmtId="2" fontId="17" fillId="4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21" fillId="0" borderId="18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/>
    </xf>
    <xf numFmtId="1" fontId="21" fillId="0" borderId="19" applyAlignment="1" pivotButton="0" quotePrefix="0" xfId="0">
      <alignment horizontal="center" vertical="center"/>
    </xf>
    <xf numFmtId="171" fontId="5" fillId="5" borderId="19" applyAlignment="1" pivotButton="0" quotePrefix="0" xfId="0">
      <alignment horizontal="center" vertical="center"/>
    </xf>
    <xf numFmtId="176" fontId="5" fillId="0" borderId="19" applyAlignment="1" pivotButton="0" quotePrefix="0" xfId="0">
      <alignment horizontal="center" vertical="center"/>
    </xf>
    <xf numFmtId="164" fontId="21" fillId="0" borderId="19" applyAlignment="1" pivotButton="0" quotePrefix="0" xfId="0">
      <alignment horizontal="center" vertical="center"/>
    </xf>
    <xf numFmtId="174" fontId="21" fillId="0" borderId="19" applyAlignment="1" pivotButton="0" quotePrefix="0" xfId="0">
      <alignment horizontal="center" vertical="center"/>
    </xf>
    <xf numFmtId="175" fontId="21" fillId="0" borderId="19" applyAlignment="1" pivotButton="0" quotePrefix="0" xfId="0">
      <alignment horizontal="center" vertical="center"/>
    </xf>
    <xf numFmtId="175" fontId="21" fillId="0" borderId="20" applyAlignment="1" pivotButton="0" quotePrefix="0" xfId="0">
      <alignment horizontal="center" vertical="center"/>
    </xf>
    <xf numFmtId="0" fontId="16" fillId="0" borderId="16" applyAlignment="1" pivotButton="0" quotePrefix="0" xfId="0">
      <alignment horizontal="center" vertical="center" wrapText="1"/>
    </xf>
    <xf numFmtId="171" fontId="16" fillId="0" borderId="16" applyAlignment="1" pivotButton="0" quotePrefix="0" xfId="0">
      <alignment horizontal="center" vertical="center" wrapText="1"/>
    </xf>
    <xf numFmtId="171" fontId="16" fillId="0" borderId="13" applyAlignment="1" pivotButton="0" quotePrefix="0" xfId="0">
      <alignment horizontal="center" vertical="center" wrapText="1"/>
    </xf>
    <xf numFmtId="171" fontId="5" fillId="0" borderId="16" applyAlignment="1" pivotButton="0" quotePrefix="0" xfId="0">
      <alignment horizontal="center" vertical="center"/>
    </xf>
    <xf numFmtId="165" fontId="5" fillId="6" borderId="16" applyAlignment="1" pivotButton="0" quotePrefix="0" xfId="0">
      <alignment horizontal="center" vertical="center" wrapText="1"/>
    </xf>
    <xf numFmtId="175" fontId="17" fillId="4" borderId="0" applyAlignment="1" pivotButton="0" quotePrefix="0" xfId="0">
      <alignment horizontal="center" vertical="center"/>
    </xf>
    <xf numFmtId="171" fontId="5" fillId="0" borderId="19" applyAlignment="1" pivotButton="0" quotePrefix="0" xfId="0">
      <alignment horizontal="center" vertical="center"/>
    </xf>
    <xf numFmtId="1" fontId="20" fillId="0" borderId="16" applyAlignment="1" pivotButton="0" quotePrefix="0" xfId="0">
      <alignment horizontal="center" vertical="center" shrinkToFit="1"/>
    </xf>
    <xf numFmtId="0" fontId="16" fillId="0" borderId="12" applyAlignment="1" pivotButton="0" quotePrefix="0" xfId="0">
      <alignment horizontal="center" vertical="center"/>
    </xf>
    <xf numFmtId="177" fontId="5" fillId="0" borderId="0" applyAlignment="1" pivotButton="0" quotePrefix="0" xfId="0">
      <alignment horizontal="general" vertical="center"/>
    </xf>
    <xf numFmtId="177" fontId="5" fillId="0" borderId="0" applyAlignment="1" pivotButton="0" quotePrefix="0" xfId="0">
      <alignment horizontal="center" vertical="center"/>
    </xf>
    <xf numFmtId="173" fontId="5" fillId="0" borderId="0" applyAlignment="1" pivotButton="0" quotePrefix="0" xfId="0">
      <alignment horizontal="general" vertical="center"/>
    </xf>
    <xf numFmtId="177" fontId="19" fillId="2" borderId="13" applyAlignment="1" pivotButton="0" quotePrefix="0" xfId="0">
      <alignment horizontal="center" vertical="center" wrapText="1"/>
    </xf>
    <xf numFmtId="173" fontId="19" fillId="2" borderId="13" applyAlignment="1" pivotButton="0" quotePrefix="0" xfId="0">
      <alignment horizontal="center" vertical="center" wrapText="1"/>
    </xf>
    <xf numFmtId="177" fontId="16" fillId="0" borderId="16" applyAlignment="1" pivotButton="0" quotePrefix="0" xfId="0">
      <alignment horizontal="center" vertical="center" wrapText="1"/>
    </xf>
    <xf numFmtId="177" fontId="5" fillId="0" borderId="16" applyAlignment="1" pivotButton="0" quotePrefix="0" xfId="0">
      <alignment horizontal="center" vertical="center"/>
    </xf>
    <xf numFmtId="177" fontId="5" fillId="0" borderId="19" applyAlignment="1" pivotButton="0" quotePrefix="0" xfId="0">
      <alignment horizontal="center" vertical="center"/>
    </xf>
    <xf numFmtId="173" fontId="21" fillId="0" borderId="19" applyAlignment="1" pivotButton="0" quotePrefix="0" xfId="0">
      <alignment horizontal="center" vertical="center"/>
    </xf>
    <xf numFmtId="177" fontId="16" fillId="5" borderId="16" applyAlignment="1" pivotButton="0" quotePrefix="0" xfId="0">
      <alignment horizontal="center" vertical="center" wrapText="1"/>
    </xf>
    <xf numFmtId="177" fontId="5" fillId="5" borderId="16" applyAlignment="1" pivotButton="0" quotePrefix="0" xfId="0">
      <alignment horizontal="center" vertical="center"/>
    </xf>
    <xf numFmtId="178" fontId="16" fillId="0" borderId="16" applyAlignment="1" pivotButton="0" quotePrefix="0" xfId="0">
      <alignment horizontal="center" vertical="center"/>
    </xf>
    <xf numFmtId="177" fontId="5" fillId="5" borderId="19" applyAlignment="1" pivotButton="0" quotePrefix="0" xfId="0">
      <alignment horizontal="center" vertical="center"/>
    </xf>
    <xf numFmtId="2" fontId="19" fillId="4" borderId="0" applyAlignment="1" pivotButton="0" quotePrefix="0" xfId="0">
      <alignment horizontal="center" vertical="center"/>
    </xf>
    <xf numFmtId="0" fontId="19" fillId="4" borderId="0" applyAlignment="1" pivotButton="0" quotePrefix="0" xfId="0">
      <alignment horizontal="center" vertical="center"/>
    </xf>
    <xf numFmtId="0" fontId="21" fillId="0" borderId="2" applyAlignment="1" pivotButton="0" quotePrefix="0" xfId="0">
      <alignment horizontal="left" vertical="center"/>
    </xf>
    <xf numFmtId="1" fontId="21" fillId="0" borderId="0" applyAlignment="1" pivotButton="0" quotePrefix="0" xfId="0">
      <alignment horizontal="center" vertical="center"/>
    </xf>
    <xf numFmtId="177" fontId="5" fillId="5" borderId="0" applyAlignment="1" pivotButton="0" quotePrefix="0" xfId="0">
      <alignment horizontal="center" vertical="center"/>
    </xf>
    <xf numFmtId="176" fontId="5" fillId="0" borderId="0" applyAlignment="1" pivotButton="0" quotePrefix="0" xfId="0">
      <alignment horizontal="center" vertical="center"/>
    </xf>
    <xf numFmtId="173" fontId="21" fillId="0" borderId="0" applyAlignment="1" pivotButton="0" quotePrefix="0" xfId="0">
      <alignment horizontal="center" vertical="center"/>
    </xf>
    <xf numFmtId="174" fontId="21" fillId="0" borderId="0" applyAlignment="1" pivotButton="0" quotePrefix="0" xfId="0">
      <alignment horizontal="center" vertical="center"/>
    </xf>
    <xf numFmtId="175" fontId="21" fillId="0" borderId="0" applyAlignment="1" pivotButton="0" quotePrefix="0" xfId="0">
      <alignment horizontal="center" vertical="center"/>
    </xf>
    <xf numFmtId="0" fontId="16" fillId="0" borderId="21" applyAlignment="1" pivotButton="0" quotePrefix="0" xfId="0">
      <alignment horizontal="center" vertical="center"/>
    </xf>
    <xf numFmtId="0" fontId="16" fillId="0" borderId="22" applyAlignment="1" pivotButton="0" quotePrefix="0" xfId="0">
      <alignment horizontal="center" vertical="center"/>
    </xf>
    <xf numFmtId="170" fontId="16" fillId="0" borderId="22" applyAlignment="1" pivotButton="0" quotePrefix="0" xfId="0">
      <alignment horizontal="center" vertical="center"/>
    </xf>
    <xf numFmtId="165" fontId="16" fillId="0" borderId="22" applyAlignment="1" pivotButton="0" quotePrefix="0" xfId="0">
      <alignment horizontal="center" vertical="center"/>
    </xf>
    <xf numFmtId="164" fontId="16" fillId="0" borderId="22" applyAlignment="1" pivotButton="0" quotePrefix="0" xfId="0">
      <alignment horizontal="center" vertical="center"/>
    </xf>
    <xf numFmtId="175" fontId="5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center" vertical="center"/>
    </xf>
    <xf numFmtId="175" fontId="21" fillId="0" borderId="22" applyAlignment="1" pivotButton="0" quotePrefix="0" xfId="0">
      <alignment horizontal="right" vertical="center"/>
    </xf>
    <xf numFmtId="175" fontId="5" fillId="0" borderId="2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2" fillId="0" borderId="24" applyAlignment="1" pivotButton="0" quotePrefix="0" xfId="0">
      <alignment horizontal="center" vertical="bottom"/>
    </xf>
    <xf numFmtId="0" fontId="0" fillId="0" borderId="24" pivotButton="0" quotePrefix="0" xfId="0"/>
    <xf numFmtId="170" fontId="5" fillId="0" borderId="0" applyAlignment="1" pivotButton="0" quotePrefix="0" xfId="0">
      <alignment horizontal="general" vertical="center"/>
    </xf>
    <xf numFmtId="164" fontId="23" fillId="0" borderId="0" applyAlignment="1" pivotButton="0" quotePrefix="0" xfId="0">
      <alignment horizontal="general" vertical="center"/>
    </xf>
    <xf numFmtId="164" fontId="24" fillId="0" borderId="0" applyAlignment="1" pivotButton="0" quotePrefix="0" xfId="0">
      <alignment horizontal="right" vertical="center"/>
    </xf>
    <xf numFmtId="175" fontId="24" fillId="0" borderId="24" applyAlignment="1" pivotButton="0" quotePrefix="0" xfId="0">
      <alignment horizontal="center" vertical="center"/>
    </xf>
    <xf numFmtId="0" fontId="17" fillId="0" borderId="24" applyAlignment="1" pivotButton="0" quotePrefix="0" xfId="0">
      <alignment horizontal="right" vertical="center"/>
    </xf>
    <xf numFmtId="164" fontId="25" fillId="0" borderId="0" applyAlignment="1" pivotButton="0" quotePrefix="0" xfId="0">
      <alignment horizontal="general" vertical="center"/>
    </xf>
    <xf numFmtId="0" fontId="22" fillId="0" borderId="0" applyAlignment="1" pivotButton="0" quotePrefix="0" xfId="0">
      <alignment horizontal="center" vertical="bottom"/>
    </xf>
    <xf numFmtId="0" fontId="26" fillId="0" borderId="0" applyAlignment="1" pivotButton="0" quotePrefix="0" xfId="0">
      <alignment horizontal="center" vertical="bottom"/>
    </xf>
    <xf numFmtId="175" fontId="2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/>
    </xf>
    <xf numFmtId="179" fontId="5" fillId="0" borderId="0" applyAlignment="1" pivotButton="0" quotePrefix="0" xfId="0">
      <alignment horizontal="general" vertical="center"/>
    </xf>
    <xf numFmtId="164" fontId="27" fillId="0" borderId="0" applyAlignment="1" pivotButton="0" quotePrefix="0" xfId="0">
      <alignment horizontal="right" vertical="center"/>
    </xf>
    <xf numFmtId="175" fontId="27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general" vertical="center"/>
    </xf>
    <xf numFmtId="175" fontId="27" fillId="0" borderId="0" applyAlignment="1" pivotButton="0" quotePrefix="0" xfId="0">
      <alignment horizontal="general" vertical="center"/>
    </xf>
    <xf numFmtId="0" fontId="5" fillId="0" borderId="9" applyAlignment="1" pivotButton="0" quotePrefix="0" xfId="0">
      <alignment horizontal="general" vertical="center"/>
    </xf>
    <xf numFmtId="0" fontId="8" fillId="0" borderId="2" applyAlignment="1" pivotButton="0" quotePrefix="0" xfId="0">
      <alignment horizontal="left" vertical="center"/>
    </xf>
    <xf numFmtId="17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166" fontId="9" fillId="0" borderId="0" applyAlignment="1" pivotButton="0" quotePrefix="0" xfId="0">
      <alignment horizontal="left" vertical="center"/>
    </xf>
    <xf numFmtId="0" fontId="29" fillId="0" borderId="0" applyAlignment="1" pivotButton="0" quotePrefix="0" xfId="0">
      <alignment horizontal="general" vertical="center"/>
    </xf>
    <xf numFmtId="0" fontId="29" fillId="0" borderId="9" applyAlignment="1" pivotButton="0" quotePrefix="0" xfId="0">
      <alignment horizontal="general" vertical="center"/>
    </xf>
    <xf numFmtId="0" fontId="8" fillId="0" borderId="0" applyAlignment="1" pivotButton="0" quotePrefix="0" xfId="0">
      <alignment horizontal="right" vertical="center"/>
    </xf>
    <xf numFmtId="166" fontId="8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horizontal="center" vertical="center"/>
    </xf>
    <xf numFmtId="0" fontId="30" fillId="0" borderId="3" applyAlignment="1" pivotButton="0" quotePrefix="0" xfId="0">
      <alignment horizontal="general" vertical="center"/>
    </xf>
    <xf numFmtId="0" fontId="8" fillId="0" borderId="3" applyAlignment="1" pivotButton="0" quotePrefix="0" xfId="0">
      <alignment horizontal="right" vertical="center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  <cellStyle name="표준 2 2" xfId="7"/>
  </cellStyles>
  <dxfs count="1">
    <dxf>
      <fill>
        <patternFill>
          <b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Aissa Lintang</author>
  </authors>
  <commentList>
    <comment ref="Q21" authorId="0" shapeId="0">
      <text>
        <t>TAG COST</t>
      </text>
    </comment>
    <comment ref="Q25" authorId="0" shapeId="0">
      <text>
        <t>TAG COST</t>
      </text>
    </comment>
    <comment ref="Q26" authorId="0" shapeId="0">
      <text>
        <t>TAG COST</t>
      </text>
    </comment>
    <comment ref="Q30" authorId="0" shapeId="0">
      <text>
        <t>TAG COST</t>
      </text>
    </comment>
    <comment ref="Q31" authorId="0" shapeId="0">
      <text>
        <t>TAG COST</t>
      </text>
    </comment>
    <comment ref="Q32" authorId="0" shapeId="0">
      <text>
        <t>TAG COST</t>
      </text>
    </comment>
    <comment ref="Q33" authorId="0" shapeId="0">
      <text>
        <t>TAG COST</t>
      </text>
    </comment>
    <comment ref="Q37" authorId="0" shapeId="0">
      <text>
        <t>TAG COST</t>
      </text>
    </comment>
    <comment ref="Q41" authorId="0" shapeId="0">
      <text>
        <t>TAG COST</t>
      </text>
    </comment>
    <comment ref="Q42" authorId="0" shapeId="0">
      <text>
        <t>TAG COST</t>
      </text>
    </comment>
    <comment ref="Q43" authorId="0" shapeId="0">
      <text>
        <t>TAG COST</t>
      </text>
    </comment>
    <comment ref="Q56" authorId="0" shapeId="0">
      <text>
        <t>TAG COST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AI94"/>
  <sheetViews>
    <sheetView showFormulas="0" showGridLines="0" showRowColHeaders="1" showZeros="1" rightToLeft="0" tabSelected="1" showOutlineSymbols="1" defaultGridColor="1" view="pageBreakPreview" topLeftCell="P28" colorId="64" zoomScale="100" zoomScaleNormal="100" zoomScalePageLayoutView="100" workbookViewId="0">
      <selection pane="topLeft" activeCell="AH32" activeCellId="0" sqref="AH32"/>
    </sheetView>
  </sheetViews>
  <sheetFormatPr baseColWidth="8" defaultColWidth="8.66796875" defaultRowHeight="13.5" customHeight="1" zeroHeight="0" outlineLevelRow="0"/>
  <cols>
    <col width="22.44" customWidth="1" style="156" min="1" max="1"/>
    <col width="12.44" customWidth="1" style="156" min="2" max="2"/>
    <col width="10.33" customWidth="1" style="156" min="3" max="3"/>
    <col width="17.44" customWidth="1" style="156" min="4" max="4"/>
    <col width="12" customWidth="1" style="156" min="5" max="5"/>
    <col width="10" customWidth="1" style="156" min="6" max="6"/>
    <col width="6.88" customWidth="1" style="156" min="7" max="7"/>
    <col width="9.67" customWidth="1" style="157" min="8" max="8"/>
    <col width="8.56" customWidth="1" style="158" min="9" max="10"/>
    <col width="10.11" customWidth="1" style="159" min="11" max="11"/>
    <col width="11.89" customWidth="1" style="159" min="12" max="12"/>
    <col width="8.56" customWidth="1" style="159" min="13" max="14"/>
    <col width="11.89" customWidth="1" style="160" min="15" max="15"/>
    <col width="12.22" customWidth="1" style="160" min="16" max="16"/>
    <col width="12.44" customWidth="1" style="161" min="17" max="19"/>
    <col width="8.44" customWidth="1" style="161" min="20" max="20"/>
    <col width="9.109999999999999" customWidth="1" style="161" min="21" max="21"/>
    <col width="10.56" customWidth="1" style="161" min="22" max="22"/>
    <col width="19.33" customWidth="1" style="161" min="23" max="23"/>
    <col width="13.44" customWidth="1" style="162" min="24" max="24"/>
    <col width="14.56" customWidth="1" style="157" min="25" max="26"/>
    <col width="11.33" customWidth="1" style="157" min="27" max="27"/>
    <col width="9.56" customWidth="1" style="157" min="28" max="28"/>
    <col width="10.66" customWidth="1" style="157" min="29" max="29"/>
    <col width="12.67" customWidth="1" style="157" min="30" max="30"/>
    <col width="8.67" customWidth="1" style="157" min="31" max="16384"/>
  </cols>
  <sheetData>
    <row r="1" ht="31.5" customFormat="1" customHeight="1" s="163">
      <c r="A1" s="164" t="inlineStr">
        <is>
          <t>PT. VERONIQUE INDONESIA</t>
        </is>
      </c>
      <c r="B1" s="165" t="n"/>
      <c r="C1" s="165" t="n"/>
      <c r="D1" s="165" t="n"/>
      <c r="E1" s="165" t="n"/>
      <c r="F1" s="165" t="n"/>
      <c r="G1" s="165" t="n"/>
      <c r="H1" s="165" t="n"/>
      <c r="I1" s="165" t="n"/>
      <c r="J1" s="165" t="n"/>
      <c r="K1" s="165" t="n"/>
      <c r="L1" s="165" t="n"/>
      <c r="M1" s="165" t="n"/>
      <c r="N1" s="165" t="n"/>
      <c r="O1" s="165" t="n"/>
      <c r="P1" s="165" t="n"/>
      <c r="Q1" s="165" t="n"/>
      <c r="R1" s="165" t="n"/>
      <c r="S1" s="165" t="n"/>
      <c r="T1" s="165" t="n"/>
      <c r="U1" s="165" t="n"/>
      <c r="V1" s="165" t="n"/>
      <c r="W1" s="165" t="n"/>
      <c r="X1" s="165" t="n"/>
      <c r="Y1" s="165" t="n"/>
    </row>
    <row r="2" ht="15" customFormat="1" customHeight="1" s="166">
      <c r="A2" s="167" t="inlineStr">
        <is>
          <t>Jl. Raya Purwonegoro, Rt. 007/003  Purwonegoro, Banjarnegara,  Jawa Tengah   Zip Code : 53472   INDONESIA</t>
        </is>
      </c>
    </row>
    <row r="3" ht="20.25" customFormat="1" customHeight="1" s="168">
      <c r="A3" s="169" t="inlineStr">
        <is>
          <t>PROFORMA INVOICE</t>
        </is>
      </c>
      <c r="Z3" s="170" t="n"/>
    </row>
    <row r="4" ht="12" customFormat="1" customHeight="1" s="171">
      <c r="A4" s="172" t="inlineStr">
        <is>
          <t>Seller:</t>
        </is>
      </c>
      <c r="B4" s="173" t="inlineStr">
        <is>
          <t>PT. VERONIQUE INDONESIA</t>
        </is>
      </c>
      <c r="C4" s="173" t="n"/>
      <c r="D4" s="173" t="n"/>
      <c r="E4" s="173" t="n"/>
      <c r="F4" s="174" t="n"/>
      <c r="G4" s="174" t="n"/>
      <c r="H4" s="174" t="n"/>
      <c r="I4" s="174" t="n"/>
      <c r="J4" s="174" t="n"/>
      <c r="K4" s="175" t="n"/>
      <c r="L4" s="176" t="inlineStr">
        <is>
          <t>Invoice No. &amp; Date :</t>
        </is>
      </c>
      <c r="M4" s="177" t="n"/>
      <c r="N4" s="177" t="inlineStr">
        <is>
          <t>PI ELI241212RB-2-14K-6</t>
        </is>
      </c>
      <c r="O4" s="177" t="n"/>
      <c r="P4" s="177" t="n"/>
      <c r="Q4" s="177" t="n"/>
      <c r="R4" s="177" t="n"/>
      <c r="S4" s="177" t="n"/>
      <c r="T4" s="177" t="n"/>
      <c r="U4" s="177" t="n"/>
      <c r="V4" s="178" t="n"/>
      <c r="W4" s="177" t="n"/>
      <c r="X4" s="177" t="n"/>
      <c r="Y4" s="179" t="n"/>
      <c r="Z4" s="180" t="n"/>
      <c r="AA4" s="171" t="n">
        <v>0.24</v>
      </c>
    </row>
    <row r="5" ht="12" customFormat="1" customHeight="1" s="171">
      <c r="A5" s="181" t="n">
        <v>20</v>
      </c>
      <c r="B5" s="182" t="inlineStr">
        <is>
          <t>Jl. Raya Purwonegoro, Rt. 007/003  Purwonegoro, Banjarnegara,</t>
        </is>
      </c>
      <c r="C5" s="182" t="n"/>
      <c r="D5" s="182" t="n"/>
      <c r="E5" s="182" t="n"/>
      <c r="F5" s="183" t="n"/>
      <c r="G5" s="183" t="n"/>
      <c r="H5" s="183" t="n"/>
      <c r="I5" s="183" t="n"/>
      <c r="J5" s="183" t="n"/>
      <c r="K5" s="184" t="n"/>
      <c r="L5" s="176" t="inlineStr">
        <is>
          <t>L/C No. &amp; Date :</t>
        </is>
      </c>
      <c r="M5" s="177" t="n"/>
      <c r="N5" s="177" t="n"/>
      <c r="O5" s="185" t="n"/>
      <c r="P5" s="185" t="n"/>
      <c r="Q5" s="177" t="n"/>
      <c r="R5" s="177" t="n"/>
      <c r="S5" s="177" t="n"/>
      <c r="T5" s="177" t="n"/>
      <c r="U5" s="177" t="n"/>
      <c r="V5" s="177" t="n"/>
      <c r="W5" s="177" t="n"/>
      <c r="X5" s="177" t="n"/>
      <c r="Y5" s="177" t="n"/>
      <c r="Z5" s="186" t="n"/>
    </row>
    <row r="6" ht="12" customFormat="1" customHeight="1" s="171">
      <c r="A6" s="181" t="n">
        <v>20</v>
      </c>
      <c r="B6" s="182" t="inlineStr">
        <is>
          <t>Jawa Tengah  Zip Code : 53472   INDONESIA</t>
        </is>
      </c>
      <c r="C6" s="182" t="n"/>
      <c r="D6" s="182" t="n"/>
      <c r="E6" s="182" t="n"/>
      <c r="F6" s="183" t="n"/>
      <c r="G6" s="183" t="n"/>
      <c r="H6" s="183" t="n"/>
      <c r="I6" s="183" t="n"/>
      <c r="J6" s="183" t="n"/>
      <c r="K6" s="184" t="n"/>
      <c r="L6" s="172" t="inlineStr">
        <is>
          <t>(Buyer : if then Consignee):</t>
        </is>
      </c>
      <c r="M6" s="187" t="n"/>
      <c r="N6" s="188" t="n"/>
      <c r="O6" s="187" t="n"/>
      <c r="P6" s="187" t="n"/>
      <c r="Q6" s="187" t="n"/>
      <c r="R6" s="187" t="n"/>
      <c r="S6" s="187" t="n"/>
      <c r="T6" s="187" t="n"/>
      <c r="U6" s="187" t="n"/>
      <c r="V6" s="188" t="n"/>
      <c r="W6" s="188" t="n"/>
      <c r="X6" s="188" t="n"/>
      <c r="Y6" s="188" t="n"/>
      <c r="Z6" s="175" t="n"/>
    </row>
    <row r="7" ht="12" customFormat="1" customHeight="1" s="171">
      <c r="A7" s="189" t="n">
        <v>20</v>
      </c>
      <c r="B7" s="190" t="inlineStr">
        <is>
          <t>Tel : 62-286-598-8594   Fax : 62-286-598-8650</t>
        </is>
      </c>
      <c r="C7" s="190" t="n"/>
      <c r="D7" s="190" t="n"/>
      <c r="E7" s="190" t="n"/>
      <c r="F7" s="191" t="n"/>
      <c r="G7" s="191" t="n"/>
      <c r="H7" s="191" t="n"/>
      <c r="I7" s="191" t="n"/>
      <c r="J7" s="191" t="n"/>
      <c r="K7" s="192" t="n"/>
      <c r="L7" s="189" t="n"/>
      <c r="M7" s="190" t="n"/>
      <c r="N7" s="193" t="n"/>
      <c r="O7" s="190" t="n"/>
      <c r="P7" s="190" t="n"/>
      <c r="Q7" s="190" t="n"/>
      <c r="R7" s="190" t="n"/>
      <c r="S7" s="190" t="n"/>
      <c r="T7" s="190" t="n"/>
      <c r="U7" s="190" t="n"/>
      <c r="V7" s="193" t="n"/>
      <c r="W7" s="193" t="n"/>
      <c r="X7" s="193" t="n"/>
      <c r="Y7" s="193" t="n"/>
      <c r="Z7" s="192" t="n"/>
    </row>
    <row r="8" ht="12" customFormat="1" customHeight="1" s="171">
      <c r="A8" s="172" t="inlineStr">
        <is>
          <t>Consignee:</t>
        </is>
      </c>
      <c r="B8" s="173" t="inlineStr">
        <is>
          <t xml:space="preserve">Essential Lab Grown Diamonds Inc. </t>
        </is>
      </c>
      <c r="C8" s="173" t="n"/>
      <c r="D8" s="173" t="n"/>
      <c r="E8" s="173" t="n"/>
      <c r="F8" s="173" t="n"/>
      <c r="G8" s="173" t="n"/>
      <c r="H8" s="173" t="n"/>
      <c r="I8" s="173" t="n"/>
      <c r="J8" s="173" t="n"/>
      <c r="K8" s="175" t="n"/>
      <c r="L8" s="176" t="inlineStr">
        <is>
          <t xml:space="preserve">"GSP eligible Article" </t>
        </is>
      </c>
      <c r="M8" s="194" t="n"/>
      <c r="N8" s="177" t="n"/>
      <c r="O8" s="194" t="n"/>
      <c r="P8" s="194" t="n"/>
      <c r="Q8" s="194" t="n"/>
      <c r="R8" s="194" t="n"/>
      <c r="S8" s="194" t="n"/>
      <c r="T8" s="194" t="n"/>
      <c r="U8" s="194" t="n"/>
      <c r="V8" s="177" t="n"/>
      <c r="W8" s="177" t="n"/>
      <c r="X8" s="177" t="n"/>
      <c r="Y8" s="177" t="n"/>
      <c r="Z8" s="186" t="n"/>
    </row>
    <row r="9" ht="12" customFormat="1" customHeight="1" s="171">
      <c r="A9" s="181" t="n">
        <v>20</v>
      </c>
      <c r="B9" s="182" t="inlineStr">
        <is>
          <t>to Veronique Oro Corp.</t>
        </is>
      </c>
      <c r="C9" s="182" t="n"/>
      <c r="D9" s="182" t="n"/>
      <c r="E9" s="182" t="n"/>
      <c r="F9" s="182" t="n"/>
      <c r="G9" s="182" t="n"/>
      <c r="H9" s="182" t="n"/>
      <c r="I9" s="182" t="n"/>
      <c r="J9" s="182" t="n"/>
      <c r="K9" s="184" t="n"/>
      <c r="L9" s="187" t="inlineStr">
        <is>
          <t>Country of Origin :</t>
        </is>
      </c>
      <c r="M9" s="187" t="n"/>
      <c r="N9" s="188" t="n"/>
      <c r="O9" s="188" t="inlineStr">
        <is>
          <t>INDONESIA</t>
        </is>
      </c>
      <c r="P9" s="188" t="n"/>
      <c r="Q9" s="187" t="n"/>
      <c r="R9" s="187" t="n"/>
      <c r="S9" s="187" t="n"/>
      <c r="T9" s="187" t="n"/>
      <c r="U9" s="187" t="n"/>
      <c r="V9" s="188" t="n"/>
      <c r="W9" s="188" t="n"/>
      <c r="X9" s="188" t="n"/>
      <c r="Y9" s="188" t="n"/>
      <c r="Z9" s="175" t="n"/>
    </row>
    <row r="10" ht="12" customFormat="1" customHeight="1" s="171">
      <c r="A10" s="181" t="n">
        <v>20</v>
      </c>
      <c r="B10" s="182" t="n"/>
      <c r="C10" s="182" t="n"/>
      <c r="D10" s="182" t="n"/>
      <c r="E10" s="182" t="n"/>
      <c r="F10" s="182" t="n"/>
      <c r="G10" s="182" t="n"/>
      <c r="H10" s="182" t="n"/>
      <c r="I10" s="182" t="n"/>
      <c r="J10" s="182" t="n"/>
      <c r="K10" s="184" t="n"/>
      <c r="L10" s="171" t="inlineStr">
        <is>
          <t xml:space="preserve">B/L No. : </t>
        </is>
      </c>
      <c r="Q10" s="195" t="n"/>
      <c r="R10" s="195" t="n"/>
      <c r="S10" s="195" t="n"/>
      <c r="T10" s="195" t="n"/>
      <c r="U10" s="195" t="n"/>
      <c r="V10" s="196" t="n"/>
      <c r="W10" s="197" t="n"/>
      <c r="Z10" s="184" t="n"/>
    </row>
    <row r="11" ht="12" customFormat="1" customHeight="1" s="171">
      <c r="A11" s="189" t="n">
        <v>20</v>
      </c>
      <c r="B11" s="190" t="n"/>
      <c r="C11" s="190" t="n"/>
      <c r="D11" s="190" t="n"/>
      <c r="E11" s="190" t="n"/>
      <c r="F11" s="190" t="n"/>
      <c r="G11" s="190" t="n"/>
      <c r="H11" s="190" t="n"/>
      <c r="I11" s="190" t="n"/>
      <c r="J11" s="190" t="n"/>
      <c r="K11" s="192" t="n"/>
      <c r="L11" s="171" t="inlineStr">
        <is>
          <t xml:space="preserve">A/C No. : </t>
        </is>
      </c>
      <c r="O11" s="198" t="n"/>
      <c r="P11" s="198" t="n"/>
      <c r="V11" s="197" t="n"/>
      <c r="W11" s="197" t="n"/>
      <c r="Z11" s="184" t="n"/>
    </row>
    <row r="12" ht="12" customFormat="1" customHeight="1" s="171">
      <c r="A12" s="199" t="n">
        <v>20</v>
      </c>
      <c r="B12" s="200" t="inlineStr">
        <is>
          <t xml:space="preserve">Departure Date :     </t>
        </is>
      </c>
      <c r="C12" s="201" t="n"/>
      <c r="D12" s="201" t="n"/>
      <c r="E12" s="201" t="n"/>
      <c r="F12" s="201" t="n"/>
      <c r="G12" s="176" t="n"/>
      <c r="H12" s="202" t="inlineStr">
        <is>
          <t xml:space="preserve">From :      </t>
        </is>
      </c>
      <c r="I12" s="177" t="inlineStr">
        <is>
          <t>INDONESIA</t>
        </is>
      </c>
      <c r="J12" s="177" t="n"/>
      <c r="K12" s="186" t="n"/>
      <c r="L12" s="193" t="inlineStr">
        <is>
          <t xml:space="preserve">C/T No. : </t>
        </is>
      </c>
      <c r="M12" s="193" t="n"/>
      <c r="N12" s="193" t="n"/>
      <c r="O12" s="193" t="n"/>
      <c r="P12" s="193" t="n"/>
      <c r="Q12" s="193" t="n"/>
      <c r="R12" s="193" t="n"/>
      <c r="S12" s="193" t="n"/>
      <c r="T12" s="193" t="n"/>
      <c r="U12" s="193" t="n"/>
      <c r="V12" s="203" t="n"/>
      <c r="W12" s="203" t="n"/>
      <c r="X12" s="193" t="n"/>
      <c r="Y12" s="193" t="n"/>
      <c r="Z12" s="192" t="n"/>
    </row>
    <row r="13" ht="12" customFormat="1" customHeight="1" s="171">
      <c r="A13" s="176" t="n">
        <v>20</v>
      </c>
      <c r="B13" s="204" t="inlineStr">
        <is>
          <t xml:space="preserve">Vessel/Flight :     </t>
        </is>
      </c>
      <c r="C13" s="177" t="n"/>
      <c r="D13" s="177" t="n"/>
      <c r="E13" s="177" t="n"/>
      <c r="F13" s="177" t="n"/>
      <c r="G13" s="176" t="n"/>
      <c r="H13" s="204" t="inlineStr">
        <is>
          <t xml:space="preserve">To :      </t>
        </is>
      </c>
      <c r="I13" s="177" t="inlineStr">
        <is>
          <t>U.S.A</t>
        </is>
      </c>
      <c r="J13" s="177" t="n"/>
      <c r="K13" s="186" t="n"/>
      <c r="L13" s="176" t="inlineStr">
        <is>
          <t>Terms of  Payment:</t>
        </is>
      </c>
      <c r="M13" s="177" t="n"/>
      <c r="N13" s="177" t="n"/>
      <c r="O13" s="194" t="n"/>
      <c r="P13" s="194" t="n"/>
      <c r="Q13" s="194" t="n"/>
      <c r="R13" s="194" t="n"/>
      <c r="S13" s="194" t="n"/>
      <c r="T13" s="194" t="n"/>
      <c r="U13" s="194" t="n"/>
      <c r="V13" s="177" t="n"/>
      <c r="W13" s="177" t="n"/>
      <c r="X13" s="177" t="n"/>
      <c r="Y13" s="177" t="n"/>
      <c r="Z13" s="186" t="n"/>
      <c r="AB13" s="171" t="inlineStr">
        <is>
          <t>gold price</t>
        </is>
      </c>
      <c r="AC13" s="171" t="n">
        <v>72</v>
      </c>
    </row>
    <row r="14" ht="15.75" customHeight="1" s="205">
      <c r="A14" s="206" t="inlineStr">
        <is>
          <t>Buyer Lab Grown Dia</t>
        </is>
      </c>
      <c r="K14" s="207" t="n"/>
      <c r="L14" s="207" t="n"/>
      <c r="M14" s="207" t="n"/>
      <c r="N14" s="207" t="n"/>
      <c r="W14" s="208" t="n"/>
      <c r="X14" s="209" t="inlineStr">
        <is>
          <t>18th Dec London AM + 1%</t>
        </is>
      </c>
      <c r="Y14" s="210">
        <f>2648.35*1.01</f>
        <v/>
      </c>
      <c r="Z14" s="210" t="n"/>
      <c r="AB14" s="157" t="inlineStr">
        <is>
          <t>dia price</t>
        </is>
      </c>
      <c r="AC14" s="157" t="n">
        <v>191.8</v>
      </c>
    </row>
    <row r="15" ht="27" customFormat="1" customHeight="1" s="211">
      <c r="A15" s="212" t="inlineStr">
        <is>
          <t>PO#</t>
        </is>
      </c>
      <c r="B15" s="213" t="inlineStr">
        <is>
          <t>Item No.</t>
        </is>
      </c>
      <c r="C15" s="213" t="inlineStr">
        <is>
          <t>Buyer No.</t>
        </is>
      </c>
      <c r="D15" s="213" t="inlineStr">
        <is>
          <t>Buyer PO</t>
        </is>
      </c>
      <c r="E15" s="213" t="inlineStr">
        <is>
          <t>Cust. Ref No.</t>
        </is>
      </c>
      <c r="F15" s="213" t="inlineStr">
        <is>
          <t>Metal</t>
        </is>
      </c>
      <c r="G15" s="213" t="inlineStr">
        <is>
          <t>Q'ty</t>
        </is>
      </c>
      <c r="H15" s="214" t="inlineStr">
        <is>
          <t>Total w't</t>
        </is>
      </c>
      <c r="I15" s="214" t="inlineStr">
        <is>
          <t>Dia w't</t>
        </is>
      </c>
      <c r="J15" s="214" t="inlineStr">
        <is>
          <t>Wire w't</t>
        </is>
      </c>
      <c r="K15" s="215" t="inlineStr">
        <is>
          <t>Gold w't</t>
        </is>
      </c>
      <c r="L15" s="215" t="inlineStr">
        <is>
          <t>Stone</t>
        </is>
      </c>
      <c r="M15" s="215" t="inlineStr">
        <is>
          <t>Color</t>
        </is>
      </c>
      <c r="N15" s="215" t="inlineStr">
        <is>
          <t>Stone Q'ty</t>
        </is>
      </c>
      <c r="O15" s="216" t="inlineStr">
        <is>
          <t>Labor</t>
        </is>
      </c>
      <c r="P15" s="216" t="inlineStr">
        <is>
          <t>Dia Carat</t>
        </is>
      </c>
      <c r="Q15" s="217" t="inlineStr">
        <is>
          <t>Extra Cost</t>
        </is>
      </c>
      <c r="R15" s="217" t="inlineStr">
        <is>
          <t>Dia Packaging Cost</t>
        </is>
      </c>
      <c r="S15" s="217" t="inlineStr">
        <is>
          <t>Dia Handling Service Fee</t>
        </is>
      </c>
      <c r="T15" s="217" t="inlineStr">
        <is>
          <t>Wire
Cost</t>
        </is>
      </c>
      <c r="U15" s="217" t="inlineStr">
        <is>
          <t>Plating Cost</t>
        </is>
      </c>
      <c r="V15" s="217" t="inlineStr">
        <is>
          <t>Stone
Cost</t>
        </is>
      </c>
      <c r="W15" s="217" t="inlineStr">
        <is>
          <t>Setting
Cost</t>
        </is>
      </c>
      <c r="X15" s="218" t="inlineStr">
        <is>
          <t>Labor
Cost</t>
        </is>
      </c>
      <c r="Y15" s="219" t="inlineStr">
        <is>
          <t>Gold &amp; 5%
Cost</t>
        </is>
      </c>
      <c r="Z15" s="218" t="n"/>
      <c r="AB15" s="211" t="inlineStr">
        <is>
          <t>maklon</t>
        </is>
      </c>
      <c r="AC15" s="211" t="inlineStr">
        <is>
          <t>material cost</t>
        </is>
      </c>
      <c r="AD15" s="211" t="inlineStr">
        <is>
          <t>total</t>
        </is>
      </c>
      <c r="AE15" s="211" t="inlineStr">
        <is>
          <t>24K Payment</t>
        </is>
      </c>
      <c r="AF15" s="211" t="inlineStr">
        <is>
          <t>old labor</t>
        </is>
      </c>
      <c r="AG15" s="211" t="inlineStr">
        <is>
          <t>labor amount</t>
        </is>
      </c>
    </row>
    <row r="16" ht="179.25" customFormat="1" customHeight="1" s="220">
      <c r="A16" s="221" t="inlineStr">
        <is>
          <t>ELI241212RB-2-14K-6</t>
        </is>
      </c>
      <c r="B16" s="222" t="inlineStr">
        <is>
          <t>K0218TN13 C4 17"</t>
        </is>
      </c>
      <c r="C16" s="222" t="n"/>
      <c r="D16" s="222" t="n"/>
      <c r="E16" s="222" t="n"/>
      <c r="F16" s="222" t="inlineStr">
        <is>
          <t>14K WG</t>
        </is>
      </c>
      <c r="G16" s="223" t="n">
        <v>4</v>
      </c>
      <c r="H16" s="224" t="n">
        <v>85.02</v>
      </c>
      <c r="I16" s="225" t="n">
        <v>8.23</v>
      </c>
      <c r="J16" s="225" t="n">
        <v>0</v>
      </c>
      <c r="K16" s="226">
        <f>H16-I16-J16</f>
        <v/>
      </c>
      <c r="L16" s="227" t="inlineStr">
        <is>
          <t>2.00mm
2.30mm
2.75mm
2.90mm
3.10mm
3.30mm
3.50mm
3.70mm
3.90mm
4.10mm
4.50mm
4.70mm
5.00mm</t>
        </is>
      </c>
      <c r="M16" s="227" t="inlineStr">
        <is>
          <t>W
W
W
W
W
W
W
W
W
W
W
W
W</t>
        </is>
      </c>
      <c r="N16" s="228" t="inlineStr">
        <is>
          <t>142pcs
12pcs
4pcs
2pcs
2pcs
2pcs
2pcs
2pcs
2pcs
2pcs
2pcs
2pcs
1pcs</t>
        </is>
      </c>
      <c r="O16" s="229" t="n">
        <v>7</v>
      </c>
      <c r="P16" s="230" t="n">
        <v>41.105</v>
      </c>
      <c r="Q16" s="231">
        <f>G16*0.5</f>
        <v/>
      </c>
      <c r="R16" s="231" t="n"/>
      <c r="S16" s="231">
        <f>G16*0.035*(142+12+4+2+2+2+2+2+2+2+2+2+1)</f>
        <v/>
      </c>
      <c r="T16" s="231" t="n"/>
      <c r="U16" s="231">
        <f>IF(RIGHT(F16,2)="WG",K16*$AA$4,IF(OR(RIGHT(F16,3)="WRG",RIGHT(F16,3)="WYG",RIGHT(F16,3)="WYR"),K16*$AA$4+3*G16,0))</f>
        <v/>
      </c>
      <c r="V16" s="231" t="n"/>
      <c r="W16" s="231">
        <f>G16*((142+12)*0.3+(4+2+2+2)*0.5+(2+2+2+2)*0.75+(2+2+1)*1.5)</f>
        <v/>
      </c>
      <c r="X16" s="231">
        <f>K16*O16</f>
        <v/>
      </c>
      <c r="Y16" s="231">
        <f>$Y$14/31.1035*K16*IF(LEFT(F16,3)="10K",0.417*1.07,IF(LEFT(F16,3)="14K",0.585*1.05,IF(LEFT(F16,3)="18K",0.75*1.05,0)))</f>
        <v/>
      </c>
      <c r="Z16" s="232" t="n"/>
      <c r="AA16" s="233">
        <f>2*K16</f>
        <v/>
      </c>
      <c r="AB16" s="233" t="n">
        <v>687.9596</v>
      </c>
      <c r="AC16" s="233" t="n">
        <v>11280.05354</v>
      </c>
      <c r="AD16" s="233" t="n">
        <v>11968.01314</v>
      </c>
      <c r="AE16" s="233">
        <f>IF(LEFT(F16,3)="10K",(0.417*1.07*K16),IF(LEFT(F16,3)="14K",(0.585*1.05*K16),IF(LEFT(F16,3)="18K",(0.75*1.05*K16),0)))</f>
        <v/>
      </c>
      <c r="AF16" s="220" t="n">
        <v>7</v>
      </c>
      <c r="AG16" s="220">
        <f>IF(AF16&gt;0,AF16*K16,X16)</f>
        <v/>
      </c>
      <c r="AI16" s="220" t="n">
        <v>7</v>
      </c>
    </row>
    <row r="17" ht="180" customFormat="1" customHeight="1" s="220">
      <c r="A17" s="221" t="n">
        <v>36</v>
      </c>
      <c r="B17" s="222" t="inlineStr">
        <is>
          <t>K0218TN13 C4 17"</t>
        </is>
      </c>
      <c r="C17" s="222" t="n"/>
      <c r="D17" s="222" t="n"/>
      <c r="E17" s="222" t="n"/>
      <c r="F17" s="222" t="inlineStr">
        <is>
          <t>14K YG</t>
        </is>
      </c>
      <c r="G17" s="223" t="n">
        <v>1</v>
      </c>
      <c r="H17" s="224" t="n">
        <v>21.28</v>
      </c>
      <c r="I17" s="225" t="n">
        <v>2.05</v>
      </c>
      <c r="J17" s="225" t="n">
        <v>0</v>
      </c>
      <c r="K17" s="226">
        <f>H17-I17-J17</f>
        <v/>
      </c>
      <c r="L17" s="227" t="inlineStr">
        <is>
          <t>2.00mm
2.30mm
2.75mm
2.90mm
3.10mm
3.30mm
3.50mm
3.70mm
3.90mm
4.10mm
4.50mm
4.70mm
5.00mm</t>
        </is>
      </c>
      <c r="M17" s="227" t="inlineStr">
        <is>
          <t>W
W
W
W
W
W
W
W
W
W
W
W
W</t>
        </is>
      </c>
      <c r="N17" s="228" t="inlineStr">
        <is>
          <t>142pcs
12pcs
4pcs
2pcs
2pcs
2pcs
2pcs
2pcs
2pcs
2pcs
2pcs
2pcs
1pcs</t>
        </is>
      </c>
      <c r="O17" s="229" t="n">
        <v>7</v>
      </c>
      <c r="P17" s="230" t="n">
        <v>10.265</v>
      </c>
      <c r="Q17" s="231">
        <f>G17*0.5</f>
        <v/>
      </c>
      <c r="R17" s="231" t="n"/>
      <c r="S17" s="231">
        <f>G17*0.035*(142+12+4+2+2+2+2+2+2+2+2+2+1)</f>
        <v/>
      </c>
      <c r="T17" s="231" t="n"/>
      <c r="U17" s="231">
        <f>IF(RIGHT(F17,2)="WG",K17*$AA$4,IF(OR(RIGHT(F17,3)="WRG",RIGHT(F17,3)="WYG",RIGHT(F17,3)="WYR"),K17*$AA$4+3*G17,0))</f>
        <v/>
      </c>
      <c r="V17" s="231" t="n"/>
      <c r="W17" s="231">
        <f>G17*((142+12)*0.3+(4+2+2+2)*0.5+(2+2+2+2)*0.75+(2+2+1)*1.5)</f>
        <v/>
      </c>
      <c r="X17" s="231">
        <f>K17*O17</f>
        <v/>
      </c>
      <c r="Y17" s="231">
        <f>$Y$14/31.1035*K17*IF(LEFT(F17,3)="10K",0.417*1.07,IF(LEFT(F17,3)="14K",0.585*1.05,IF(LEFT(F17,3)="18K",0.75*1.05,0)))</f>
        <v/>
      </c>
      <c r="Z17" s="232" t="n"/>
      <c r="AA17" s="233">
        <f>2*K17</f>
        <v/>
      </c>
      <c r="AB17" s="233" t="n">
        <v>167.545</v>
      </c>
      <c r="AC17" s="233" t="n">
        <v>2819.29298</v>
      </c>
      <c r="AD17" s="233" t="n">
        <v>2986.83798</v>
      </c>
      <c r="AE17" s="233">
        <f>IF(LEFT(F17,3)="10K",(0.417*1.07*K17),IF(LEFT(F17,3)="14K",(0.585*1.05*K17),IF(LEFT(F17,3)="18K",(0.75*1.05*K17),0)))</f>
        <v/>
      </c>
      <c r="AF17" s="220" t="n">
        <v>7</v>
      </c>
      <c r="AG17" s="220">
        <f>IF(AF17&gt;0,AF17*K17,X17)</f>
        <v/>
      </c>
      <c r="AI17" s="220" t="n">
        <v>7</v>
      </c>
    </row>
    <row r="18" ht="15.75" customFormat="1" customHeight="1" s="234">
      <c r="A18" s="235" t="inlineStr">
        <is>
          <t>SUBTOTAL</t>
        </is>
      </c>
      <c r="B18" s="236" t="n"/>
      <c r="C18" s="236" t="n"/>
      <c r="D18" s="236" t="n"/>
      <c r="E18" s="236" t="n"/>
      <c r="F18" s="236" t="n"/>
      <c r="G18" s="237">
        <f>SUM(G16:G17)</f>
        <v/>
      </c>
      <c r="H18" s="238" t="n"/>
      <c r="I18" s="238" t="n"/>
      <c r="J18" s="238" t="n"/>
      <c r="K18" s="238">
        <f>SUM(K16:K17)</f>
        <v/>
      </c>
      <c r="L18" s="239" t="n"/>
      <c r="M18" s="239" t="n"/>
      <c r="N18" s="239" t="n"/>
      <c r="O18" s="240" t="n"/>
      <c r="P18" s="241">
        <f>SUM(P16:P17)</f>
        <v/>
      </c>
      <c r="Q18" s="242">
        <f>SUM(Q16:Q17)</f>
        <v/>
      </c>
      <c r="R18" s="242">
        <f>SUM(R16:R17)</f>
        <v/>
      </c>
      <c r="S18" s="242">
        <f>SUM(S16:S17)</f>
        <v/>
      </c>
      <c r="T18" s="242">
        <f>SUM(T16:T17)</f>
        <v/>
      </c>
      <c r="U18" s="242">
        <f>SUM(U16:U17)</f>
        <v/>
      </c>
      <c r="V18" s="242">
        <f>SUM(V16:V17)</f>
        <v/>
      </c>
      <c r="W18" s="242">
        <f>SUM(W16:W17)</f>
        <v/>
      </c>
      <c r="X18" s="242">
        <f>SUM(X16:X17)</f>
        <v/>
      </c>
      <c r="Y18" s="242">
        <f>SUM(Y16:Y17)</f>
        <v/>
      </c>
      <c r="Z18" s="243" t="n"/>
      <c r="AA18" s="233" t="n"/>
      <c r="AB18" s="233" t="n"/>
      <c r="AC18" s="233" t="n"/>
      <c r="AD18" s="233" t="n"/>
      <c r="AE18" s="233" t="n"/>
      <c r="AF18" s="220" t="n"/>
      <c r="AG18" s="220" t="n"/>
    </row>
    <row r="19" ht="15.75" customHeight="1" s="205">
      <c r="A19" s="206" t="inlineStr">
        <is>
          <t>Buyer Dia</t>
        </is>
      </c>
      <c r="K19" s="207" t="n"/>
      <c r="L19" s="207" t="n"/>
      <c r="M19" s="207" t="n"/>
      <c r="N19" s="207" t="n"/>
      <c r="W19" s="208" t="n"/>
      <c r="X19" s="209" t="inlineStr">
        <is>
          <t>13th Jan London AM + 1%</t>
        </is>
      </c>
      <c r="Y19" s="210">
        <f>1.01*2679.8</f>
        <v/>
      </c>
      <c r="Z19" s="210" t="n"/>
      <c r="AA19" s="233" t="n"/>
      <c r="AB19" s="233" t="n"/>
      <c r="AC19" s="233" t="n"/>
      <c r="AD19" s="233" t="n"/>
      <c r="AE19" s="233" t="n"/>
      <c r="AF19" s="220" t="n"/>
      <c r="AG19" s="220" t="n"/>
    </row>
    <row r="20" ht="27" customFormat="1" customHeight="1" s="211">
      <c r="A20" s="212" t="inlineStr">
        <is>
          <t>PO#</t>
        </is>
      </c>
      <c r="B20" s="213" t="inlineStr">
        <is>
          <t>Item No.</t>
        </is>
      </c>
      <c r="C20" s="213" t="inlineStr">
        <is>
          <t>Buyer No.</t>
        </is>
      </c>
      <c r="D20" s="213" t="inlineStr">
        <is>
          <t>Buyer PO</t>
        </is>
      </c>
      <c r="E20" s="213" t="inlineStr">
        <is>
          <t>Cust. Ref No.</t>
        </is>
      </c>
      <c r="F20" s="213" t="inlineStr">
        <is>
          <t>Metal</t>
        </is>
      </c>
      <c r="G20" s="213" t="inlineStr">
        <is>
          <t>Q'ty</t>
        </is>
      </c>
      <c r="H20" s="214" t="inlineStr">
        <is>
          <t>Total w't</t>
        </is>
      </c>
      <c r="I20" s="214" t="inlineStr">
        <is>
          <t>Dia w't</t>
        </is>
      </c>
      <c r="J20" s="214" t="inlineStr">
        <is>
          <t>Wire w't</t>
        </is>
      </c>
      <c r="K20" s="215" t="inlineStr">
        <is>
          <t>Gold w't</t>
        </is>
      </c>
      <c r="L20" s="215" t="inlineStr">
        <is>
          <t>Stone</t>
        </is>
      </c>
      <c r="M20" s="215" t="inlineStr">
        <is>
          <t>Color</t>
        </is>
      </c>
      <c r="N20" s="215" t="inlineStr">
        <is>
          <t>Stone Q'ty</t>
        </is>
      </c>
      <c r="O20" s="216" t="inlineStr">
        <is>
          <t>Labor</t>
        </is>
      </c>
      <c r="P20" s="216" t="inlineStr">
        <is>
          <t>Dia Carat</t>
        </is>
      </c>
      <c r="Q20" s="217" t="inlineStr">
        <is>
          <t>Extra Cost</t>
        </is>
      </c>
      <c r="R20" s="217" t="inlineStr">
        <is>
          <t>Dia Packaging Cost</t>
        </is>
      </c>
      <c r="S20" s="217" t="inlineStr">
        <is>
          <t>Dia Handling Service Fee</t>
        </is>
      </c>
      <c r="T20" s="217" t="inlineStr">
        <is>
          <t>Wire
Cost</t>
        </is>
      </c>
      <c r="U20" s="217" t="inlineStr">
        <is>
          <t>Plating Cost</t>
        </is>
      </c>
      <c r="V20" s="217" t="inlineStr">
        <is>
          <t>Stone
Cost</t>
        </is>
      </c>
      <c r="W20" s="217" t="inlineStr">
        <is>
          <t>Setting
Cost</t>
        </is>
      </c>
      <c r="X20" s="218" t="inlineStr">
        <is>
          <t>Labor
Cost</t>
        </is>
      </c>
      <c r="Y20" s="219" t="inlineStr">
        <is>
          <t>Gold &amp; 5%
Cost</t>
        </is>
      </c>
      <c r="Z20" s="218" t="n"/>
      <c r="AA20" s="233" t="n"/>
      <c r="AB20" s="233" t="n"/>
      <c r="AC20" s="233" t="n"/>
      <c r="AD20" s="233" t="n"/>
      <c r="AE20" s="233" t="n"/>
      <c r="AF20" s="220" t="n"/>
      <c r="AG20" s="220" t="n"/>
    </row>
    <row r="21" ht="27.75" customFormat="1" customHeight="1" s="220">
      <c r="A21" s="221" t="inlineStr">
        <is>
          <t>ELI250109DB-14K-5</t>
        </is>
      </c>
      <c r="B21" s="222" t="inlineStr">
        <is>
          <t>K0793TB17 C4 7"</t>
        </is>
      </c>
      <c r="C21" s="222" t="n"/>
      <c r="D21" s="222" t="n"/>
      <c r="E21" s="222" t="n"/>
      <c r="F21" s="244" t="inlineStr">
        <is>
          <t>14K WG</t>
        </is>
      </c>
      <c r="G21" s="223" t="n">
        <v>1</v>
      </c>
      <c r="H21" s="245" t="n">
        <v>16.17</v>
      </c>
      <c r="I21" s="246" t="n">
        <v>2.09</v>
      </c>
      <c r="J21" s="246" t="n"/>
      <c r="K21" s="247">
        <f>H21-I21-J21</f>
        <v/>
      </c>
      <c r="L21" s="227" t="inlineStr">
        <is>
          <t>OV 5.00*3.00</t>
        </is>
      </c>
      <c r="M21" s="227" t="inlineStr">
        <is>
          <t>W</t>
        </is>
      </c>
      <c r="N21" s="248" t="n">
        <v>54</v>
      </c>
      <c r="O21" s="229" t="n">
        <v>6.5</v>
      </c>
      <c r="P21" s="230" t="n">
        <v>10.445</v>
      </c>
      <c r="Q21" s="231">
        <f>G21*0.5</f>
        <v/>
      </c>
      <c r="R21" s="231" t="n"/>
      <c r="S21" s="231">
        <f>G21*0.035*N21</f>
        <v/>
      </c>
      <c r="T21" s="231" t="n"/>
      <c r="U21" s="231">
        <f>IF(RIGHT(F21,2)="WG",K21*$AA$4,IF(OR(RIGHT(F21,3)="WRG",RIGHT(F21,3)="WYG",RIGHT(F21,3)="WYR"),K21*$AA$4+3*G21,0))</f>
        <v/>
      </c>
      <c r="V21" s="231" t="n"/>
      <c r="W21" s="231">
        <f>G21*N21*3.75</f>
        <v/>
      </c>
      <c r="X21" s="231">
        <f>K21*O21</f>
        <v/>
      </c>
      <c r="Y21" s="231">
        <f>$Y$14/31.1035*K21*IF(LEFT(F21,3)="10K",0.417*1.07,IF(LEFT(F21,3)="14K",0.585*1.05,IF(LEFT(F21,3)="18K",0.75*1.05,0)))</f>
        <v/>
      </c>
      <c r="Z21" s="232" t="n"/>
      <c r="AA21" s="233">
        <f>2*K21</f>
        <v/>
      </c>
      <c r="AB21" s="233" t="n">
        <v>271.6292</v>
      </c>
      <c r="AC21" s="233" t="n">
        <v>2626.05308</v>
      </c>
      <c r="AD21" s="233" t="n">
        <v>2897.68228</v>
      </c>
      <c r="AE21" s="233">
        <f>IF(LEFT(F21,3)="10K",(0.417*1.07*K21),IF(LEFT(F21,3)="14K",(0.585*1.05*K21),IF(LEFT(F21,3)="18K",(0.75*1.05*K21),0)))</f>
        <v/>
      </c>
      <c r="AG21" s="249">
        <f>IF(AF21&gt;0,AF21*K21,X21)</f>
        <v/>
      </c>
    </row>
    <row r="22" ht="15.75" customFormat="1" customHeight="1" s="234">
      <c r="A22" s="235" t="inlineStr">
        <is>
          <t>SUBTOTAL</t>
        </is>
      </c>
      <c r="B22" s="236" t="n"/>
      <c r="C22" s="236" t="n"/>
      <c r="D22" s="236" t="n"/>
      <c r="E22" s="236" t="n"/>
      <c r="F22" s="236" t="n"/>
      <c r="G22" s="237">
        <f>SUM(G21)</f>
        <v/>
      </c>
      <c r="H22" s="250" t="n"/>
      <c r="I22" s="250" t="n"/>
      <c r="J22" s="250" t="n"/>
      <c r="K22" s="250">
        <f>SUM(K21)</f>
        <v/>
      </c>
      <c r="L22" s="239" t="n"/>
      <c r="M22" s="239" t="n"/>
      <c r="N22" s="239" t="n"/>
      <c r="O22" s="240" t="n"/>
      <c r="P22" s="241">
        <f>SUM(P21)</f>
        <v/>
      </c>
      <c r="Q22" s="242">
        <f>SUM(Q21)</f>
        <v/>
      </c>
      <c r="R22" s="242">
        <f>SUM(R21)</f>
        <v/>
      </c>
      <c r="S22" s="242">
        <f>SUM(S21)</f>
        <v/>
      </c>
      <c r="T22" s="242">
        <f>SUM(T21)</f>
        <v/>
      </c>
      <c r="U22" s="242">
        <f>SUM(U21)</f>
        <v/>
      </c>
      <c r="V22" s="242">
        <f>SUM(V21)</f>
        <v/>
      </c>
      <c r="W22" s="242">
        <f>SUM(W21)</f>
        <v/>
      </c>
      <c r="X22" s="242">
        <f>SUM(X21)</f>
        <v/>
      </c>
      <c r="Y22" s="242">
        <f>SUM(Y21)</f>
        <v/>
      </c>
      <c r="Z22" s="243" t="n"/>
      <c r="AA22" s="233" t="n"/>
      <c r="AB22" s="233" t="n"/>
      <c r="AC22" s="233" t="n"/>
      <c r="AD22" s="233" t="n"/>
      <c r="AE22" s="233" t="n"/>
      <c r="AF22" s="220" t="n"/>
      <c r="AG22" s="220" t="n"/>
    </row>
    <row r="23" ht="15.75" customHeight="1" s="205">
      <c r="A23" s="206" t="inlineStr">
        <is>
          <t>Buyer Dia</t>
        </is>
      </c>
      <c r="K23" s="207" t="n"/>
      <c r="L23" s="207" t="n"/>
      <c r="M23" s="207" t="n"/>
      <c r="N23" s="207" t="n"/>
      <c r="W23" s="208" t="n"/>
      <c r="X23" s="209" t="inlineStr">
        <is>
          <t>13th Jan London AM + 1%</t>
        </is>
      </c>
      <c r="Y23" s="210">
        <f>1.01*2679.8</f>
        <v/>
      </c>
      <c r="Z23" s="210" t="n"/>
      <c r="AA23" s="233" t="n"/>
      <c r="AB23" s="233" t="n"/>
      <c r="AC23" s="233" t="n"/>
      <c r="AD23" s="233" t="n"/>
      <c r="AE23" s="233" t="n"/>
      <c r="AF23" s="220" t="n"/>
      <c r="AG23" s="220" t="n"/>
    </row>
    <row r="24" ht="27" customFormat="1" customHeight="1" s="211">
      <c r="A24" s="212" t="inlineStr">
        <is>
          <t>PO#</t>
        </is>
      </c>
      <c r="B24" s="213" t="inlineStr">
        <is>
          <t>Item No.</t>
        </is>
      </c>
      <c r="C24" s="213" t="inlineStr">
        <is>
          <t>Buyer No.</t>
        </is>
      </c>
      <c r="D24" s="213" t="inlineStr">
        <is>
          <t>Buyer PO</t>
        </is>
      </c>
      <c r="E24" s="213" t="inlineStr">
        <is>
          <t>Cust. Ref No.</t>
        </is>
      </c>
      <c r="F24" s="213" t="inlineStr">
        <is>
          <t>Metal</t>
        </is>
      </c>
      <c r="G24" s="213" t="inlineStr">
        <is>
          <t>Q'ty</t>
        </is>
      </c>
      <c r="H24" s="214" t="inlineStr">
        <is>
          <t>Total w't</t>
        </is>
      </c>
      <c r="I24" s="214" t="inlineStr">
        <is>
          <t>Dia w't</t>
        </is>
      </c>
      <c r="J24" s="214" t="inlineStr">
        <is>
          <t>Wire w't</t>
        </is>
      </c>
      <c r="K24" s="215" t="inlineStr">
        <is>
          <t>Gold w't</t>
        </is>
      </c>
      <c r="L24" s="215" t="inlineStr">
        <is>
          <t>Stone</t>
        </is>
      </c>
      <c r="M24" s="215" t="inlineStr">
        <is>
          <t>Color</t>
        </is>
      </c>
      <c r="N24" s="215" t="inlineStr">
        <is>
          <t>Stone Q'ty</t>
        </is>
      </c>
      <c r="O24" s="216" t="inlineStr">
        <is>
          <t>Labor</t>
        </is>
      </c>
      <c r="P24" s="216" t="inlineStr">
        <is>
          <t>Dia Carat</t>
        </is>
      </c>
      <c r="Q24" s="217" t="inlineStr">
        <is>
          <t>Extra Cost</t>
        </is>
      </c>
      <c r="R24" s="217" t="inlineStr">
        <is>
          <t>Dia Packaging Cost</t>
        </is>
      </c>
      <c r="S24" s="217" t="inlineStr">
        <is>
          <t>Dia Handling Service Fee</t>
        </is>
      </c>
      <c r="T24" s="217" t="inlineStr">
        <is>
          <t>Wire
Cost</t>
        </is>
      </c>
      <c r="U24" s="217" t="inlineStr">
        <is>
          <t>Plating Cost</t>
        </is>
      </c>
      <c r="V24" s="217" t="inlineStr">
        <is>
          <t>Stone
Cost</t>
        </is>
      </c>
      <c r="W24" s="217" t="inlineStr">
        <is>
          <t>Setting
Cost</t>
        </is>
      </c>
      <c r="X24" s="218" t="inlineStr">
        <is>
          <t>Labor
Cost</t>
        </is>
      </c>
      <c r="Y24" s="219" t="inlineStr">
        <is>
          <t>Gold &amp; 5%
Cost</t>
        </is>
      </c>
      <c r="Z24" s="218" t="n"/>
      <c r="AA24" s="233" t="n"/>
      <c r="AB24" s="233" t="n"/>
      <c r="AC24" s="233" t="n"/>
      <c r="AD24" s="233" t="n"/>
      <c r="AE24" s="233" t="n"/>
      <c r="AF24" s="220" t="n"/>
      <c r="AG24" s="220" t="n"/>
    </row>
    <row r="25" ht="138" customFormat="1" customHeight="1" s="220">
      <c r="A25" s="221" t="inlineStr">
        <is>
          <t>ELI250109DB-14K-6</t>
        </is>
      </c>
      <c r="B25" s="244" t="inlineStr">
        <is>
          <t>K02545TB11 C4 7"</t>
        </is>
      </c>
      <c r="C25" s="244" t="n"/>
      <c r="D25" s="244" t="n"/>
      <c r="E25" s="244" t="n"/>
      <c r="F25" s="244" t="inlineStr">
        <is>
          <t>14K WG</t>
        </is>
      </c>
      <c r="G25" s="251" t="n">
        <v>16</v>
      </c>
      <c r="H25" s="245" t="n">
        <v>149.27</v>
      </c>
      <c r="I25" s="245" t="n">
        <v>14.49</v>
      </c>
      <c r="J25" s="245" t="n"/>
      <c r="K25" s="247">
        <f>H25-I25-J25</f>
        <v/>
      </c>
      <c r="L25" s="227" t="inlineStr">
        <is>
          <t>EM 4.30*3.00
OV 4.50*3.50
PS 5.0*3.0
PS 5.0*4.0
MQ 5.0*3.0
HT 4.0*4.0
CS 3.25*3.25</t>
        </is>
      </c>
      <c r="M25" s="227" t="inlineStr">
        <is>
          <t>W
W
W
W
W
W
W</t>
        </is>
      </c>
      <c r="N25" s="228" t="inlineStr">
        <is>
          <t>3pcs
3pcs
2pcs
1pcs
4pcs
4pcs
4pcs</t>
        </is>
      </c>
      <c r="O25" s="229" t="n">
        <v>7.5</v>
      </c>
      <c r="P25" s="230" t="n">
        <v>72.41500000000001</v>
      </c>
      <c r="Q25" s="231">
        <f>G25*0.5</f>
        <v/>
      </c>
      <c r="R25" s="231" t="n"/>
      <c r="S25" s="231">
        <f>G25*0.035*(3+3+2+1+4+4+4)</f>
        <v/>
      </c>
      <c r="T25" s="231" t="n"/>
      <c r="U25" s="231">
        <f>IF(RIGHT(F25,2)="WG",K25*$AA$4,IF(OR(RIGHT(F25,3)="WRG",RIGHT(F25,3)="WYG",RIGHT(F25,3)="WYR"),K25*$AA$4+3*G25,0))</f>
        <v/>
      </c>
      <c r="V25" s="231" t="n"/>
      <c r="W25" s="231">
        <f>G25*(3*2+3*3.75+2*3.5+1*3.5+4*3.5+4*2.5+4*1.5)</f>
        <v/>
      </c>
      <c r="X25" s="231">
        <f>K25*O25</f>
        <v/>
      </c>
      <c r="Y25" s="231">
        <f>$Y$14/31.1035*K25*IF(LEFT(F25,3)="10K",0.417*1.07,IF(LEFT(F25,3)="14K",0.585*1.05,IF(LEFT(F25,3)="18K",0.75*1.05,0)))</f>
        <v/>
      </c>
      <c r="Z25" s="232" t="n"/>
      <c r="AA25" s="233">
        <f>2*K25</f>
        <v/>
      </c>
      <c r="AB25" s="233" t="n">
        <v>1717.3972</v>
      </c>
      <c r="AC25" s="233" t="n">
        <v>19849.97728</v>
      </c>
      <c r="AD25" s="233" t="n">
        <v>21567.37448</v>
      </c>
      <c r="AE25" s="233">
        <f>IF(LEFT(F25,3)="10K",(0.417*1.07*K25),IF(LEFT(F25,3)="14K",(0.585*1.05*K25),IF(LEFT(F25,3)="18K",(0.75*1.05*K25),0)))</f>
        <v/>
      </c>
      <c r="AG25" s="249">
        <f>IF(AF25&gt;0,AF25*K25,X25)</f>
        <v/>
      </c>
    </row>
    <row r="26" ht="138" customFormat="1" customHeight="1" s="220">
      <c r="A26" s="252" t="n">
        <v>26</v>
      </c>
      <c r="B26" s="244" t="inlineStr">
        <is>
          <t>K02545TB11 C4 7"</t>
        </is>
      </c>
      <c r="C26" s="222" t="n"/>
      <c r="D26" s="222" t="n"/>
      <c r="E26" s="222" t="n"/>
      <c r="F26" s="222" t="inlineStr">
        <is>
          <t>14K YG</t>
        </is>
      </c>
      <c r="G26" s="223" t="n">
        <v>5</v>
      </c>
      <c r="H26" s="245" t="n">
        <v>45.68</v>
      </c>
      <c r="I26" s="246" t="n">
        <v>4.65</v>
      </c>
      <c r="J26" s="246" t="n"/>
      <c r="K26" s="247">
        <f>H26-I26-J26</f>
        <v/>
      </c>
      <c r="L26" s="227" t="inlineStr">
        <is>
          <t>EM 4.30*3.00
OV 4.50*3.50
PS 5.0*3.0
PS 5.0*4.0
MQ 5.0*3.0
HT 4.0*4.0
CS 3.25*3.25</t>
        </is>
      </c>
      <c r="M26" s="227" t="inlineStr">
        <is>
          <t>W
W
W
W
W
W
W</t>
        </is>
      </c>
      <c r="N26" s="228" t="inlineStr">
        <is>
          <t>3pcs
3pcs
2pcs
1pcs
4pcs
4pcs
4pcs</t>
        </is>
      </c>
      <c r="O26" s="229" t="n">
        <v>7.5</v>
      </c>
      <c r="P26" s="230" t="n">
        <v>23.205</v>
      </c>
      <c r="Q26" s="231">
        <f>G26*0.5</f>
        <v/>
      </c>
      <c r="R26" s="231" t="n"/>
      <c r="S26" s="231">
        <f>G26*0.035*(3+3+2+1+4+4+4)</f>
        <v/>
      </c>
      <c r="T26" s="231" t="n"/>
      <c r="U26" s="231">
        <f>IF(RIGHT(F26,2)="WG",K26*$AA$4,IF(OR(RIGHT(F26,3)="WRG",RIGHT(F26,3)="WYG",RIGHT(F26,3)="WYR"),K26*$AA$4+3*G26,0))</f>
        <v/>
      </c>
      <c r="V26" s="231" t="n"/>
      <c r="W26" s="231">
        <f>G26*(3*2+3*3.75+2*3.5+1*3.5+4*3.5+4*2.5+4*1.5)</f>
        <v/>
      </c>
      <c r="X26" s="231">
        <f>K26*O26</f>
        <v/>
      </c>
      <c r="Y26" s="231">
        <f>$Y$14/31.1035*K26*IF(LEFT(F26,3)="10K",0.417*1.07,IF(LEFT(F26,3)="14K",0.585*1.05,IF(LEFT(F26,3)="18K",0.75*1.05,0)))</f>
        <v/>
      </c>
      <c r="Z26" s="232" t="n"/>
      <c r="AA26" s="233">
        <f>2*K26</f>
        <v/>
      </c>
      <c r="AB26" s="233" t="n">
        <v>520.59</v>
      </c>
      <c r="AC26" s="233" t="n">
        <v>6265.31178</v>
      </c>
      <c r="AD26" s="233" t="n">
        <v>6785.90178</v>
      </c>
      <c r="AE26" s="233">
        <f>IF(LEFT(F26,3)="10K",(0.417*1.07*K26),IF(LEFT(F26,3)="14K",(0.585*1.05*K26),IF(LEFT(F26,3)="18K",(0.75*1.05*K26),0)))</f>
        <v/>
      </c>
      <c r="AG26" s="249">
        <f>IF(AF26&gt;0,AF26*K26,X26)</f>
        <v/>
      </c>
    </row>
    <row r="27" ht="15.75" customFormat="1" customHeight="1" s="234">
      <c r="A27" s="235" t="inlineStr">
        <is>
          <t>SUBTOTAL</t>
        </is>
      </c>
      <c r="B27" s="236" t="n"/>
      <c r="C27" s="236" t="n"/>
      <c r="D27" s="236" t="n"/>
      <c r="E27" s="236" t="n"/>
      <c r="F27" s="236" t="n"/>
      <c r="G27" s="237">
        <f>SUM(G25:G26)</f>
        <v/>
      </c>
      <c r="H27" s="250" t="n"/>
      <c r="I27" s="250" t="n"/>
      <c r="J27" s="250" t="n"/>
      <c r="K27" s="250">
        <f>SUM(K25:K26)</f>
        <v/>
      </c>
      <c r="L27" s="239" t="n"/>
      <c r="M27" s="239" t="n"/>
      <c r="N27" s="239" t="n"/>
      <c r="O27" s="240" t="n"/>
      <c r="P27" s="241">
        <f>SUM(P25:P26)</f>
        <v/>
      </c>
      <c r="Q27" s="242">
        <f>SUM(Q25:Q26)</f>
        <v/>
      </c>
      <c r="R27" s="242">
        <f>SUM(R25:R26)</f>
        <v/>
      </c>
      <c r="S27" s="242">
        <f>SUM(S25:S26)</f>
        <v/>
      </c>
      <c r="T27" s="242">
        <f>SUM(T25:T26)</f>
        <v/>
      </c>
      <c r="U27" s="242">
        <f>SUM(U25:U26)</f>
        <v/>
      </c>
      <c r="V27" s="242">
        <f>SUM(V25:V26)</f>
        <v/>
      </c>
      <c r="W27" s="242">
        <f>SUM(W25:W26)</f>
        <v/>
      </c>
      <c r="X27" s="242">
        <f>SUM(X25:X26)</f>
        <v/>
      </c>
      <c r="Y27" s="242">
        <f>SUM(Y25:Y26)</f>
        <v/>
      </c>
      <c r="Z27" s="243" t="n"/>
      <c r="AA27" s="233" t="n"/>
      <c r="AB27" s="233" t="n"/>
      <c r="AC27" s="233" t="n"/>
      <c r="AD27" s="233" t="n"/>
      <c r="AE27" s="233" t="n"/>
      <c r="AF27" s="220" t="n"/>
      <c r="AG27" s="220" t="n"/>
    </row>
    <row r="28" ht="15.75" customHeight="1" s="205">
      <c r="A28" s="206" t="inlineStr">
        <is>
          <t>Buyer Dia</t>
        </is>
      </c>
      <c r="K28" s="207" t="n"/>
      <c r="L28" s="207" t="n"/>
      <c r="M28" s="207" t="n"/>
      <c r="N28" s="207" t="n"/>
      <c r="W28" s="208" t="n"/>
      <c r="X28" s="209" t="inlineStr">
        <is>
          <t>13th Jan London AM + 1%</t>
        </is>
      </c>
      <c r="Y28" s="210">
        <f>1.01*2679.8</f>
        <v/>
      </c>
      <c r="Z28" s="210" t="n"/>
      <c r="AA28" s="233" t="n"/>
      <c r="AB28" s="233" t="n"/>
      <c r="AC28" s="233" t="n"/>
      <c r="AD28" s="233" t="n"/>
      <c r="AE28" s="233" t="n"/>
      <c r="AF28" s="220" t="n"/>
      <c r="AG28" s="220" t="n"/>
    </row>
    <row r="29" ht="27" customFormat="1" customHeight="1" s="211">
      <c r="A29" s="212" t="inlineStr">
        <is>
          <t>PO#</t>
        </is>
      </c>
      <c r="B29" s="213" t="inlineStr">
        <is>
          <t>Item No.</t>
        </is>
      </c>
      <c r="C29" s="213" t="inlineStr">
        <is>
          <t>Buyer No.</t>
        </is>
      </c>
      <c r="D29" s="213" t="inlineStr">
        <is>
          <t>Buyer PO</t>
        </is>
      </c>
      <c r="E29" s="213" t="inlineStr">
        <is>
          <t>Cust. Ref No.</t>
        </is>
      </c>
      <c r="F29" s="213" t="inlineStr">
        <is>
          <t>Metal</t>
        </is>
      </c>
      <c r="G29" s="213" t="inlineStr">
        <is>
          <t>Q'ty</t>
        </is>
      </c>
      <c r="H29" s="214" t="inlineStr">
        <is>
          <t>Total w't</t>
        </is>
      </c>
      <c r="I29" s="214" t="inlineStr">
        <is>
          <t>Dia w't</t>
        </is>
      </c>
      <c r="J29" s="214" t="inlineStr">
        <is>
          <t>Wire w't</t>
        </is>
      </c>
      <c r="K29" s="215" t="inlineStr">
        <is>
          <t>Gold w't</t>
        </is>
      </c>
      <c r="L29" s="215" t="inlineStr">
        <is>
          <t>Stone</t>
        </is>
      </c>
      <c r="M29" s="215" t="inlineStr">
        <is>
          <t>Color</t>
        </is>
      </c>
      <c r="N29" s="215" t="inlineStr">
        <is>
          <t>Stone Q'ty</t>
        </is>
      </c>
      <c r="O29" s="216" t="inlineStr">
        <is>
          <t>Labor</t>
        </is>
      </c>
      <c r="P29" s="216" t="inlineStr">
        <is>
          <t>Dia Carat</t>
        </is>
      </c>
      <c r="Q29" s="217" t="inlineStr">
        <is>
          <t>Extra Cost</t>
        </is>
      </c>
      <c r="R29" s="217" t="inlineStr">
        <is>
          <t>Dia Packaging Cost</t>
        </is>
      </c>
      <c r="S29" s="217" t="inlineStr">
        <is>
          <t>Dia Handling Service Fee</t>
        </is>
      </c>
      <c r="T29" s="217" t="inlineStr">
        <is>
          <t>Wire
Cost</t>
        </is>
      </c>
      <c r="U29" s="217" t="inlineStr">
        <is>
          <t>Plating Cost</t>
        </is>
      </c>
      <c r="V29" s="217" t="inlineStr">
        <is>
          <t>Stone
Cost</t>
        </is>
      </c>
      <c r="W29" s="217" t="inlineStr">
        <is>
          <t>Setting
Cost</t>
        </is>
      </c>
      <c r="X29" s="218" t="inlineStr">
        <is>
          <t>Labor
Cost</t>
        </is>
      </c>
      <c r="Y29" s="219" t="inlineStr">
        <is>
          <t>Gold &amp; 5%
Cost</t>
        </is>
      </c>
      <c r="Z29" s="218" t="n"/>
      <c r="AA29" s="233" t="n"/>
      <c r="AB29" s="233" t="n"/>
      <c r="AC29" s="233" t="n"/>
      <c r="AD29" s="233" t="n"/>
      <c r="AE29" s="233" t="n"/>
      <c r="AF29" s="220" t="n"/>
      <c r="AG29" s="220" t="n"/>
    </row>
    <row r="30" ht="96" customFormat="1" customHeight="1" s="220">
      <c r="A30" s="221" t="inlineStr">
        <is>
          <t>ELI250109DB-14K-7</t>
        </is>
      </c>
      <c r="B30" s="222" t="inlineStr">
        <is>
          <t>K02545TB12 C4 7"</t>
        </is>
      </c>
      <c r="C30" s="244" t="n"/>
      <c r="D30" s="244" t="n"/>
      <c r="E30" s="244" t="n"/>
      <c r="F30" s="244" t="inlineStr">
        <is>
          <t>14K WG</t>
        </is>
      </c>
      <c r="G30" s="251" t="n">
        <v>20</v>
      </c>
      <c r="H30" s="245" t="n">
        <v>220.78</v>
      </c>
      <c r="I30" s="245" t="n">
        <v>27</v>
      </c>
      <c r="J30" s="245" t="n"/>
      <c r="K30" s="247">
        <f>H30-I30-J30</f>
        <v/>
      </c>
      <c r="L30" s="227" t="inlineStr">
        <is>
          <t>EM 6.0*4.0
OV 6.0*4.0
PS 6*4
MQ 8*4
HT 4.0*4.0
CS 3.25*3.25</t>
        </is>
      </c>
      <c r="M30" s="227" t="inlineStr">
        <is>
          <t>W
W
W
W
W
W</t>
        </is>
      </c>
      <c r="N30" s="228" t="inlineStr">
        <is>
          <t>3pcs
3pcs
3pcs
3pcs
2pcs
2pcs</t>
        </is>
      </c>
      <c r="O30" s="229" t="n">
        <v>7.5</v>
      </c>
      <c r="P30" s="230" t="n">
        <v>134.905</v>
      </c>
      <c r="Q30" s="231">
        <f>G30*0.5</f>
        <v/>
      </c>
      <c r="R30" s="231" t="n"/>
      <c r="S30" s="231">
        <f>G30*0.035*(3+3+3+3+2+2)</f>
        <v/>
      </c>
      <c r="T30" s="231" t="n"/>
      <c r="U30" s="231">
        <f>IF(RIGHT(F30,2)="WG",K30*$AA$4,IF(OR(RIGHT(F30,3)="WRG",RIGHT(F30,3)="WYG",RIGHT(F30,3)="WYR"),K30*$AA$4+3*G30,0))</f>
        <v/>
      </c>
      <c r="V30" s="231" t="n"/>
      <c r="W30" s="231">
        <f>G30*(3*5+3*4+3*3.75+3*4.5+2*2.5+2*1.5)</f>
        <v/>
      </c>
      <c r="X30" s="231">
        <f>K30*O30</f>
        <v/>
      </c>
      <c r="Y30" s="231">
        <f>$Y$14/31.1035*K30*IF(LEFT(F30,3)="10K",0.417*1.07,IF(LEFT(F30,3)="14K",0.585*1.05,IF(LEFT(F30,3)="18K",0.75*1.05,0)))</f>
        <v/>
      </c>
      <c r="Z30" s="232" t="n"/>
      <c r="AA30" s="233">
        <f>2*K30</f>
        <v/>
      </c>
      <c r="AB30" s="233" t="n">
        <v>2328.4972</v>
      </c>
      <c r="AC30" s="233" t="n">
        <v>34444.89328</v>
      </c>
      <c r="AD30" s="233" t="n">
        <v>36773.39048</v>
      </c>
      <c r="AE30" s="233">
        <f>IF(LEFT(F30,3)="10K",(0.417*1.07*K30),IF(LEFT(F30,3)="14K",(0.585*1.05*K30),IF(LEFT(F30,3)="18K",(0.75*1.05*K30),0)))</f>
        <v/>
      </c>
      <c r="AG30" s="249">
        <f>IF(AF30&gt;0,AF30*K30,X30)</f>
        <v/>
      </c>
    </row>
    <row r="31" ht="96" customFormat="1" customHeight="1" s="220">
      <c r="A31" s="252" t="n">
        <v>27</v>
      </c>
      <c r="B31" s="222" t="inlineStr">
        <is>
          <t>K02545TB12 C4 7"</t>
        </is>
      </c>
      <c r="C31" s="222" t="n"/>
      <c r="D31" s="222" t="n"/>
      <c r="E31" s="222" t="n"/>
      <c r="F31" s="222" t="inlineStr">
        <is>
          <t>14K YG</t>
        </is>
      </c>
      <c r="G31" s="223" t="n">
        <v>8</v>
      </c>
      <c r="H31" s="245" t="n">
        <v>87.59</v>
      </c>
      <c r="I31" s="246" t="n">
        <v>10.87</v>
      </c>
      <c r="J31" s="246" t="n"/>
      <c r="K31" s="247">
        <f>H31-I31-J31</f>
        <v/>
      </c>
      <c r="L31" s="227" t="inlineStr">
        <is>
          <t>EM 6.0*4.0
OV 6.0*4.0
PS 6*4
MQ 8*4
HT 4.0*4.0
CS 3.25*3.25</t>
        </is>
      </c>
      <c r="M31" s="227" t="inlineStr">
        <is>
          <t>W
W
W
W
W
W</t>
        </is>
      </c>
      <c r="N31" s="228" t="inlineStr">
        <is>
          <t>3pcs
3pcs
3pcs
3pcs
2pcs
2pcs</t>
        </is>
      </c>
      <c r="O31" s="229" t="n">
        <v>7.5</v>
      </c>
      <c r="P31" s="230" t="n">
        <v>54.26</v>
      </c>
      <c r="Q31" s="231">
        <f>G31*0.5</f>
        <v/>
      </c>
      <c r="R31" s="231" t="n"/>
      <c r="S31" s="231">
        <f>G31*0.035*(3+3+3+3+2+2)</f>
        <v/>
      </c>
      <c r="T31" s="231" t="n"/>
      <c r="U31" s="231">
        <f>IF(RIGHT(F31,2)="WG",K31*$AA$4,IF(OR(RIGHT(F31,3)="WRG",RIGHT(F31,3)="WYG",RIGHT(F31,3)="WYR"),K31*$AA$4+3*G31,0))</f>
        <v/>
      </c>
      <c r="V31" s="231" t="n"/>
      <c r="W31" s="231">
        <f>G31*(3*5+3*4+3*3.75+3*4.5+2*2.5+2*1.5)</f>
        <v/>
      </c>
      <c r="X31" s="231">
        <f>K31*O31</f>
        <v/>
      </c>
      <c r="Y31" s="231">
        <f>$Y$14/31.1035*K31*IF(LEFT(F31,3)="10K",0.417*1.07,IF(LEFT(F31,3)="14K",0.585*1.05,IF(LEFT(F31,3)="18K",0.75*1.05,0)))</f>
        <v/>
      </c>
      <c r="Z31" s="232" t="n"/>
      <c r="AA31" s="233">
        <f>2*K31</f>
        <v/>
      </c>
      <c r="AB31" s="233" t="n">
        <v>908.4400000000001</v>
      </c>
      <c r="AC31" s="233" t="n">
        <v>13800.08672</v>
      </c>
      <c r="AD31" s="233" t="n">
        <v>14708.52672</v>
      </c>
      <c r="AE31" s="233">
        <f>IF(LEFT(F31,3)="10K",(0.417*1.07*K31),IF(LEFT(F31,3)="14K",(0.585*1.05*K31),IF(LEFT(F31,3)="18K",(0.75*1.05*K31),0)))</f>
        <v/>
      </c>
      <c r="AG31" s="249">
        <f>IF(AF31&gt;0,AF31*K31,X31)</f>
        <v/>
      </c>
    </row>
    <row r="32" ht="82.5" customFormat="1" customHeight="1" s="220">
      <c r="A32" s="252" t="n">
        <v>28</v>
      </c>
      <c r="B32" s="222" t="inlineStr">
        <is>
          <t>K02545TB13 C4 7"</t>
        </is>
      </c>
      <c r="C32" s="222" t="n"/>
      <c r="D32" s="222" t="n"/>
      <c r="E32" s="222" t="n"/>
      <c r="F32" s="244" t="inlineStr">
        <is>
          <t>14K WG</t>
        </is>
      </c>
      <c r="G32" s="223" t="n">
        <v>43</v>
      </c>
      <c r="H32" s="245" t="n">
        <v>581.98</v>
      </c>
      <c r="I32" s="246" t="n">
        <v>89.26000000000001</v>
      </c>
      <c r="J32" s="246" t="n"/>
      <c r="K32" s="247">
        <f>H32-I32-J32</f>
        <v/>
      </c>
      <c r="L32" s="227" t="inlineStr">
        <is>
          <t>EM 7*5
OV 6.0*4.0
PS 6*4
MQ 8*4
HT 5.0*5.0
CS 4.9*4.9</t>
        </is>
      </c>
      <c r="M32" s="227" t="inlineStr">
        <is>
          <t>W
W
W
W
W
W</t>
        </is>
      </c>
      <c r="N32" s="228" t="inlineStr">
        <is>
          <t>3pcs
3pcs
3pcs
2pcs
3pcs
3pcs</t>
        </is>
      </c>
      <c r="O32" s="229" t="n">
        <v>7.5</v>
      </c>
      <c r="P32" s="230" t="n">
        <v>446.14</v>
      </c>
      <c r="Q32" s="231">
        <f>G32*0.5</f>
        <v/>
      </c>
      <c r="R32" s="231" t="n"/>
      <c r="S32" s="231">
        <f>G32*0.035*(3+3+3+2+3+3)</f>
        <v/>
      </c>
      <c r="T32" s="231" t="n"/>
      <c r="U32" s="231">
        <f>IF(RIGHT(F32,2)="WG",K32*$AA$4,IF(OR(RIGHT(F32,3)="WRG",RIGHT(F32,3)="WYG",RIGHT(F32,3)="WYR"),K32*$AA$4+3*G32,0))</f>
        <v/>
      </c>
      <c r="V32" s="231" t="n"/>
      <c r="W32" s="231">
        <f>G32*(3*5.5+3*4+3*3.75+2*4.5+3*2.5+3*3.5)</f>
        <v/>
      </c>
      <c r="X32" s="231">
        <f>K32*O32</f>
        <v/>
      </c>
      <c r="Y32" s="231">
        <f>$Y$14/31.1035*K32*IF(LEFT(F32,3)="10K",0.417*1.07,IF(LEFT(F32,3)="14K",0.585*1.05,IF(LEFT(F32,3)="18K",0.75*1.05,0)))</f>
        <v/>
      </c>
      <c r="Z32" s="232" t="n"/>
      <c r="AA32" s="233">
        <f>2*K32</f>
        <v/>
      </c>
      <c r="AB32" s="233" t="n">
        <v>5745.5478</v>
      </c>
      <c r="AC32" s="233" t="n">
        <v>107360.68672</v>
      </c>
      <c r="AD32" s="233" t="n">
        <v>113106.23452</v>
      </c>
      <c r="AE32" s="233">
        <f>IF(LEFT(F32,3)="10K",(0.417*1.07*K32),IF(LEFT(F32,3)="14K",(0.585*1.05*K32),IF(LEFT(F32,3)="18K",(0.75*1.05*K32),0)))</f>
        <v/>
      </c>
      <c r="AG32" s="249">
        <f>IF(AF32&gt;0,AF32*K32,X32)</f>
        <v/>
      </c>
    </row>
    <row r="33" ht="83.25" customFormat="1" customHeight="1" s="220">
      <c r="A33" s="252" t="n">
        <v>28</v>
      </c>
      <c r="B33" s="222" t="inlineStr">
        <is>
          <t>K02545TB13 C4 7"</t>
        </is>
      </c>
      <c r="C33" s="222" t="n"/>
      <c r="D33" s="222" t="n"/>
      <c r="E33" s="222" t="n"/>
      <c r="F33" s="222" t="inlineStr">
        <is>
          <t>14K YG</t>
        </is>
      </c>
      <c r="G33" s="223" t="n">
        <v>21</v>
      </c>
      <c r="H33" s="245" t="n">
        <v>282.18</v>
      </c>
      <c r="I33" s="246" t="n">
        <v>43.93</v>
      </c>
      <c r="J33" s="246" t="n"/>
      <c r="K33" s="247">
        <f>H33-I33-J33</f>
        <v/>
      </c>
      <c r="L33" s="227" t="inlineStr">
        <is>
          <t>EM 7*5
OV 6.0*4.0
PS 6*4
MQ 8*4
HT 5.0*5.0
CS 4.9*4.9</t>
        </is>
      </c>
      <c r="M33" s="227" t="inlineStr">
        <is>
          <t>W
W
W
W
W
W</t>
        </is>
      </c>
      <c r="N33" s="228" t="inlineStr">
        <is>
          <t>3pcs
3pcs
3pcs
2pcs
3pcs
3pcs</t>
        </is>
      </c>
      <c r="O33" s="229" t="n">
        <v>7.5</v>
      </c>
      <c r="P33" s="230" t="n">
        <v>219.66</v>
      </c>
      <c r="Q33" s="231">
        <f>G33*0.5</f>
        <v/>
      </c>
      <c r="R33" s="231" t="n"/>
      <c r="S33" s="231">
        <f>G33*0.035*(3+3+3+2+3+3)</f>
        <v/>
      </c>
      <c r="T33" s="231" t="n"/>
      <c r="U33" s="231">
        <f>IF(RIGHT(F33,2)="WG",K33*$AA$4,IF(OR(RIGHT(F33,3)="WRG",RIGHT(F33,3)="WYG",RIGHT(F33,3)="WYR"),K33*$AA$4+3*G33,0))</f>
        <v/>
      </c>
      <c r="V33" s="231" t="n"/>
      <c r="W33" s="231">
        <f>G33*(3*5.5+3*4+3*3.75+2*4.5+3*2.5+3*3.5)</f>
        <v/>
      </c>
      <c r="X33" s="231">
        <f>K33*O33</f>
        <v/>
      </c>
      <c r="Y33" s="231">
        <f>$Y$14/31.1035*K33*IF(LEFT(F33,3)="10K",0.417*1.07,IF(LEFT(F33,3)="14K",0.585*1.05,IF(LEFT(F33,3)="18K",0.75*1.05,0)))</f>
        <v/>
      </c>
      <c r="Z33" s="232" t="n"/>
      <c r="AA33" s="233">
        <f>2*K33</f>
        <v/>
      </c>
      <c r="AB33" s="233" t="n">
        <v>2735.12</v>
      </c>
      <c r="AC33" s="233" t="n">
        <v>52667.6325</v>
      </c>
      <c r="AD33" s="233" t="n">
        <v>55402.7525</v>
      </c>
      <c r="AE33" s="233">
        <f>IF(LEFT(F33,3)="10K",(0.417*1.07*K33),IF(LEFT(F33,3)="14K",(0.585*1.05*K33),IF(LEFT(F33,3)="18K",(0.75*1.05*K33),0)))</f>
        <v/>
      </c>
      <c r="AG33" s="249">
        <f>IF(AF33&gt;0,AF33*K33,X33)</f>
        <v/>
      </c>
    </row>
    <row r="34" ht="15.75" customFormat="1" customHeight="1" s="234">
      <c r="A34" s="235" t="inlineStr">
        <is>
          <t>SUBTOTAL</t>
        </is>
      </c>
      <c r="B34" s="236" t="n"/>
      <c r="C34" s="236" t="n"/>
      <c r="D34" s="236" t="n"/>
      <c r="E34" s="236" t="n"/>
      <c r="F34" s="236" t="n"/>
      <c r="G34" s="237">
        <f>SUM(G30:G33)</f>
        <v/>
      </c>
      <c r="H34" s="250" t="n"/>
      <c r="I34" s="250" t="n"/>
      <c r="J34" s="250" t="n"/>
      <c r="K34" s="250">
        <f>SUM(K30:K33)</f>
        <v/>
      </c>
      <c r="L34" s="239" t="n"/>
      <c r="M34" s="239" t="n"/>
      <c r="N34" s="239" t="n"/>
      <c r="O34" s="240" t="n"/>
      <c r="P34" s="241">
        <f>SUM(P30:P33)</f>
        <v/>
      </c>
      <c r="Q34" s="242">
        <f>SUM(Q30:Q33)</f>
        <v/>
      </c>
      <c r="R34" s="242">
        <f>SUM(R30:R33)</f>
        <v/>
      </c>
      <c r="S34" s="242">
        <f>SUM(S30:S33)</f>
        <v/>
      </c>
      <c r="T34" s="242">
        <f>SUM(T30:T33)</f>
        <v/>
      </c>
      <c r="U34" s="242">
        <f>SUM(U30:U33)</f>
        <v/>
      </c>
      <c r="V34" s="242">
        <f>SUM(V30:V33)</f>
        <v/>
      </c>
      <c r="W34" s="242">
        <f>SUM(W30:W33)</f>
        <v/>
      </c>
      <c r="X34" s="242">
        <f>SUM(X30:X33)</f>
        <v/>
      </c>
      <c r="Y34" s="242">
        <f>SUM(Y30:Y33)</f>
        <v/>
      </c>
      <c r="Z34" s="243" t="n"/>
      <c r="AA34" s="233" t="n"/>
      <c r="AB34" s="233" t="n"/>
      <c r="AC34" s="233" t="n"/>
      <c r="AD34" s="233" t="n"/>
      <c r="AE34" s="233" t="n"/>
      <c r="AF34" s="220" t="n"/>
      <c r="AG34" s="220" t="n"/>
    </row>
    <row r="35" ht="15.75" customHeight="1" s="205">
      <c r="A35" s="206" t="inlineStr">
        <is>
          <t>Buyer Dia</t>
        </is>
      </c>
      <c r="K35" s="207" t="n"/>
      <c r="L35" s="207" t="n"/>
      <c r="M35" s="207" t="n"/>
      <c r="N35" s="207" t="n"/>
      <c r="W35" s="208" t="n"/>
      <c r="X35" s="209" t="inlineStr">
        <is>
          <t>13th Jan London AM + 1%</t>
        </is>
      </c>
      <c r="Y35" s="210">
        <f>1.01*2679.8</f>
        <v/>
      </c>
      <c r="Z35" s="210" t="n"/>
      <c r="AA35" s="233" t="n"/>
      <c r="AB35" s="233" t="n"/>
      <c r="AC35" s="233" t="n"/>
      <c r="AD35" s="233" t="n"/>
      <c r="AE35" s="233" t="n"/>
      <c r="AF35" s="220" t="n"/>
      <c r="AG35" s="220" t="n"/>
    </row>
    <row r="36" ht="27" customFormat="1" customHeight="1" s="211">
      <c r="A36" s="212" t="inlineStr">
        <is>
          <t>PO#</t>
        </is>
      </c>
      <c r="B36" s="213" t="inlineStr">
        <is>
          <t>Item No.</t>
        </is>
      </c>
      <c r="C36" s="213" t="inlineStr">
        <is>
          <t>Buyer No.</t>
        </is>
      </c>
      <c r="D36" s="213" t="inlineStr">
        <is>
          <t>Buyer PO</t>
        </is>
      </c>
      <c r="E36" s="213" t="inlineStr">
        <is>
          <t>Cust. Ref No.</t>
        </is>
      </c>
      <c r="F36" s="213" t="inlineStr">
        <is>
          <t>Metal</t>
        </is>
      </c>
      <c r="G36" s="213" t="inlineStr">
        <is>
          <t>Q'ty</t>
        </is>
      </c>
      <c r="H36" s="214" t="inlineStr">
        <is>
          <t>Total w't</t>
        </is>
      </c>
      <c r="I36" s="214" t="inlineStr">
        <is>
          <t>Dia w't</t>
        </is>
      </c>
      <c r="J36" s="214" t="inlineStr">
        <is>
          <t>Wire w't</t>
        </is>
      </c>
      <c r="K36" s="215" t="inlineStr">
        <is>
          <t>Gold w't</t>
        </is>
      </c>
      <c r="L36" s="215" t="inlineStr">
        <is>
          <t>Stone</t>
        </is>
      </c>
      <c r="M36" s="215" t="inlineStr">
        <is>
          <t>Color</t>
        </is>
      </c>
      <c r="N36" s="215" t="inlineStr">
        <is>
          <t>Stone Q'ty</t>
        </is>
      </c>
      <c r="O36" s="216" t="inlineStr">
        <is>
          <t>Labor</t>
        </is>
      </c>
      <c r="P36" s="216" t="inlineStr">
        <is>
          <t>Dia Carat</t>
        </is>
      </c>
      <c r="Q36" s="217" t="inlineStr">
        <is>
          <t>Extra Cost</t>
        </is>
      </c>
      <c r="R36" s="217" t="inlineStr">
        <is>
          <t>Dia Packaging Cost</t>
        </is>
      </c>
      <c r="S36" s="217" t="inlineStr">
        <is>
          <t>Dia Handling Service Fee</t>
        </is>
      </c>
      <c r="T36" s="217" t="inlineStr">
        <is>
          <t>Wire
Cost</t>
        </is>
      </c>
      <c r="U36" s="217" t="inlineStr">
        <is>
          <t>Plating Cost</t>
        </is>
      </c>
      <c r="V36" s="217" t="inlineStr">
        <is>
          <t>Stone
Cost</t>
        </is>
      </c>
      <c r="W36" s="217" t="inlineStr">
        <is>
          <t>Setting
Cost</t>
        </is>
      </c>
      <c r="X36" s="218" t="inlineStr">
        <is>
          <t>Labor
Cost</t>
        </is>
      </c>
      <c r="Y36" s="219" t="inlineStr">
        <is>
          <t>Gold &amp; 5%
Cost</t>
        </is>
      </c>
      <c r="Z36" s="218" t="n"/>
      <c r="AA36" s="233" t="n"/>
      <c r="AB36" s="233" t="n"/>
      <c r="AC36" s="233" t="n"/>
      <c r="AD36" s="233" t="n"/>
      <c r="AE36" s="233" t="n"/>
      <c r="AF36" s="220" t="n"/>
      <c r="AG36" s="220" t="n"/>
    </row>
    <row r="37" ht="165.75" customFormat="1" customHeight="1" s="220">
      <c r="A37" s="221" t="inlineStr">
        <is>
          <t>ELI250109RB-14K-5</t>
        </is>
      </c>
      <c r="B37" s="244" t="inlineStr">
        <is>
          <t>K02544TN01 C4 17"</t>
        </is>
      </c>
      <c r="C37" s="244" t="n"/>
      <c r="D37" s="244" t="n"/>
      <c r="E37" s="244" t="n"/>
      <c r="F37" s="244" t="inlineStr">
        <is>
          <t>14K WG</t>
        </is>
      </c>
      <c r="G37" s="251" t="n">
        <v>6</v>
      </c>
      <c r="H37" s="224" t="n">
        <v>85.75</v>
      </c>
      <c r="I37" s="224" t="n">
        <v>5.71</v>
      </c>
      <c r="J37" s="224" t="n">
        <v>0</v>
      </c>
      <c r="K37" s="226">
        <f>H37-I37-J37</f>
        <v/>
      </c>
      <c r="L37" s="227" t="inlineStr">
        <is>
          <t>EM 3.50*2.00
OV 3.60*2.70
PS 4.00*2.50
MQ 4.25*2.25
HT 3.50*3.50
CS 3.25*3.25</t>
        </is>
      </c>
      <c r="M37" s="227" t="inlineStr">
        <is>
          <t>W
W
W
W
W
W</t>
        </is>
      </c>
      <c r="N37" s="228" t="inlineStr">
        <is>
          <t>6pcs
10pcs
5pcs
10pcs
5pcs
5pcs</t>
        </is>
      </c>
      <c r="O37" s="229" t="n">
        <v>7.5</v>
      </c>
      <c r="P37" s="230" t="n">
        <v>28.555</v>
      </c>
      <c r="Q37" s="231">
        <f>G37*0.5</f>
        <v/>
      </c>
      <c r="R37" s="231" t="n"/>
      <c r="S37" s="231">
        <f>G37*0.035*(6+10+5+10+5+5)</f>
        <v/>
      </c>
      <c r="T37" s="231" t="n"/>
      <c r="U37" s="231">
        <f>IF(RIGHT(F37,2)="WG",K37*$AA$4,IF(OR(RIGHT(F37,3)="WRG",RIGHT(F37,3)="WYG",RIGHT(F37,3)="WYR"),K37*$AA$4+3*G37,0))</f>
        <v/>
      </c>
      <c r="V37" s="231" t="n"/>
      <c r="W37" s="231">
        <f>G37*(6*2+10*3.25+5*3.5+10*2+5*2.5+5*1.5)</f>
        <v/>
      </c>
      <c r="X37" s="231">
        <f>K37*O37</f>
        <v/>
      </c>
      <c r="Y37" s="231">
        <f>$Y$14/31.1035*K37*IF(LEFT(F37,3)="10K",0.417*1.07,IF(LEFT(F37,3)="14K",0.585*1.05,IF(LEFT(F37,3)="18K",0.75*1.05,0)))</f>
        <v/>
      </c>
      <c r="Z37" s="232" t="n"/>
      <c r="AA37" s="233">
        <f>2*K37</f>
        <v/>
      </c>
      <c r="AB37" s="233" t="n">
        <v>1083.0396</v>
      </c>
      <c r="AC37" s="233" t="n">
        <v>9016.698039999999</v>
      </c>
      <c r="AD37" s="233" t="n">
        <v>10099.73764</v>
      </c>
      <c r="AE37" s="233">
        <f>IF(LEFT(F37,3)="10K",(0.417*1.07*K37),IF(LEFT(F37,3)="14K",(0.585*1.05*K37),IF(LEFT(F37,3)="18K",(0.75*1.05*K37),0)))</f>
        <v/>
      </c>
      <c r="AG37" s="249">
        <f>IF(AF37&gt;0,AF37*K37,X37)</f>
        <v/>
      </c>
    </row>
    <row r="38" ht="15.75" customFormat="1" customHeight="1" s="234">
      <c r="A38" s="235" t="inlineStr">
        <is>
          <t>SUBTOTAL</t>
        </is>
      </c>
      <c r="B38" s="236" t="n"/>
      <c r="C38" s="236" t="n"/>
      <c r="D38" s="236" t="n"/>
      <c r="E38" s="236" t="n"/>
      <c r="F38" s="236" t="n"/>
      <c r="G38" s="237">
        <f>SUM(G37)</f>
        <v/>
      </c>
      <c r="H38" s="238" t="n"/>
      <c r="I38" s="238" t="n"/>
      <c r="J38" s="238" t="n"/>
      <c r="K38" s="238">
        <f>SUM(K37)</f>
        <v/>
      </c>
      <c r="L38" s="239" t="n"/>
      <c r="M38" s="239" t="n"/>
      <c r="N38" s="239" t="n"/>
      <c r="O38" s="240" t="n"/>
      <c r="P38" s="241">
        <f>SUM(P37)</f>
        <v/>
      </c>
      <c r="Q38" s="242">
        <f>SUM(Q37)</f>
        <v/>
      </c>
      <c r="R38" s="242">
        <f>SUM(R37)</f>
        <v/>
      </c>
      <c r="S38" s="242">
        <f>SUM(S37)</f>
        <v/>
      </c>
      <c r="T38" s="242">
        <f>SUM(T37)</f>
        <v/>
      </c>
      <c r="U38" s="242">
        <f>SUM(U37)</f>
        <v/>
      </c>
      <c r="V38" s="242">
        <f>SUM(V37)</f>
        <v/>
      </c>
      <c r="W38" s="242">
        <f>SUM(W37)</f>
        <v/>
      </c>
      <c r="X38" s="242">
        <f>SUM(X37)</f>
        <v/>
      </c>
      <c r="Y38" s="242">
        <f>SUM(Y37)</f>
        <v/>
      </c>
      <c r="Z38" s="243" t="n"/>
      <c r="AA38" s="233" t="n"/>
      <c r="AB38" s="233" t="n"/>
      <c r="AC38" s="233" t="n"/>
      <c r="AD38" s="233" t="n"/>
      <c r="AE38" s="233" t="n"/>
      <c r="AF38" s="220" t="n"/>
      <c r="AG38" s="220" t="n"/>
    </row>
    <row r="39" ht="15.75" customHeight="1" s="205">
      <c r="A39" s="206" t="inlineStr">
        <is>
          <t>Buyer Dia</t>
        </is>
      </c>
      <c r="K39" s="207" t="n"/>
      <c r="L39" s="207" t="n"/>
      <c r="M39" s="207" t="n"/>
      <c r="N39" s="207" t="n"/>
      <c r="W39" s="208" t="n"/>
      <c r="X39" s="209" t="inlineStr">
        <is>
          <t>13th Jan London AM + 1%</t>
        </is>
      </c>
      <c r="Y39" s="210">
        <f>1.01*2679.8</f>
        <v/>
      </c>
      <c r="Z39" s="210" t="n"/>
      <c r="AA39" s="233" t="n"/>
      <c r="AB39" s="233" t="n"/>
      <c r="AC39" s="233" t="n"/>
      <c r="AD39" s="233" t="n"/>
      <c r="AE39" s="233" t="n"/>
      <c r="AF39" s="220" t="n"/>
      <c r="AG39" s="220" t="n"/>
    </row>
    <row r="40" ht="27" customFormat="1" customHeight="1" s="211">
      <c r="A40" s="212" t="inlineStr">
        <is>
          <t>PO#</t>
        </is>
      </c>
      <c r="B40" s="213" t="inlineStr">
        <is>
          <t>Item No.</t>
        </is>
      </c>
      <c r="C40" s="213" t="inlineStr">
        <is>
          <t>Buyer No.</t>
        </is>
      </c>
      <c r="D40" s="213" t="inlineStr">
        <is>
          <t>Buyer PO</t>
        </is>
      </c>
      <c r="E40" s="213" t="inlineStr">
        <is>
          <t>Cust. Ref No.</t>
        </is>
      </c>
      <c r="F40" s="213" t="inlineStr">
        <is>
          <t>Metal</t>
        </is>
      </c>
      <c r="G40" s="213" t="inlineStr">
        <is>
          <t>Q'ty</t>
        </is>
      </c>
      <c r="H40" s="214" t="inlineStr">
        <is>
          <t>Total w't</t>
        </is>
      </c>
      <c r="I40" s="214" t="inlineStr">
        <is>
          <t>Dia w't</t>
        </is>
      </c>
      <c r="J40" s="214" t="inlineStr">
        <is>
          <t>Wire w't</t>
        </is>
      </c>
      <c r="K40" s="215" t="inlineStr">
        <is>
          <t>Gold w't</t>
        </is>
      </c>
      <c r="L40" s="215" t="inlineStr">
        <is>
          <t>Stone</t>
        </is>
      </c>
      <c r="M40" s="215" t="inlineStr">
        <is>
          <t>Color</t>
        </is>
      </c>
      <c r="N40" s="215" t="inlineStr">
        <is>
          <t>Stone Q'ty</t>
        </is>
      </c>
      <c r="O40" s="216" t="inlineStr">
        <is>
          <t>Labor</t>
        </is>
      </c>
      <c r="P40" s="216" t="inlineStr">
        <is>
          <t>Dia Carat</t>
        </is>
      </c>
      <c r="Q40" s="217" t="inlineStr">
        <is>
          <t>Extra Cost</t>
        </is>
      </c>
      <c r="R40" s="217" t="inlineStr">
        <is>
          <t>Dia Packaging Cost</t>
        </is>
      </c>
      <c r="S40" s="217" t="inlineStr">
        <is>
          <t>Dia Handling Service Fee</t>
        </is>
      </c>
      <c r="T40" s="217" t="inlineStr">
        <is>
          <t>Wire
Cost</t>
        </is>
      </c>
      <c r="U40" s="217" t="inlineStr">
        <is>
          <t>Plating Cost</t>
        </is>
      </c>
      <c r="V40" s="217" t="inlineStr">
        <is>
          <t>Stone
Cost</t>
        </is>
      </c>
      <c r="W40" s="217" t="inlineStr">
        <is>
          <t>Setting
Cost</t>
        </is>
      </c>
      <c r="X40" s="218" t="inlineStr">
        <is>
          <t>Labor
Cost</t>
        </is>
      </c>
      <c r="Y40" s="219" t="inlineStr">
        <is>
          <t>Gold &amp; 5%
Cost</t>
        </is>
      </c>
      <c r="Z40" s="218" t="n"/>
      <c r="AA40" s="233" t="n"/>
      <c r="AB40" s="233" t="n"/>
      <c r="AC40" s="233" t="n"/>
      <c r="AD40" s="233" t="n"/>
      <c r="AE40" s="233" t="n"/>
      <c r="AF40" s="220" t="n"/>
      <c r="AG40" s="220" t="n"/>
    </row>
    <row r="41" ht="123.75" customFormat="1" customHeight="1" s="220">
      <c r="A41" s="221" t="inlineStr">
        <is>
          <t>ELI250109RB-14K-6</t>
        </is>
      </c>
      <c r="B41" s="222" t="inlineStr">
        <is>
          <t>K02544TN02 C4 17"</t>
        </is>
      </c>
      <c r="C41" s="244" t="n"/>
      <c r="D41" s="244" t="n"/>
      <c r="E41" s="244" t="n"/>
      <c r="F41" s="244" t="inlineStr">
        <is>
          <t>14K WG</t>
        </is>
      </c>
      <c r="G41" s="251" t="n">
        <v>7</v>
      </c>
      <c r="H41" s="245" t="n">
        <v>148.69</v>
      </c>
      <c r="I41" s="245" t="n">
        <v>13.46</v>
      </c>
      <c r="J41" s="245" t="n"/>
      <c r="K41" s="247">
        <f>H41-I41-J41</f>
        <v/>
      </c>
      <c r="L41" s="227" t="inlineStr">
        <is>
          <t>EM 4.30*3.00
OV 5.00*3.00
PS 5.0*3.0
MQ 6.0*3.0
HT 4.0*4.0
CS 3.25*3.25</t>
        </is>
      </c>
      <c r="M41" s="227" t="inlineStr">
        <is>
          <t>W
W
W
W
W
W</t>
        </is>
      </c>
      <c r="N41" s="228" t="inlineStr">
        <is>
          <t>8pcs
8pcs
8pcs
8pcs
7pcs
7pcs</t>
        </is>
      </c>
      <c r="O41" s="229" t="n">
        <v>7.5</v>
      </c>
      <c r="P41" s="230" t="n">
        <v>67.265</v>
      </c>
      <c r="Q41" s="231">
        <f>G41*0.5</f>
        <v/>
      </c>
      <c r="R41" s="231" t="n"/>
      <c r="S41" s="231">
        <f>G41*0.035*(8+8+8+8+7+7)</f>
        <v/>
      </c>
      <c r="T41" s="231" t="n"/>
      <c r="U41" s="231">
        <f>IF(RIGHT(F41,2)="WG",K41*$AA$4,IF(OR(RIGHT(F41,3)="WRG",RIGHT(F41,3)="WYG",RIGHT(F41,3)="WYR"),K41*$AA$4+3*G41,0))</f>
        <v/>
      </c>
      <c r="V41" s="231" t="n"/>
      <c r="W41" s="231">
        <f>G41*(8*2+8*3.75+8*3.5+8*3.75+7*2.5+7*1.5)</f>
        <v/>
      </c>
      <c r="X41" s="231">
        <f>K41*O41</f>
        <v/>
      </c>
      <c r="Y41" s="231">
        <f>$Y$14/31.1035*K41*IF(LEFT(F41,3)="10K",0.417*1.07,IF(LEFT(F41,3)="14K",0.585*1.05,IF(LEFT(F41,3)="18K",0.75*1.05,0)))</f>
        <v/>
      </c>
      <c r="Z41" s="232" t="n"/>
      <c r="AA41" s="233">
        <f>2*K41</f>
        <v/>
      </c>
      <c r="AB41" s="233" t="n">
        <v>1714.9902</v>
      </c>
      <c r="AC41" s="233" t="n">
        <v>18882.10898</v>
      </c>
      <c r="AD41" s="233" t="n">
        <v>20597.09918</v>
      </c>
      <c r="AE41" s="233">
        <f>IF(LEFT(F41,3)="10K",(0.417*1.07*K41),IF(LEFT(F41,3)="14K",(0.585*1.05*K41),IF(LEFT(F41,3)="18K",(0.75*1.05*K41),0)))</f>
        <v/>
      </c>
      <c r="AG41" s="249">
        <f>IF(AF41&gt;0,AF41*K41,X41)</f>
        <v/>
      </c>
    </row>
    <row r="42" ht="123.75" customFormat="1" customHeight="1" s="220">
      <c r="A42" s="252" t="n">
        <v>24</v>
      </c>
      <c r="B42" s="222" t="inlineStr">
        <is>
          <t>K02544TN02 C4 17"</t>
        </is>
      </c>
      <c r="C42" s="222" t="n"/>
      <c r="D42" s="222" t="n"/>
      <c r="E42" s="222" t="n"/>
      <c r="F42" s="222" t="inlineStr">
        <is>
          <t>14K YG</t>
        </is>
      </c>
      <c r="G42" s="223" t="n">
        <v>3</v>
      </c>
      <c r="H42" s="245" t="n">
        <v>62</v>
      </c>
      <c r="I42" s="246" t="n">
        <v>5.84</v>
      </c>
      <c r="J42" s="246" t="n"/>
      <c r="K42" s="247">
        <f>H42-I42-J42</f>
        <v/>
      </c>
      <c r="L42" s="227" t="inlineStr">
        <is>
          <t>EM 4.30*3.00
OV 5.00*3.00
PS 5.0*3.0
MQ 6.0*3.0
HT 4.0*4.0
CS 3.25*3.25</t>
        </is>
      </c>
      <c r="M42" s="227" t="inlineStr">
        <is>
          <t>W
W
W
W
W
W</t>
        </is>
      </c>
      <c r="N42" s="228" t="inlineStr">
        <is>
          <t>8pcs
8pcs
8pcs
8pcs
7pcs
7pcs</t>
        </is>
      </c>
      <c r="O42" s="229" t="n">
        <v>7.5</v>
      </c>
      <c r="P42" s="230" t="n">
        <v>29.195</v>
      </c>
      <c r="Q42" s="231">
        <f>G42*0.5</f>
        <v/>
      </c>
      <c r="R42" s="231" t="n"/>
      <c r="S42" s="231">
        <f>G42*0.035*(8+8+8+8+7+7)</f>
        <v/>
      </c>
      <c r="T42" s="231" t="n"/>
      <c r="U42" s="231">
        <f>IF(RIGHT(F42,2)="WG",K42*$AA$4,IF(OR(RIGHT(F42,3)="WRG",RIGHT(F42,3)="WYG",RIGHT(F42,3)="WYR"),K42*$AA$4+3*G42,0))</f>
        <v/>
      </c>
      <c r="V42" s="231" t="n"/>
      <c r="W42" s="231">
        <f>G42*(8*2+8*3.75+8*3.5+8*3.75+7*2.5+7*1.5)</f>
        <v/>
      </c>
      <c r="X42" s="231">
        <f>K42*O42</f>
        <v/>
      </c>
      <c r="Y42" s="231">
        <f>$Y$14/31.1035*K42*IF(LEFT(F42,3)="10K",0.417*1.07,IF(LEFT(F42,3)="14K",0.585*1.05,IF(LEFT(F42,3)="18K",0.75*1.05,0)))</f>
        <v/>
      </c>
      <c r="Z42" s="232" t="n"/>
      <c r="AA42" s="233">
        <f>2*K42</f>
        <v/>
      </c>
      <c r="AB42" s="233" t="n">
        <v>711.21</v>
      </c>
      <c r="AC42" s="233" t="n">
        <v>8083.33316</v>
      </c>
      <c r="AD42" s="233" t="n">
        <v>8794.543159999999</v>
      </c>
      <c r="AE42" s="233">
        <f>IF(LEFT(F42,3)="10K",(0.417*1.07*K42),IF(LEFT(F42,3)="14K",(0.585*1.05*K42),IF(LEFT(F42,3)="18K",(0.75*1.05*K42),0)))</f>
        <v/>
      </c>
      <c r="AG42" s="249">
        <f>IF(AF42&gt;0,AF42*K42,X42)</f>
        <v/>
      </c>
    </row>
    <row r="43" ht="124.5" customFormat="1" customHeight="1" s="220">
      <c r="A43" s="252" t="n">
        <v>25</v>
      </c>
      <c r="B43" s="222" t="inlineStr">
        <is>
          <t>K02544TN03 C4 17"</t>
        </is>
      </c>
      <c r="C43" s="222" t="n"/>
      <c r="D43" s="222" t="n"/>
      <c r="E43" s="222" t="n"/>
      <c r="F43" s="244" t="inlineStr">
        <is>
          <t>14K WG</t>
        </is>
      </c>
      <c r="G43" s="223" t="n">
        <v>1</v>
      </c>
      <c r="H43" s="245" t="n">
        <v>24.09</v>
      </c>
      <c r="I43" s="246" t="n">
        <v>3.12</v>
      </c>
      <c r="J43" s="246" t="n"/>
      <c r="K43" s="247">
        <f>H43-I43-J43</f>
        <v/>
      </c>
      <c r="L43" s="227" t="inlineStr">
        <is>
          <t>EM 6.50*4.50
EM 6.0*4.0
OV 5.00*3.00
PS 5.0*3.0
MQ 6.0*3.0
HT 4.0*4.0
CS 4.9*4.9</t>
        </is>
      </c>
      <c r="M43" s="227" t="inlineStr">
        <is>
          <t>W
W
W
W
W
W
W</t>
        </is>
      </c>
      <c r="N43" s="228" t="inlineStr">
        <is>
          <t>1pcs
6pcs
7pcs
8pcs
7pcs
8pcs
7pcs</t>
        </is>
      </c>
      <c r="O43" s="229" t="n">
        <v>7.5</v>
      </c>
      <c r="P43" s="230" t="n">
        <v>15.6</v>
      </c>
      <c r="Q43" s="231">
        <f>G43*0.5</f>
        <v/>
      </c>
      <c r="R43" s="231" t="n"/>
      <c r="S43" s="231">
        <f>G43*0.035*(1+6+7+8+7+8+7)</f>
        <v/>
      </c>
      <c r="T43" s="231" t="n"/>
      <c r="U43" s="231">
        <f>IF(RIGHT(F43,2)="WG",K43*$AA$4,IF(OR(RIGHT(F43,3)="WRG",RIGHT(F43,3)="WYG",RIGHT(F43,3)="WYR"),K43*$AA$4+3*G43,0))</f>
        <v/>
      </c>
      <c r="V43" s="231" t="n"/>
      <c r="W43" s="231">
        <f>G43*((1+6)*5+7*3.75+8*3.5+7*3.75+8*2.5+7*3.5)</f>
        <v/>
      </c>
      <c r="X43" s="231">
        <f>K43*O43</f>
        <v/>
      </c>
      <c r="Y43" s="231">
        <f>$Y$14/31.1035*K43*IF(LEFT(F43,3)="10K",0.417*1.07,IF(LEFT(F43,3)="14K",0.585*1.05,IF(LEFT(F43,3)="18K",0.75*1.05,0)))</f>
        <v/>
      </c>
      <c r="Z43" s="232" t="n"/>
      <c r="AA43" s="233">
        <f>2*K43</f>
        <v/>
      </c>
      <c r="AB43" s="233" t="n">
        <v>282.4078</v>
      </c>
      <c r="AC43" s="233" t="n">
        <v>3919.49922</v>
      </c>
      <c r="AD43" s="233" t="n">
        <v>4201.90702</v>
      </c>
      <c r="AE43" s="233">
        <f>IF(LEFT(F43,3)="10K",(0.417*1.07*K43),IF(LEFT(F43,3)="14K",(0.585*1.05*K43),IF(LEFT(F43,3)="18K",(0.75*1.05*K43),0)))</f>
        <v/>
      </c>
      <c r="AG43" s="249">
        <f>IF(AF43&gt;0,AF43*K43,X43)</f>
        <v/>
      </c>
    </row>
    <row r="44" ht="15.75" customFormat="1" customHeight="1" s="234">
      <c r="A44" s="235" t="inlineStr">
        <is>
          <t>SUBTOTAL</t>
        </is>
      </c>
      <c r="B44" s="236" t="n"/>
      <c r="C44" s="236" t="n"/>
      <c r="D44" s="236" t="n"/>
      <c r="E44" s="236" t="n"/>
      <c r="F44" s="236" t="n"/>
      <c r="G44" s="237">
        <f>SUM(G41:G43)</f>
        <v/>
      </c>
      <c r="H44" s="250" t="n"/>
      <c r="I44" s="250" t="n"/>
      <c r="J44" s="250" t="n"/>
      <c r="K44" s="250">
        <f>SUM(K41:K43)</f>
        <v/>
      </c>
      <c r="L44" s="239" t="n"/>
      <c r="M44" s="239" t="n"/>
      <c r="N44" s="239" t="n"/>
      <c r="O44" s="240" t="n"/>
      <c r="P44" s="241">
        <f>SUM(P41:P43)</f>
        <v/>
      </c>
      <c r="Q44" s="242">
        <f>SUM(Q41:Q43)</f>
        <v/>
      </c>
      <c r="R44" s="242">
        <f>SUM(R41:R43)</f>
        <v/>
      </c>
      <c r="S44" s="242">
        <f>SUM(S41:S43)</f>
        <v/>
      </c>
      <c r="T44" s="242">
        <f>SUM(T41:T43)</f>
        <v/>
      </c>
      <c r="U44" s="242">
        <f>SUM(U41:U43)</f>
        <v/>
      </c>
      <c r="V44" s="242">
        <f>SUM(V41:V43)</f>
        <v/>
      </c>
      <c r="W44" s="242">
        <f>SUM(W41:W43)</f>
        <v/>
      </c>
      <c r="X44" s="242">
        <f>SUM(X41:X43)</f>
        <v/>
      </c>
      <c r="Y44" s="242">
        <f>SUM(Y41:Y43)</f>
        <v/>
      </c>
      <c r="Z44" s="243" t="n"/>
      <c r="AA44" s="233" t="n"/>
      <c r="AB44" s="233" t="n"/>
      <c r="AC44" s="233" t="n"/>
      <c r="AD44" s="233" t="n"/>
      <c r="AE44" s="233" t="n"/>
      <c r="AF44" s="220" t="n"/>
      <c r="AG44" s="220" t="n"/>
    </row>
    <row r="45" ht="15.75" customHeight="1" s="205">
      <c r="A45" s="206" t="inlineStr">
        <is>
          <t>Buyer Dia</t>
        </is>
      </c>
      <c r="K45" s="207" t="n"/>
      <c r="L45" s="207" t="n"/>
      <c r="M45" s="207" t="n"/>
      <c r="N45" s="207" t="n"/>
      <c r="W45" s="208" t="n"/>
      <c r="X45" s="209" t="inlineStr">
        <is>
          <t>5 Feb London AM + 1%</t>
        </is>
      </c>
      <c r="Y45" s="210">
        <f>1.01*2873.8</f>
        <v/>
      </c>
      <c r="Z45" s="210" t="n"/>
      <c r="AA45" s="233" t="n"/>
      <c r="AB45" s="233" t="n"/>
      <c r="AC45" s="233" t="n"/>
      <c r="AD45" s="233" t="n"/>
      <c r="AE45" s="233" t="n"/>
      <c r="AF45" s="220" t="n"/>
      <c r="AG45" s="220" t="n"/>
    </row>
    <row r="46" ht="27" customFormat="1" customHeight="1" s="211">
      <c r="A46" s="212" t="inlineStr">
        <is>
          <t>PO#</t>
        </is>
      </c>
      <c r="B46" s="213" t="inlineStr">
        <is>
          <t>Item No.</t>
        </is>
      </c>
      <c r="C46" s="213" t="inlineStr">
        <is>
          <t>Buyer No.</t>
        </is>
      </c>
      <c r="D46" s="213" t="inlineStr">
        <is>
          <t>Buyer PO</t>
        </is>
      </c>
      <c r="E46" s="213" t="inlineStr">
        <is>
          <t>Cust. Ref No.</t>
        </is>
      </c>
      <c r="F46" s="213" t="inlineStr">
        <is>
          <t>Metal</t>
        </is>
      </c>
      <c r="G46" s="213" t="inlineStr">
        <is>
          <t>Q'ty</t>
        </is>
      </c>
      <c r="H46" s="214" t="inlineStr">
        <is>
          <t>Total w't</t>
        </is>
      </c>
      <c r="I46" s="214" t="inlineStr">
        <is>
          <t>Dia w't</t>
        </is>
      </c>
      <c r="J46" s="214" t="inlineStr">
        <is>
          <t>Wire w't</t>
        </is>
      </c>
      <c r="K46" s="215" t="inlineStr">
        <is>
          <t>Gold w't</t>
        </is>
      </c>
      <c r="L46" s="215" t="inlineStr">
        <is>
          <t>Stone</t>
        </is>
      </c>
      <c r="M46" s="215" t="inlineStr">
        <is>
          <t>Color</t>
        </is>
      </c>
      <c r="N46" s="215" t="inlineStr">
        <is>
          <t>Stone Q'ty</t>
        </is>
      </c>
      <c r="O46" s="216" t="inlineStr">
        <is>
          <t>Labor</t>
        </is>
      </c>
      <c r="P46" s="216" t="inlineStr">
        <is>
          <t>Dia Carat</t>
        </is>
      </c>
      <c r="Q46" s="217" t="inlineStr">
        <is>
          <t>Extra Cost</t>
        </is>
      </c>
      <c r="R46" s="217" t="inlineStr">
        <is>
          <t>Dia Packaging Cost</t>
        </is>
      </c>
      <c r="S46" s="217" t="inlineStr">
        <is>
          <t>Dia Handling Service Fee</t>
        </is>
      </c>
      <c r="T46" s="217" t="inlineStr">
        <is>
          <t>Wire
Cost</t>
        </is>
      </c>
      <c r="U46" s="217" t="inlineStr">
        <is>
          <t>Plating Cost</t>
        </is>
      </c>
      <c r="V46" s="217" t="inlineStr">
        <is>
          <t>Stone
Cost</t>
        </is>
      </c>
      <c r="W46" s="217" t="inlineStr">
        <is>
          <t>Setting
Cost</t>
        </is>
      </c>
      <c r="X46" s="218" t="inlineStr">
        <is>
          <t>Labor
Cost</t>
        </is>
      </c>
      <c r="Y46" s="219" t="inlineStr">
        <is>
          <t>Gold &amp; 5%
Cost</t>
        </is>
      </c>
      <c r="Z46" s="218" t="n"/>
      <c r="AA46" s="233" t="n"/>
      <c r="AB46" s="233" t="n"/>
      <c r="AC46" s="233" t="n"/>
      <c r="AD46" s="233" t="n"/>
      <c r="AE46" s="233" t="n"/>
      <c r="AF46" s="220" t="n"/>
      <c r="AG46" s="220" t="n"/>
    </row>
    <row r="47" ht="110.25" customFormat="1" customHeight="1" s="220">
      <c r="A47" s="221" t="inlineStr">
        <is>
          <t>ELI250203RB-1A-14K-5</t>
        </is>
      </c>
      <c r="B47" s="222" t="inlineStr">
        <is>
          <t>K0218TN58 C4 17"</t>
        </is>
      </c>
      <c r="C47" s="222" t="n"/>
      <c r="D47" s="222" t="n"/>
      <c r="E47" s="222" t="n"/>
      <c r="F47" s="244" t="inlineStr">
        <is>
          <t>14K WG</t>
        </is>
      </c>
      <c r="G47" s="223" t="n">
        <v>7</v>
      </c>
      <c r="H47" s="224" t="n">
        <v>99.59999999999999</v>
      </c>
      <c r="I47" s="225" t="n">
        <v>7.39</v>
      </c>
      <c r="J47" s="225" t="n"/>
      <c r="K47" s="226">
        <f>H47-I47-J47</f>
        <v/>
      </c>
      <c r="L47" s="227" t="inlineStr">
        <is>
          <t>1.45mm
1.90mm
2.25mm
2.55mm
2.75mm
3.05mm
3.70mm
4.25mm</t>
        </is>
      </c>
      <c r="M47" s="227" t="inlineStr">
        <is>
          <t>W
W
W
W
W
W
W
W</t>
        </is>
      </c>
      <c r="N47" s="228" t="inlineStr">
        <is>
          <t>218pcs
8pcs
6pcs
6pcs
6pcs
4pcs
2pcs
1pcs</t>
        </is>
      </c>
      <c r="O47" s="229" t="n">
        <v>8</v>
      </c>
      <c r="P47" s="230" t="n">
        <v>36.945</v>
      </c>
      <c r="Q47" s="231">
        <f>0.5*G47</f>
        <v/>
      </c>
      <c r="R47" s="231" t="n"/>
      <c r="S47" s="231">
        <f>0.035*(218+8+6+6+6+4+2+1)*G47</f>
        <v/>
      </c>
      <c r="T47" s="231" t="n"/>
      <c r="U47" s="231">
        <f>IF(RIGHT(F47,2)="WG",K47*$AA$4,IF(OR(RIGHT(F47,3)="WRG",RIGHT(F47,3)="WYG",RIGHT(F47,3)="WYR"),K47*$AA$4+3*G47,0))</f>
        <v/>
      </c>
      <c r="V47" s="231" t="n"/>
      <c r="W47" s="231">
        <f>((218+8+6)*0.3+(6+6+4)*0.5+(2+1)*0.75)*G47</f>
        <v/>
      </c>
      <c r="X47" s="231">
        <f>K47*O47</f>
        <v/>
      </c>
      <c r="Y47" s="231">
        <f>$Y$14/31.1035*K47*IF(LEFT(F47,3)="10K",0.417*1.07,IF(LEFT(F47,3)="14K",0.585*1.05,IF(LEFT(F47,3)="18K",0.75*1.05,0)))</f>
        <v/>
      </c>
      <c r="Z47" s="232" t="n"/>
      <c r="AA47" s="233">
        <f>2*K47</f>
        <v/>
      </c>
      <c r="AB47" s="233" t="n">
        <v>1199.3354</v>
      </c>
      <c r="AC47" s="233" t="n">
        <v>11164.13046</v>
      </c>
      <c r="AD47" s="233" t="n">
        <v>12363.46586</v>
      </c>
      <c r="AE47" s="233">
        <f>IF(LEFT(F47,3)="10K",(0.417*1.07*K47),IF(LEFT(F47,3)="14K",(0.585*1.05*K47),IF(LEFT(F47,3)="18K",(0.75*1.05*K47),0)))</f>
        <v/>
      </c>
      <c r="AG47" s="249">
        <f>IF(AF47&gt;0,AF47*K47,X47)</f>
        <v/>
      </c>
    </row>
    <row r="48" ht="124.5" customFormat="1" customHeight="1" s="220">
      <c r="A48" s="252" t="n">
        <v>38</v>
      </c>
      <c r="B48" s="222" t="inlineStr">
        <is>
          <t>K0218TN11 C4 17"</t>
        </is>
      </c>
      <c r="C48" s="222" t="n"/>
      <c r="D48" s="222" t="n"/>
      <c r="E48" s="222" t="n"/>
      <c r="F48" s="222" t="inlineStr">
        <is>
          <t>14K YG</t>
        </is>
      </c>
      <c r="G48" s="223" t="n">
        <v>3</v>
      </c>
      <c r="H48" s="224" t="n">
        <v>55.64</v>
      </c>
      <c r="I48" s="225" t="n">
        <v>4.6</v>
      </c>
      <c r="J48" s="225" t="n"/>
      <c r="K48" s="226">
        <f>H48-I48-J48</f>
        <v/>
      </c>
      <c r="L48" s="227" t="inlineStr">
        <is>
          <t>1.80mm
2.30mm
2.75mm
2.90mm
3.10mm
3.30mm
3.70mm
4.00mm
4.50mm</t>
        </is>
      </c>
      <c r="M48" s="227" t="inlineStr">
        <is>
          <t>W
W
W
W
W
W
W
W
W</t>
        </is>
      </c>
      <c r="N48" s="228" t="inlineStr">
        <is>
          <t>183pcs
2pcs
6pcs
2pcs
2pcs
4pcs
2pcs
2pcs
1pcs</t>
        </is>
      </c>
      <c r="O48" s="229" t="n">
        <v>7</v>
      </c>
      <c r="P48" s="230" t="n">
        <v>23.05</v>
      </c>
      <c r="Q48" s="231">
        <f>0.5*G48</f>
        <v/>
      </c>
      <c r="R48" s="231" t="n"/>
      <c r="S48" s="231">
        <f>0.035*(183+2+6+2+2+4+2+2+1)*G48</f>
        <v/>
      </c>
      <c r="T48" s="231" t="n"/>
      <c r="U48" s="231" t="n"/>
      <c r="V48" s="231" t="n"/>
      <c r="W48" s="231">
        <f>((183+2)*0.3+(6+2+2+4)*0.5+(2+2)*0.75+(1.5*1))*G48</f>
        <v/>
      </c>
      <c r="X48" s="231">
        <f>K48*O48</f>
        <v/>
      </c>
      <c r="Y48" s="231">
        <f>$Y$14/31.1035*K48*IF(LEFT(F48,3)="10K",0.417*1.07,IF(LEFT(F48,3)="14K",0.585*1.05,IF(LEFT(F48,3)="18K",0.75*1.05,0)))</f>
        <v/>
      </c>
      <c r="Z48" s="232" t="n"/>
      <c r="AA48" s="233">
        <f>2*K48</f>
        <v/>
      </c>
      <c r="AB48" s="233" t="n">
        <v>479.12</v>
      </c>
      <c r="AC48" s="233" t="n">
        <v>6678.28504</v>
      </c>
      <c r="AD48" s="233" t="n">
        <v>7157.40504</v>
      </c>
      <c r="AE48" s="233">
        <f>IF(LEFT(F48,3)="10K",(0.417*1.07*K48),IF(LEFT(F48,3)="14K",(0.585*1.05*K48),IF(LEFT(F48,3)="18K",(0.75*1.05*K48),0)))</f>
        <v/>
      </c>
      <c r="AG48" s="249">
        <f>IF(AF48&gt;0,AF48*K48,X48)</f>
        <v/>
      </c>
    </row>
    <row r="49" ht="15.75" customFormat="1" customHeight="1" s="234">
      <c r="A49" s="235" t="inlineStr">
        <is>
          <t>SUBTOTAL</t>
        </is>
      </c>
      <c r="B49" s="236" t="n"/>
      <c r="C49" s="236" t="n"/>
      <c r="D49" s="236" t="n"/>
      <c r="E49" s="236" t="n"/>
      <c r="F49" s="236" t="n"/>
      <c r="G49" s="237">
        <f>SUM(G47:G48)</f>
        <v/>
      </c>
      <c r="H49" s="238" t="n"/>
      <c r="I49" s="238" t="n"/>
      <c r="J49" s="238" t="n"/>
      <c r="K49" s="238">
        <f>SUM(K47:K48)</f>
        <v/>
      </c>
      <c r="L49" s="239" t="n"/>
      <c r="M49" s="239" t="n"/>
      <c r="N49" s="239" t="n"/>
      <c r="O49" s="240" t="n"/>
      <c r="P49" s="241">
        <f>SUM(P47:P48)</f>
        <v/>
      </c>
      <c r="Q49" s="242">
        <f>SUM(Q47:Q48)</f>
        <v/>
      </c>
      <c r="R49" s="242">
        <f>SUM(R47:R48)</f>
        <v/>
      </c>
      <c r="S49" s="242">
        <f>SUM(S47:S48)</f>
        <v/>
      </c>
      <c r="T49" s="242">
        <f>SUM(T47:T48)</f>
        <v/>
      </c>
      <c r="U49" s="242">
        <f>SUM(U47:U48)</f>
        <v/>
      </c>
      <c r="V49" s="242">
        <f>SUM(V47:V48)</f>
        <v/>
      </c>
      <c r="W49" s="242">
        <f>SUM(W47:W48)</f>
        <v/>
      </c>
      <c r="X49" s="242">
        <f>SUM(X47:X48)</f>
        <v/>
      </c>
      <c r="Y49" s="242">
        <f>SUM(Y47:Y48)</f>
        <v/>
      </c>
      <c r="Z49" s="243" t="n"/>
      <c r="AA49" s="233" t="n"/>
      <c r="AB49" s="233" t="n"/>
      <c r="AC49" s="233" t="n"/>
      <c r="AD49" s="233" t="n"/>
      <c r="AE49" s="233" t="n"/>
      <c r="AF49" s="220" t="n"/>
      <c r="AG49" s="220" t="n"/>
    </row>
    <row r="50" ht="15.75" customHeight="1" s="205">
      <c r="A50" s="206" t="inlineStr">
        <is>
          <t>Buyer Dia</t>
        </is>
      </c>
      <c r="K50" s="207" t="n"/>
      <c r="L50" s="207" t="n"/>
      <c r="M50" s="207" t="n"/>
      <c r="N50" s="207" t="n"/>
      <c r="W50" s="208" t="n"/>
      <c r="X50" s="209" t="inlineStr">
        <is>
          <t>5 Feb London AM + 1%</t>
        </is>
      </c>
      <c r="Y50" s="210">
        <f>1.01*2873.8</f>
        <v/>
      </c>
      <c r="Z50" s="210" t="n"/>
      <c r="AA50" s="233" t="n"/>
      <c r="AB50" s="233" t="n"/>
      <c r="AC50" s="233" t="n"/>
      <c r="AD50" s="233" t="n"/>
      <c r="AE50" s="233" t="n"/>
      <c r="AF50" s="220" t="n"/>
      <c r="AG50" s="220" t="n"/>
    </row>
    <row r="51" ht="27" customFormat="1" customHeight="1" s="211">
      <c r="A51" s="212" t="inlineStr">
        <is>
          <t>PO#</t>
        </is>
      </c>
      <c r="B51" s="213" t="inlineStr">
        <is>
          <t>Item No.</t>
        </is>
      </c>
      <c r="C51" s="213" t="inlineStr">
        <is>
          <t>Buyer No.</t>
        </is>
      </c>
      <c r="D51" s="213" t="inlineStr">
        <is>
          <t>Buyer PO</t>
        </is>
      </c>
      <c r="E51" s="213" t="inlineStr">
        <is>
          <t>Cust. Ref No.</t>
        </is>
      </c>
      <c r="F51" s="213" t="inlineStr">
        <is>
          <t>Metal</t>
        </is>
      </c>
      <c r="G51" s="213" t="inlineStr">
        <is>
          <t>Q'ty</t>
        </is>
      </c>
      <c r="H51" s="214" t="inlineStr">
        <is>
          <t>Total w't</t>
        </is>
      </c>
      <c r="I51" s="214" t="inlineStr">
        <is>
          <t>Dia w't</t>
        </is>
      </c>
      <c r="J51" s="214" t="inlineStr">
        <is>
          <t>Wire w't</t>
        </is>
      </c>
      <c r="K51" s="215" t="inlineStr">
        <is>
          <t>Gold w't</t>
        </is>
      </c>
      <c r="L51" s="215" t="inlineStr">
        <is>
          <t>Stone</t>
        </is>
      </c>
      <c r="M51" s="215" t="inlineStr">
        <is>
          <t>Color</t>
        </is>
      </c>
      <c r="N51" s="215" t="inlineStr">
        <is>
          <t>Stone Q'ty</t>
        </is>
      </c>
      <c r="O51" s="216" t="inlineStr">
        <is>
          <t>Labor</t>
        </is>
      </c>
      <c r="P51" s="216" t="inlineStr">
        <is>
          <t>Dia Carat</t>
        </is>
      </c>
      <c r="Q51" s="217" t="inlineStr">
        <is>
          <t>Extra Cost</t>
        </is>
      </c>
      <c r="R51" s="217" t="inlineStr">
        <is>
          <t>Dia Packaging Cost</t>
        </is>
      </c>
      <c r="S51" s="217" t="inlineStr">
        <is>
          <t>Dia Handling Service Fee</t>
        </is>
      </c>
      <c r="T51" s="217" t="inlineStr">
        <is>
          <t>Wire
Cost</t>
        </is>
      </c>
      <c r="U51" s="217" t="inlineStr">
        <is>
          <t>Plating Cost</t>
        </is>
      </c>
      <c r="V51" s="217" t="inlineStr">
        <is>
          <t>Stone
Cost</t>
        </is>
      </c>
      <c r="W51" s="217" t="inlineStr">
        <is>
          <t>Setting
Cost</t>
        </is>
      </c>
      <c r="X51" s="218" t="inlineStr">
        <is>
          <t>Labor
Cost</t>
        </is>
      </c>
      <c r="Y51" s="219" t="inlineStr">
        <is>
          <t>Gold &amp; 5%
Cost</t>
        </is>
      </c>
      <c r="Z51" s="218" t="n"/>
      <c r="AA51" s="233" t="n"/>
      <c r="AB51" s="233" t="n"/>
      <c r="AC51" s="233" t="n"/>
      <c r="AD51" s="233" t="n"/>
      <c r="AE51" s="233" t="n"/>
      <c r="AF51" s="220" t="n"/>
      <c r="AG51" s="220" t="n"/>
    </row>
    <row r="52" ht="27.75" customFormat="1" customHeight="1" s="220">
      <c r="A52" s="221" t="inlineStr">
        <is>
          <t>ELI250203RB-1A-14K-4</t>
        </is>
      </c>
      <c r="B52" s="222" t="inlineStr">
        <is>
          <t>K0038R10 #6.5</t>
        </is>
      </c>
      <c r="C52" s="222" t="n"/>
      <c r="D52" s="222" t="n"/>
      <c r="E52" s="222" t="n"/>
      <c r="F52" s="222" t="inlineStr">
        <is>
          <t>14K YG</t>
        </is>
      </c>
      <c r="G52" s="223" t="n">
        <v>1</v>
      </c>
      <c r="H52" s="245" t="n">
        <v>4.42</v>
      </c>
      <c r="I52" s="246" t="n">
        <v>0.52</v>
      </c>
      <c r="J52" s="246" t="n"/>
      <c r="K52" s="247">
        <f>H52-I52-J52</f>
        <v/>
      </c>
      <c r="L52" s="227" t="n">
        <v>5</v>
      </c>
      <c r="M52" s="227" t="inlineStr">
        <is>
          <t>W</t>
        </is>
      </c>
      <c r="N52" s="228" t="n">
        <v>5</v>
      </c>
      <c r="O52" s="229" t="n">
        <v>5.5</v>
      </c>
      <c r="P52" s="230" t="n">
        <v>2.615</v>
      </c>
      <c r="Q52" s="231">
        <f>0.5*G52</f>
        <v/>
      </c>
      <c r="R52" s="231" t="n"/>
      <c r="S52" s="231">
        <f>0.035*N52*G52</f>
        <v/>
      </c>
      <c r="T52" s="231" t="n"/>
      <c r="U52" s="231" t="n"/>
      <c r="V52" s="231" t="n"/>
      <c r="W52" s="231">
        <f>G52*N52*1.5</f>
        <v/>
      </c>
      <c r="X52" s="231">
        <f>K52*O52</f>
        <v/>
      </c>
      <c r="Y52" s="231">
        <f>$Y$50/31.1035*K52*IF(LEFT(F52,3)="10K",0.417*1.07,IF(LEFT(F52,3)="14K",0.585*1.05,IF(LEFT(F52,3)="18K",0.75*1.05,0)))</f>
        <v/>
      </c>
      <c r="Z52" s="232" t="n"/>
      <c r="AA52" s="233">
        <f>2*K52</f>
        <v/>
      </c>
      <c r="AB52" s="233" t="n">
        <v>21.825</v>
      </c>
      <c r="AC52" s="233" t="n">
        <v>674.0384</v>
      </c>
      <c r="AD52" s="233" t="n">
        <v>695.8634</v>
      </c>
      <c r="AE52" s="233">
        <f>IF(LEFT(F52,3)="10K",(0.417*1.07*K52),IF(LEFT(F52,3)="14K",(0.585*1.05*K52),IF(LEFT(F52,3)="18K",(0.75*1.05*K52),0)))</f>
        <v/>
      </c>
      <c r="AG52" s="249">
        <f>IF(AF52&gt;0,AF52*K52,X52)</f>
        <v/>
      </c>
    </row>
    <row r="53" ht="15.75" customFormat="1" customHeight="1" s="234">
      <c r="A53" s="235" t="inlineStr">
        <is>
          <t>SUBTOTAL</t>
        </is>
      </c>
      <c r="B53" s="236" t="n"/>
      <c r="C53" s="236" t="n"/>
      <c r="D53" s="236" t="n"/>
      <c r="E53" s="236" t="n"/>
      <c r="F53" s="236" t="n"/>
      <c r="G53" s="237">
        <f>SUM(G52)</f>
        <v/>
      </c>
      <c r="H53" s="250" t="n"/>
      <c r="I53" s="250" t="n"/>
      <c r="J53" s="250" t="n"/>
      <c r="K53" s="250">
        <f>SUM(K52)</f>
        <v/>
      </c>
      <c r="L53" s="239" t="n"/>
      <c r="M53" s="239" t="n"/>
      <c r="N53" s="239" t="n"/>
      <c r="O53" s="240" t="n"/>
      <c r="P53" s="241">
        <f>SUM(P52)</f>
        <v/>
      </c>
      <c r="Q53" s="242">
        <f>SUM(Q52)</f>
        <v/>
      </c>
      <c r="R53" s="242">
        <f>SUM(R52)</f>
        <v/>
      </c>
      <c r="S53" s="242">
        <f>SUM(S52)</f>
        <v/>
      </c>
      <c r="T53" s="242">
        <f>SUM(T52)</f>
        <v/>
      </c>
      <c r="U53" s="242">
        <f>SUM(U52)</f>
        <v/>
      </c>
      <c r="V53" s="242">
        <f>SUM(V52)</f>
        <v/>
      </c>
      <c r="W53" s="242">
        <f>SUM(W52)</f>
        <v/>
      </c>
      <c r="X53" s="242">
        <f>SUM(X52)</f>
        <v/>
      </c>
      <c r="Y53" s="242">
        <f>SUM(Y52)</f>
        <v/>
      </c>
      <c r="Z53" s="243" t="n"/>
      <c r="AA53" s="233" t="n"/>
      <c r="AB53" s="233" t="n"/>
      <c r="AC53" s="233" t="n"/>
      <c r="AD53" s="233" t="n"/>
      <c r="AE53" s="233" t="n"/>
      <c r="AF53" s="220" t="n"/>
      <c r="AG53" s="220" t="n"/>
    </row>
    <row r="54" ht="15.75" customHeight="1" s="205">
      <c r="A54" s="206" t="inlineStr">
        <is>
          <t>Buyer Dia</t>
        </is>
      </c>
      <c r="K54" s="207" t="n"/>
      <c r="L54" s="207" t="n"/>
      <c r="M54" s="207" t="n"/>
      <c r="N54" s="207" t="n"/>
      <c r="W54" s="208" t="n"/>
      <c r="X54" s="209" t="inlineStr">
        <is>
          <t>3rd Apr London AM + 1%</t>
        </is>
      </c>
      <c r="Y54" s="210">
        <f>1.02*3128.15</f>
        <v/>
      </c>
      <c r="Z54" s="210">
        <f>1.02*3128.15</f>
        <v/>
      </c>
      <c r="AA54" s="233" t="n"/>
      <c r="AB54" s="233" t="n"/>
      <c r="AC54" s="233" t="n"/>
      <c r="AD54" s="233" t="n"/>
      <c r="AE54" s="233" t="n"/>
      <c r="AF54" s="220" t="n"/>
      <c r="AG54" s="220" t="n"/>
    </row>
    <row r="55" ht="27" customFormat="1" customHeight="1" s="211">
      <c r="A55" s="212" t="inlineStr">
        <is>
          <t>PO#</t>
        </is>
      </c>
      <c r="B55" s="213" t="inlineStr">
        <is>
          <t>Item No.</t>
        </is>
      </c>
      <c r="C55" s="213" t="inlineStr">
        <is>
          <t>Buyer No.</t>
        </is>
      </c>
      <c r="D55" s="213" t="inlineStr">
        <is>
          <t>Buyer PO</t>
        </is>
      </c>
      <c r="E55" s="213" t="inlineStr">
        <is>
          <t>Cust. Ref No.</t>
        </is>
      </c>
      <c r="F55" s="213" t="inlineStr">
        <is>
          <t>Metal</t>
        </is>
      </c>
      <c r="G55" s="213" t="inlineStr">
        <is>
          <t>Q'ty</t>
        </is>
      </c>
      <c r="H55" s="214" t="inlineStr">
        <is>
          <t>Total w't</t>
        </is>
      </c>
      <c r="I55" s="214" t="inlineStr">
        <is>
          <t>Dia w't</t>
        </is>
      </c>
      <c r="J55" s="214" t="inlineStr">
        <is>
          <t>Wire w't</t>
        </is>
      </c>
      <c r="K55" s="215" t="inlineStr">
        <is>
          <t>Gold w't</t>
        </is>
      </c>
      <c r="L55" s="215" t="inlineStr">
        <is>
          <t>Stone</t>
        </is>
      </c>
      <c r="M55" s="215" t="inlineStr">
        <is>
          <t>Color</t>
        </is>
      </c>
      <c r="N55" s="215" t="inlineStr">
        <is>
          <t>Stone Q'ty</t>
        </is>
      </c>
      <c r="O55" s="216" t="inlineStr">
        <is>
          <t>Labor</t>
        </is>
      </c>
      <c r="P55" s="216" t="inlineStr">
        <is>
          <t>Dia Carat</t>
        </is>
      </c>
      <c r="Q55" s="217" t="inlineStr">
        <is>
          <t>Extra Cost</t>
        </is>
      </c>
      <c r="R55" s="217" t="inlineStr">
        <is>
          <t>Dia Packaging Cost</t>
        </is>
      </c>
      <c r="S55" s="217" t="inlineStr">
        <is>
          <t>Dia Handling Service Fee</t>
        </is>
      </c>
      <c r="T55" s="217" t="inlineStr">
        <is>
          <t>Wire
Cost</t>
        </is>
      </c>
      <c r="U55" s="217" t="inlineStr">
        <is>
          <t>Plating Cost</t>
        </is>
      </c>
      <c r="V55" s="217" t="inlineStr">
        <is>
          <t>Stone
Cost</t>
        </is>
      </c>
      <c r="W55" s="217" t="inlineStr">
        <is>
          <t>Setting
Cost</t>
        </is>
      </c>
      <c r="X55" s="218" t="inlineStr">
        <is>
          <t>Labor
Cost</t>
        </is>
      </c>
      <c r="Y55" s="219" t="inlineStr">
        <is>
          <t>Gold &amp; 5%
Cost</t>
        </is>
      </c>
      <c r="Z55" s="218" t="inlineStr">
        <is>
          <t>Current Gold &amp;
5% Cost</t>
        </is>
      </c>
      <c r="AA55" s="233" t="n"/>
      <c r="AB55" s="233" t="n"/>
      <c r="AC55" s="233" t="n"/>
      <c r="AD55" s="233" t="n"/>
      <c r="AE55" s="233" t="n"/>
      <c r="AF55" s="220" t="n"/>
      <c r="AG55" s="220" t="n"/>
    </row>
    <row r="56" ht="27.75" customFormat="1" customHeight="1" s="220">
      <c r="A56" s="221" t="inlineStr">
        <is>
          <t>ELI250408RB-14K</t>
        </is>
      </c>
      <c r="B56" s="222" t="inlineStr">
        <is>
          <t>K0234B05 6.5"</t>
        </is>
      </c>
      <c r="C56" s="222" t="n"/>
      <c r="D56" s="222" t="n"/>
      <c r="E56" s="222" t="n"/>
      <c r="F56" s="244" t="inlineStr">
        <is>
          <t>14K WG</t>
        </is>
      </c>
      <c r="G56" s="223" t="n">
        <v>1</v>
      </c>
      <c r="H56" s="245" t="n">
        <v>16.97</v>
      </c>
      <c r="I56" s="246" t="n">
        <v>1.14</v>
      </c>
      <c r="J56" s="246" t="n">
        <v>0.44</v>
      </c>
      <c r="K56" s="247">
        <f>H56-I56-J56</f>
        <v/>
      </c>
      <c r="L56" s="227" t="n">
        <v>2.95</v>
      </c>
      <c r="M56" s="227" t="inlineStr">
        <is>
          <t>W</t>
        </is>
      </c>
      <c r="N56" s="228" t="n">
        <v>53</v>
      </c>
      <c r="O56" s="229" t="n">
        <v>8.5</v>
      </c>
      <c r="P56" s="230" t="n">
        <v>5.705</v>
      </c>
      <c r="Q56" s="231">
        <f>G56*0.5</f>
        <v/>
      </c>
      <c r="R56" s="231" t="n"/>
      <c r="S56" s="231">
        <f>G56*0.02*N56</f>
        <v/>
      </c>
      <c r="T56" s="231">
        <f>G56*2.3</f>
        <v/>
      </c>
      <c r="U56" s="231">
        <f>IF(RIGHT(F56,2)="WG",K56*$AA$4,IF(OR(RIGHT(F56,3)="WRG",RIGHT(F56,3)="WYG",RIGHT(F56,3)="WYR"),K56*$AA$4+3*G56,0))</f>
        <v/>
      </c>
      <c r="V56" s="231" t="n"/>
      <c r="W56" s="231">
        <f>G56*N56*0.5</f>
        <v/>
      </c>
      <c r="X56" s="231">
        <f>K56*O56</f>
        <v/>
      </c>
      <c r="Y56" s="231">
        <f>($Y$54/31.1035*IF(LEFT(F56,3)="10K",(0.417*1.07*K56),IF(LEFT(F56,3)="14K",(0.585*1.05*K56),IF(LEFT(F56,3)="18K",(0.75*1.05*K56),0))))*0.5</f>
        <v/>
      </c>
      <c r="Z56" s="232">
        <f>($Z$54/31.1035*IF(LEFT(F56,3)="10K",(0.417*1.07*K56),IF(LEFT(F56,3)="14K",(0.585*1.05*K56),IF(LEFT(F56,3)="18K",(0.75*1.05*K56),0))))*0.5</f>
        <v/>
      </c>
      <c r="AA56" s="233">
        <f>2*K56</f>
        <v/>
      </c>
      <c r="AB56" s="233" t="n">
        <v>134.0886</v>
      </c>
      <c r="AC56" s="233" t="n">
        <v>1774.85714</v>
      </c>
      <c r="AD56" s="233" t="n">
        <v>1908.94574</v>
      </c>
      <c r="AE56" s="233">
        <f>IF(LEFT(F56,3)="10K",(0.417*1.07*K56),IF(LEFT(F56,3)="14K",(0.585*1.05*K56),IF(LEFT(F56,3)="18K",(0.75*1.05*K56),0)))</f>
        <v/>
      </c>
      <c r="AG56" s="249">
        <f>IF(AF56&gt;0,AF56*K56,X56)</f>
        <v/>
      </c>
    </row>
    <row r="57" ht="15.75" customFormat="1" customHeight="1" s="234">
      <c r="A57" s="235" t="inlineStr">
        <is>
          <t>SUBTOTAL</t>
        </is>
      </c>
      <c r="B57" s="236" t="n"/>
      <c r="C57" s="236" t="n"/>
      <c r="D57" s="236" t="n"/>
      <c r="E57" s="236" t="n"/>
      <c r="F57" s="236" t="n"/>
      <c r="G57" s="237">
        <f>SUM(G56)</f>
        <v/>
      </c>
      <c r="H57" s="250" t="n"/>
      <c r="I57" s="250" t="n"/>
      <c r="J57" s="250" t="n"/>
      <c r="K57" s="250">
        <f>SUM(K56)</f>
        <v/>
      </c>
      <c r="L57" s="239" t="n"/>
      <c r="M57" s="239" t="n"/>
      <c r="N57" s="239" t="n"/>
      <c r="O57" s="240" t="n"/>
      <c r="P57" s="241">
        <f>SUM(P56)</f>
        <v/>
      </c>
      <c r="Q57" s="242">
        <f>SUM(Q56)</f>
        <v/>
      </c>
      <c r="R57" s="242">
        <f>SUM(R56)</f>
        <v/>
      </c>
      <c r="S57" s="242">
        <f>SUM(S56)</f>
        <v/>
      </c>
      <c r="T57" s="242">
        <f>SUM(T56)</f>
        <v/>
      </c>
      <c r="U57" s="242">
        <f>SUM(U56)</f>
        <v/>
      </c>
      <c r="V57" s="242">
        <f>SUM(V56)</f>
        <v/>
      </c>
      <c r="W57" s="242">
        <f>SUM(W56)</f>
        <v/>
      </c>
      <c r="X57" s="242">
        <f>SUM(X56)</f>
        <v/>
      </c>
      <c r="Y57" s="242">
        <f>SUM(Y56)</f>
        <v/>
      </c>
      <c r="Z57" s="243">
        <f>SUM(Z56)</f>
        <v/>
      </c>
      <c r="AA57" s="233" t="n"/>
      <c r="AB57" s="233" t="n"/>
      <c r="AC57" s="233" t="n"/>
      <c r="AD57" s="233" t="n"/>
      <c r="AE57" s="233" t="n"/>
      <c r="AF57" s="220" t="n"/>
      <c r="AG57" s="220" t="n"/>
    </row>
    <row r="58" ht="15.75" customHeight="1" s="205">
      <c r="A58" s="206" t="inlineStr">
        <is>
          <t>Buyer Dia</t>
        </is>
      </c>
      <c r="H58" s="253" t="n"/>
      <c r="I58" s="253" t="n"/>
      <c r="J58" s="253" t="n"/>
      <c r="K58" s="254" t="n"/>
      <c r="L58" s="207" t="n"/>
      <c r="M58" s="207" t="n"/>
      <c r="N58" s="207" t="n"/>
      <c r="O58" s="255" t="n"/>
      <c r="W58" s="208" t="n"/>
      <c r="X58" s="209" t="inlineStr">
        <is>
          <t>23 Apr London AM + 2%</t>
        </is>
      </c>
      <c r="Y58" s="210">
        <f>1.02*3332.85</f>
        <v/>
      </c>
      <c r="Z58" s="210">
        <f>1.02*3332.85</f>
        <v/>
      </c>
      <c r="AA58" s="233" t="n"/>
      <c r="AB58" s="233" t="n"/>
      <c r="AC58" s="233" t="n"/>
      <c r="AD58" s="233" t="n"/>
      <c r="AE58" s="233" t="n"/>
      <c r="AF58" s="220" t="n"/>
      <c r="AG58" s="220" t="n"/>
    </row>
    <row r="59" ht="27" customFormat="1" customHeight="1" s="211">
      <c r="A59" s="212" t="inlineStr">
        <is>
          <t>PO#</t>
        </is>
      </c>
      <c r="B59" s="213" t="inlineStr">
        <is>
          <t>Item No.</t>
        </is>
      </c>
      <c r="C59" s="213" t="inlineStr">
        <is>
          <t>Buyer No.</t>
        </is>
      </c>
      <c r="D59" s="213" t="inlineStr">
        <is>
          <t>Buyer PO</t>
        </is>
      </c>
      <c r="E59" s="213" t="inlineStr">
        <is>
          <t>IDD PO SERIAL#</t>
        </is>
      </c>
      <c r="F59" s="213" t="inlineStr">
        <is>
          <t>Metal</t>
        </is>
      </c>
      <c r="G59" s="213" t="inlineStr">
        <is>
          <t>Q'ty</t>
        </is>
      </c>
      <c r="H59" s="256" t="inlineStr">
        <is>
          <t>Total w't</t>
        </is>
      </c>
      <c r="I59" s="256" t="inlineStr">
        <is>
          <t>Dia w't</t>
        </is>
      </c>
      <c r="J59" s="256" t="inlineStr">
        <is>
          <t>Wire w't</t>
        </is>
      </c>
      <c r="K59" s="256" t="inlineStr">
        <is>
          <t>Gold w't</t>
        </is>
      </c>
      <c r="L59" s="215" t="inlineStr">
        <is>
          <t>Stone</t>
        </is>
      </c>
      <c r="M59" s="215" t="inlineStr">
        <is>
          <t>Color</t>
        </is>
      </c>
      <c r="N59" s="215" t="inlineStr">
        <is>
          <t>Stone Q'ty</t>
        </is>
      </c>
      <c r="O59" s="257" t="inlineStr">
        <is>
          <t>Labor</t>
        </is>
      </c>
      <c r="P59" s="216" t="inlineStr">
        <is>
          <t>Dia Carat</t>
        </is>
      </c>
      <c r="Q59" s="217" t="inlineStr">
        <is>
          <t>Tag Cost</t>
        </is>
      </c>
      <c r="R59" s="217" t="inlineStr">
        <is>
          <t>Dia Packaging Cost</t>
        </is>
      </c>
      <c r="S59" s="217" t="inlineStr">
        <is>
          <t>Dia Handling Service Fee</t>
        </is>
      </c>
      <c r="T59" s="217" t="inlineStr">
        <is>
          <t>Wire
Cost</t>
        </is>
      </c>
      <c r="U59" s="217" t="inlineStr">
        <is>
          <t>Plating Cost</t>
        </is>
      </c>
      <c r="V59" s="217" t="inlineStr">
        <is>
          <t>Stone
Cost</t>
        </is>
      </c>
      <c r="W59" s="217" t="inlineStr">
        <is>
          <t>Setting
Cost</t>
        </is>
      </c>
      <c r="X59" s="218" t="inlineStr">
        <is>
          <t>Labor
Cost</t>
        </is>
      </c>
      <c r="Y59" s="219" t="inlineStr">
        <is>
          <t>Gold &amp; 5%
Cost</t>
        </is>
      </c>
      <c r="Z59" s="218" t="inlineStr">
        <is>
          <t>Current Gold &amp;
5% Cost</t>
        </is>
      </c>
      <c r="AA59" s="233" t="n"/>
      <c r="AB59" s="233" t="n"/>
      <c r="AC59" s="233" t="n"/>
      <c r="AD59" s="233" t="n"/>
      <c r="AE59" s="233" t="n"/>
      <c r="AF59" s="220" t="n"/>
      <c r="AG59" s="220" t="n"/>
    </row>
    <row r="60" ht="27" customFormat="1" customHeight="1" s="220">
      <c r="A60" s="221" t="inlineStr">
        <is>
          <t>ELI250415RB-14K-1</t>
        </is>
      </c>
      <c r="B60" s="244" t="inlineStr">
        <is>
          <t>K0038R03 #6.5</t>
        </is>
      </c>
      <c r="C60" s="244" t="n"/>
      <c r="D60" s="244" t="n"/>
      <c r="E60" s="244" t="n"/>
      <c r="F60" s="244" t="inlineStr">
        <is>
          <t>14K WG</t>
        </is>
      </c>
      <c r="G60" s="251" t="n">
        <v>16</v>
      </c>
      <c r="H60" s="258" t="n">
        <v>47.79</v>
      </c>
      <c r="I60" s="258" t="n">
        <v>3.2</v>
      </c>
      <c r="J60" s="258" t="n"/>
      <c r="K60" s="259">
        <f>H60-I60-J60</f>
        <v/>
      </c>
      <c r="L60" s="227" t="n">
        <v>3.75</v>
      </c>
      <c r="M60" s="227" t="inlineStr">
        <is>
          <t>W</t>
        </is>
      </c>
      <c r="N60" s="228" t="n">
        <v>5</v>
      </c>
      <c r="O60" s="229" t="n">
        <v>5.5</v>
      </c>
      <c r="P60" s="230" t="n">
        <v>15.745</v>
      </c>
      <c r="Q60" s="231">
        <f>0.5*G60</f>
        <v/>
      </c>
      <c r="R60" s="231" t="n"/>
      <c r="S60" s="231">
        <f>0.02*N60*G60</f>
        <v/>
      </c>
      <c r="T60" s="231" t="n"/>
      <c r="U60" s="231">
        <f>IF(RIGHT(F60,2)="WG",K60*$AB$4,IF(RIGHT(F60,3)="WRG",K60*$AB$4+3*G60,IF(RIGHT(F60,3)="WYG",K60*$AB$4+3*G60,IF(RIGHT(F60,3)="WYR",K60*$AB$4+3*G60,0))))</f>
        <v/>
      </c>
      <c r="V60" s="231" t="n"/>
      <c r="W60" s="231">
        <f>G60*N60*0.75</f>
        <v/>
      </c>
      <c r="X60" s="231">
        <f>K60*O60</f>
        <v/>
      </c>
      <c r="Y60" s="231">
        <f>($Y$58/31.1035*IF(LEFT(F60,3)="10K",(0.417*1.07*K60),IF(LEFT(F60,3)="14K",(0.585*1.05*K60),IF(LEFT(F60,3)="18K",(0.75*1.05*K60),0))))*0.5</f>
        <v/>
      </c>
      <c r="Z60" s="232">
        <f>($Z$58/31.1035*IF(LEFT(F60,3)="10K",(0.417*1.07*K60),IF(LEFT(F60,3)="14K",(0.585*1.05*K60),IF(LEFT(F60,3)="18K",(0.75*1.05*K60),0))))*0.5</f>
        <v/>
      </c>
      <c r="AA60" s="233">
        <f>2*K60</f>
        <v/>
      </c>
      <c r="AB60" s="233" t="n">
        <v>225.665</v>
      </c>
      <c r="AC60" s="233" t="n">
        <v>4991.92834</v>
      </c>
      <c r="AD60" s="233" t="n">
        <v>5217.59334</v>
      </c>
      <c r="AE60" s="233">
        <f>IF(LEFT(F60,3)="10K",(0.417*1.07*K60),IF(LEFT(F60,3)="14K",(0.585*1.05*K60),IF(LEFT(F60,3)="18K",(0.75*1.05*K60),0)))</f>
        <v/>
      </c>
      <c r="AG60" s="249">
        <f>IF(AF60&gt;0,AF60*K60,X60)</f>
        <v/>
      </c>
    </row>
    <row r="61" ht="27" customFormat="1" customHeight="1" s="220">
      <c r="A61" s="221" t="n">
        <v>20</v>
      </c>
      <c r="B61" s="244" t="inlineStr">
        <is>
          <t>K0038R03 #6.5</t>
        </is>
      </c>
      <c r="C61" s="244" t="n"/>
      <c r="D61" s="244" t="n"/>
      <c r="E61" s="244" t="n"/>
      <c r="F61" s="244" t="inlineStr">
        <is>
          <t>14K YG</t>
        </is>
      </c>
      <c r="G61" s="251" t="n">
        <v>26</v>
      </c>
      <c r="H61" s="258" t="n">
        <v>75.43000000000001</v>
      </c>
      <c r="I61" s="258" t="n">
        <v>5.17</v>
      </c>
      <c r="J61" s="258" t="n"/>
      <c r="K61" s="259">
        <f>H61-I61-J61</f>
        <v/>
      </c>
      <c r="L61" s="227" t="n">
        <v>3.75</v>
      </c>
      <c r="M61" s="227" t="inlineStr">
        <is>
          <t>W</t>
        </is>
      </c>
      <c r="N61" s="228" t="n">
        <v>5</v>
      </c>
      <c r="O61" s="229" t="n">
        <v>5.5</v>
      </c>
      <c r="P61" s="230" t="n">
        <v>25.535</v>
      </c>
      <c r="Q61" s="231">
        <f>0.5*G61</f>
        <v/>
      </c>
      <c r="R61" s="231" t="n"/>
      <c r="S61" s="231">
        <f>0.02*N61*G61</f>
        <v/>
      </c>
      <c r="T61" s="231" t="n"/>
      <c r="U61" s="231">
        <f>IF(RIGHT(F61,2)="WG",K61*$AB$4,IF(RIGHT(F61,3)="WRG",K61*$AB$4+3*G61,IF(RIGHT(F61,3)="WYG",K61*$AB$4+3*G61,IF(RIGHT(F61,3)="WYR",K61*$AB$4+3*G61,0))))</f>
        <v/>
      </c>
      <c r="V61" s="231" t="n"/>
      <c r="W61" s="231">
        <f>G61*N61*0.75</f>
        <v/>
      </c>
      <c r="X61" s="231">
        <f>K61*O61</f>
        <v/>
      </c>
      <c r="Y61" s="231">
        <f>($Y$58/31.1035*IF(LEFT(F61,3)="10K",(0.417*1.07*K61),IF(LEFT(F61,3)="14K",(0.585*1.05*K61),IF(LEFT(F61,3)="18K",(0.75*1.05*K61),0))))*0.5</f>
        <v/>
      </c>
      <c r="Z61" s="232">
        <f>($Z$58/31.1035*IF(LEFT(F61,3)="10K",(0.417*1.07*K61),IF(LEFT(F61,3)="14K",(0.585*1.05*K61),IF(LEFT(F61,3)="18K",(0.75*1.05*K61),0))))*0.5</f>
        <v/>
      </c>
      <c r="AA61" s="233">
        <f>2*K61</f>
        <v/>
      </c>
      <c r="AB61" s="233" t="n">
        <v>359.01</v>
      </c>
      <c r="AC61" s="233" t="n">
        <v>8004.93176</v>
      </c>
      <c r="AD61" s="233" t="n">
        <v>8363.94176</v>
      </c>
      <c r="AE61" s="233">
        <f>IF(LEFT(F61,3)="10K",(0.417*1.07*K61),IF(LEFT(F61,3)="14K",(0.585*1.05*K61),IF(LEFT(F61,3)="18K",(0.75*1.05*K61),0)))</f>
        <v/>
      </c>
      <c r="AG61" s="249">
        <f>IF(AF61&gt;0,AF61*K61,X61)</f>
        <v/>
      </c>
    </row>
    <row r="62" ht="27" customFormat="1" customHeight="1" s="220">
      <c r="A62" s="221" t="n">
        <v>2</v>
      </c>
      <c r="B62" s="244" t="inlineStr">
        <is>
          <t>K0038R05 #6.5</t>
        </is>
      </c>
      <c r="C62" s="244" t="n"/>
      <c r="D62" s="244" t="n"/>
      <c r="E62" s="244" t="n"/>
      <c r="F62" s="244" t="inlineStr">
        <is>
          <t>14K WG</t>
        </is>
      </c>
      <c r="G62" s="251" t="n">
        <v>24</v>
      </c>
      <c r="H62" s="258" t="n">
        <v>86.95999999999999</v>
      </c>
      <c r="I62" s="258" t="n">
        <v>7.89</v>
      </c>
      <c r="J62" s="258" t="n"/>
      <c r="K62" s="259">
        <f>H62-I62-J62</f>
        <v/>
      </c>
      <c r="L62" s="227" t="n">
        <v>4.4</v>
      </c>
      <c r="M62" s="227" t="inlineStr">
        <is>
          <t>W</t>
        </is>
      </c>
      <c r="N62" s="228" t="n">
        <v>5</v>
      </c>
      <c r="O62" s="229" t="n">
        <v>5.5</v>
      </c>
      <c r="P62" s="230" t="n">
        <v>39.23</v>
      </c>
      <c r="Q62" s="231">
        <f>0.5*G62</f>
        <v/>
      </c>
      <c r="R62" s="231" t="n"/>
      <c r="S62" s="231">
        <f>0.02*N62*G62</f>
        <v/>
      </c>
      <c r="T62" s="231" t="n"/>
      <c r="U62" s="231">
        <f>IF(RIGHT(F62,2)="WG",K62*$AB$4,IF(RIGHT(F62,3)="WRG",K62*$AB$4+3*G62,IF(RIGHT(F62,3)="WYG",K62*$AB$4+3*G62,IF(RIGHT(F62,3)="WYR",K62*$AB$4+3*G62,0))))</f>
        <v/>
      </c>
      <c r="V62" s="231" t="n"/>
      <c r="W62" s="231">
        <f>G62*N62*1.5</f>
        <v/>
      </c>
      <c r="X62" s="231">
        <f>K62*O62</f>
        <v/>
      </c>
      <c r="Y62" s="231">
        <f>($Y$58/31.1035*IF(LEFT(F62,3)="10K",(0.417*1.07*K62),IF(LEFT(F62,3)="14K",(0.585*1.05*K62),IF(LEFT(F62,3)="18K",(0.75*1.05*K62),0))))*0.5</f>
        <v/>
      </c>
      <c r="Z62" s="232">
        <f>($Z$58/31.1035*IF(LEFT(F62,3)="10K",(0.417*1.07*K62),IF(LEFT(F62,3)="14K",(0.585*1.05*K62),IF(LEFT(F62,3)="18K",(0.75*1.05*K62),0))))*0.5</f>
        <v/>
      </c>
      <c r="AA62" s="233">
        <f>2*K62</f>
        <v/>
      </c>
      <c r="AB62" s="233" t="n">
        <v>471.145</v>
      </c>
      <c r="AC62" s="233" t="n">
        <v>11021.26382</v>
      </c>
      <c r="AD62" s="233" t="n">
        <v>11492.40882</v>
      </c>
      <c r="AE62" s="233">
        <f>IF(LEFT(F62,3)="10K",(0.417*1.07*K62),IF(LEFT(F62,3)="14K",(0.585*1.05*K62),IF(LEFT(F62,3)="18K",(0.75*1.05*K62),0)))</f>
        <v/>
      </c>
      <c r="AG62" s="249">
        <f>IF(AF62&gt;0,AF62*K62,X62)</f>
        <v/>
      </c>
    </row>
    <row r="63" ht="27" customFormat="1" customHeight="1" s="220">
      <c r="A63" s="221" t="n">
        <v>20</v>
      </c>
      <c r="B63" s="244" t="inlineStr">
        <is>
          <t>K0038R05 #6.5</t>
        </is>
      </c>
      <c r="C63" s="244" t="n"/>
      <c r="D63" s="244" t="n"/>
      <c r="E63" s="244" t="n"/>
      <c r="F63" s="244" t="inlineStr">
        <is>
          <t>14K YG</t>
        </is>
      </c>
      <c r="G63" s="251" t="n">
        <v>19</v>
      </c>
      <c r="H63" s="258" t="n">
        <v>66.75</v>
      </c>
      <c r="I63" s="258" t="n">
        <v>6.25</v>
      </c>
      <c r="J63" s="258" t="n"/>
      <c r="K63" s="259">
        <f>H63-I63-J63</f>
        <v/>
      </c>
      <c r="L63" s="227" t="n">
        <v>4.4</v>
      </c>
      <c r="M63" s="227" t="inlineStr">
        <is>
          <t>W</t>
        </is>
      </c>
      <c r="N63" s="228" t="n">
        <v>5</v>
      </c>
      <c r="O63" s="229" t="n">
        <v>5.5</v>
      </c>
      <c r="P63" s="230" t="n">
        <v>31.225</v>
      </c>
      <c r="Q63" s="231">
        <f>0.5*G63</f>
        <v/>
      </c>
      <c r="R63" s="231" t="n"/>
      <c r="S63" s="231">
        <f>0.02*N63*G63</f>
        <v/>
      </c>
      <c r="T63" s="231" t="n"/>
      <c r="U63" s="231">
        <f>IF(RIGHT(F63,2)="WG",K63*$AB$4,IF(RIGHT(F63,3)="WRG",K63*$AB$4+3*G63,IF(RIGHT(F63,3)="WYG",K63*$AB$4+3*G63,IF(RIGHT(F63,3)="WYR",K63*$AB$4+3*G63,0))))</f>
        <v/>
      </c>
      <c r="V63" s="231" t="n"/>
      <c r="W63" s="231">
        <f>G63*N63*1.5</f>
        <v/>
      </c>
      <c r="X63" s="231">
        <f>K63*O63</f>
        <v/>
      </c>
      <c r="Y63" s="231">
        <f>($Y$58/31.1035*IF(LEFT(F63,3)="10K",(0.417*1.07*K63),IF(LEFT(F63,3)="14K",(0.585*1.05*K63),IF(LEFT(F63,3)="18K",(0.75*1.05*K63),0))))*0.5</f>
        <v/>
      </c>
      <c r="Z63" s="232">
        <f>($Z$58/31.1035*IF(LEFT(F63,3)="10K",(0.417*1.07*K63),IF(LEFT(F63,3)="14K",(0.585*1.05*K63),IF(LEFT(F63,3)="18K",(0.75*1.05*K63),0))))*0.5</f>
        <v/>
      </c>
      <c r="AA63" s="233">
        <f>2*K63</f>
        <v/>
      </c>
      <c r="AB63" s="233" t="n">
        <v>365.65</v>
      </c>
      <c r="AC63" s="233" t="n">
        <v>8664.628000000001</v>
      </c>
      <c r="AD63" s="233" t="n">
        <v>9030.278</v>
      </c>
      <c r="AE63" s="233">
        <f>IF(LEFT(F63,3)="10K",(0.417*1.07*K63),IF(LEFT(F63,3)="14K",(0.585*1.05*K63),IF(LEFT(F63,3)="18K",(0.75*1.05*K63),0)))</f>
        <v/>
      </c>
      <c r="AG63" s="249">
        <f>IF(AF63&gt;0,AF63*K63,X63)</f>
        <v/>
      </c>
    </row>
    <row r="64" ht="27" customFormat="1" customHeight="1" s="220">
      <c r="A64" s="221" t="n">
        <v>3</v>
      </c>
      <c r="B64" s="244" t="inlineStr">
        <is>
          <t>K0038R11 #6.5</t>
        </is>
      </c>
      <c r="C64" s="244" t="n"/>
      <c r="D64" s="244" t="n"/>
      <c r="E64" s="244" t="n"/>
      <c r="F64" s="244" t="inlineStr">
        <is>
          <t>14K WG</t>
        </is>
      </c>
      <c r="G64" s="251" t="n">
        <v>29</v>
      </c>
      <c r="H64" s="258" t="n">
        <v>74.48</v>
      </c>
      <c r="I64" s="258" t="n">
        <v>5.4</v>
      </c>
      <c r="J64" s="258" t="n"/>
      <c r="K64" s="259">
        <f>H64-I64-J64</f>
        <v/>
      </c>
      <c r="L64" s="227" t="n">
        <v>3.25</v>
      </c>
      <c r="M64" s="227" t="inlineStr">
        <is>
          <t>W</t>
        </is>
      </c>
      <c r="N64" s="228" t="n">
        <v>7</v>
      </c>
      <c r="O64" s="229" t="n">
        <v>5.5</v>
      </c>
      <c r="P64" s="230" t="n">
        <v>26.79</v>
      </c>
      <c r="Q64" s="231">
        <f>0.5*G64</f>
        <v/>
      </c>
      <c r="R64" s="231" t="n"/>
      <c r="S64" s="231">
        <f>0.02*N64*G64</f>
        <v/>
      </c>
      <c r="T64" s="231" t="n"/>
      <c r="U64" s="231">
        <f>IF(RIGHT(F64,2)="WG",K64*$AB$4,IF(RIGHT(F64,3)="WRG",K64*$AB$4+3*G64,IF(RIGHT(F64,3)="WYG",K64*$AB$4+3*G64,IF(RIGHT(F64,3)="WYR",K64*$AB$4+3*G64,0))))</f>
        <v/>
      </c>
      <c r="V64" s="231" t="n"/>
      <c r="W64" s="231">
        <f>G64*N64*0.5</f>
        <v/>
      </c>
      <c r="X64" s="231">
        <f>K64*O64</f>
        <v/>
      </c>
      <c r="Y64" s="231">
        <f>($Y$58/31.1035*IF(LEFT(F64,3)="10K",(0.417*1.07*K64),IF(LEFT(F64,3)="14K",(0.585*1.05*K64),IF(LEFT(F64,3)="18K",(0.75*1.05*K64),0))))*0.5</f>
        <v/>
      </c>
      <c r="Z64" s="232">
        <f>($Z$58/31.1035*IF(LEFT(F64,3)="10K",(0.417*1.07*K64),IF(LEFT(F64,3)="14K",(0.585*1.05*K64),IF(LEFT(F64,3)="18K",(0.75*1.05*K64),0))))*0.5</f>
        <v/>
      </c>
      <c r="AA64" s="233">
        <f>2*K64</f>
        <v/>
      </c>
      <c r="AB64" s="233" t="n">
        <v>361.84</v>
      </c>
      <c r="AC64" s="233" t="n">
        <v>8193.45408</v>
      </c>
      <c r="AD64" s="233" t="n">
        <v>8555.29408</v>
      </c>
      <c r="AE64" s="233">
        <f>IF(LEFT(F64,3)="10K",(0.417*1.07*K64),IF(LEFT(F64,3)="14K",(0.585*1.05*K64),IF(LEFT(F64,3)="18K",(0.75*1.05*K64),0)))</f>
        <v/>
      </c>
      <c r="AG64" s="249">
        <f>IF(AF64&gt;0,AF64*K64,X64)</f>
        <v/>
      </c>
    </row>
    <row r="65" ht="27" customFormat="1" customHeight="1" s="220">
      <c r="A65" s="221" t="n">
        <v>20</v>
      </c>
      <c r="B65" s="244" t="inlineStr">
        <is>
          <t>K0038R11 #6.5</t>
        </is>
      </c>
      <c r="C65" s="244" t="n"/>
      <c r="D65" s="244" t="n"/>
      <c r="E65" s="244" t="n"/>
      <c r="F65" s="244" t="inlineStr">
        <is>
          <t>14K YG</t>
        </is>
      </c>
      <c r="G65" s="251" t="n">
        <v>17</v>
      </c>
      <c r="H65" s="258" t="n">
        <v>42.25</v>
      </c>
      <c r="I65" s="258" t="n">
        <v>3.15</v>
      </c>
      <c r="J65" s="258" t="n"/>
      <c r="K65" s="259">
        <f>H65-I65-J65</f>
        <v/>
      </c>
      <c r="L65" s="227" t="n">
        <v>3.25</v>
      </c>
      <c r="M65" s="227" t="inlineStr">
        <is>
          <t>W</t>
        </is>
      </c>
      <c r="N65" s="228" t="n">
        <v>7</v>
      </c>
      <c r="O65" s="229" t="n">
        <v>5.5</v>
      </c>
      <c r="P65" s="230" t="n">
        <v>15.575</v>
      </c>
      <c r="Q65" s="231">
        <f>0.5*G65</f>
        <v/>
      </c>
      <c r="R65" s="231" t="n"/>
      <c r="S65" s="231">
        <f>0.02*N65*G65</f>
        <v/>
      </c>
      <c r="T65" s="231" t="n"/>
      <c r="U65" s="231">
        <f>IF(RIGHT(F65,2)="WG",K65*$AB$4,IF(RIGHT(F65,3)="WRG",K65*$AB$4+3*G65,IF(RIGHT(F65,3)="WYG",K65*$AB$4+3*G65,IF(RIGHT(F65,3)="WYR",K65*$AB$4+3*G65,0))))</f>
        <v/>
      </c>
      <c r="V65" s="231" t="n"/>
      <c r="W65" s="231">
        <f>G65*N65*0.5</f>
        <v/>
      </c>
      <c r="X65" s="231">
        <f>K65*O65</f>
        <v/>
      </c>
      <c r="Y65" s="231">
        <f>($Y$58/31.1035*IF(LEFT(F65,3)="10K",(0.417*1.07*K65),IF(LEFT(F65,3)="14K",(0.585*1.05*K65),IF(LEFT(F65,3)="18K",(0.75*1.05*K65),0))))*0.5</f>
        <v/>
      </c>
      <c r="Z65" s="232">
        <f>($Z$58/31.1035*IF(LEFT(F65,3)="10K",(0.417*1.07*K65),IF(LEFT(F65,3)="14K",(0.585*1.05*K65),IF(LEFT(F65,3)="18K",(0.75*1.05*K65),0))))*0.5</f>
        <v/>
      </c>
      <c r="AA65" s="233">
        <f>2*K65</f>
        <v/>
      </c>
      <c r="AB65" s="233" t="n">
        <v>207.23</v>
      </c>
      <c r="AC65" s="233" t="n">
        <v>4716.5216</v>
      </c>
      <c r="AD65" s="233" t="n">
        <v>4923.7516</v>
      </c>
      <c r="AE65" s="233">
        <f>IF(LEFT(F65,3)="10K",(0.417*1.07*K65),IF(LEFT(F65,3)="14K",(0.585*1.05*K65),IF(LEFT(F65,3)="18K",(0.75*1.05*K65),0)))</f>
        <v/>
      </c>
      <c r="AG65" s="249">
        <f>IF(AF65&gt;0,AF65*K65,X65)</f>
        <v/>
      </c>
    </row>
    <row r="66" ht="27" customFormat="1" customHeight="1" s="220">
      <c r="A66" s="221" t="n">
        <v>4</v>
      </c>
      <c r="B66" s="244" t="inlineStr">
        <is>
          <t>K0038R15 #6.5</t>
        </is>
      </c>
      <c r="C66" s="244" t="n"/>
      <c r="D66" s="244" t="n"/>
      <c r="E66" s="244" t="n"/>
      <c r="F66" s="244" t="inlineStr">
        <is>
          <t>14K WG</t>
        </is>
      </c>
      <c r="G66" s="251" t="n">
        <v>4</v>
      </c>
      <c r="H66" s="258" t="n">
        <v>16.25</v>
      </c>
      <c r="I66" s="258" t="n">
        <v>2.02</v>
      </c>
      <c r="J66" s="258" t="n"/>
      <c r="K66" s="259">
        <f>H66-I66-J66</f>
        <v/>
      </c>
      <c r="L66" s="227" t="n">
        <v>4.5</v>
      </c>
      <c r="M66" s="227" t="inlineStr">
        <is>
          <t>W</t>
        </is>
      </c>
      <c r="N66" s="228" t="n">
        <v>7</v>
      </c>
      <c r="O66" s="229" t="n">
        <v>5.5</v>
      </c>
      <c r="P66" s="230" t="n">
        <v>10.165</v>
      </c>
      <c r="Q66" s="231">
        <f>0.5*G66</f>
        <v/>
      </c>
      <c r="R66" s="231" t="n"/>
      <c r="S66" s="231">
        <f>0.02*N66*G66</f>
        <v/>
      </c>
      <c r="T66" s="231" t="n"/>
      <c r="U66" s="231">
        <f>IF(RIGHT(F66,2)="WG",K66*$AB$4,IF(RIGHT(F66,3)="WRG",K66*$AB$4+3*G66,IF(RIGHT(F66,3)="WYG",K66*$AB$4+3*G66,IF(RIGHT(F66,3)="WYR",K66*$AB$4+3*G66,0))))</f>
        <v/>
      </c>
      <c r="V66" s="231" t="n"/>
      <c r="W66" s="231">
        <f>G66*N66*1.5</f>
        <v/>
      </c>
      <c r="X66" s="231">
        <f>K66*O66</f>
        <v/>
      </c>
      <c r="Y66" s="231">
        <f>($Y$58/31.1035*IF(LEFT(F66,3)="10K",(0.417*1.07*K66),IF(LEFT(F66,3)="14K",(0.585*1.05*K66),IF(LEFT(F66,3)="18K",(0.75*1.05*K66),0))))*0.5</f>
        <v/>
      </c>
      <c r="Z66" s="232">
        <f>($Z$58/31.1035*IF(LEFT(F66,3)="10K",(0.417*1.07*K66),IF(LEFT(F66,3)="14K",(0.585*1.05*K66),IF(LEFT(F66,3)="18K",(0.75*1.05*K66),0))))*0.5</f>
        <v/>
      </c>
      <c r="AA66" s="233">
        <f>2*K66</f>
        <v/>
      </c>
      <c r="AB66" s="233" t="n">
        <v>94.36499999999999</v>
      </c>
      <c r="AC66" s="233" t="n">
        <v>2578.98298</v>
      </c>
      <c r="AD66" s="233" t="n">
        <v>2673.34798</v>
      </c>
      <c r="AE66" s="233">
        <f>IF(LEFT(F66,3)="10K",(0.417*1.07*K66),IF(LEFT(F66,3)="14K",(0.585*1.05*K66),IF(LEFT(F66,3)="18K",(0.75*1.05*K66),0)))</f>
        <v/>
      </c>
      <c r="AG66" s="249">
        <f>IF(AF66&gt;0,AF66*K66,X66)</f>
        <v/>
      </c>
    </row>
    <row r="67" ht="27" customFormat="1" customHeight="1" s="220">
      <c r="A67" s="221" t="n">
        <v>5</v>
      </c>
      <c r="B67" s="244" t="inlineStr">
        <is>
          <t>K0639N165 16"+2"+2"</t>
        </is>
      </c>
      <c r="C67" s="244" t="n"/>
      <c r="D67" s="244" t="n"/>
      <c r="E67" s="244" t="n"/>
      <c r="F67" s="244" t="inlineStr">
        <is>
          <t>14K WG</t>
        </is>
      </c>
      <c r="G67" s="251" t="n">
        <v>9</v>
      </c>
      <c r="H67" s="258" t="n">
        <v>16.89</v>
      </c>
      <c r="I67" s="258" t="n">
        <v>0.89</v>
      </c>
      <c r="J67" s="258" t="n"/>
      <c r="K67" s="259">
        <f>H67-I67-J67</f>
        <v/>
      </c>
      <c r="L67" s="227" t="n">
        <v>2.5</v>
      </c>
      <c r="M67" s="227" t="inlineStr">
        <is>
          <t>W</t>
        </is>
      </c>
      <c r="N67" s="228" t="n">
        <v>8</v>
      </c>
      <c r="O67" s="229" t="inlineStr">
        <is>
          <t>$6.50/g+$2.00/st</t>
        </is>
      </c>
      <c r="P67" s="230" t="n">
        <v>4.43</v>
      </c>
      <c r="Q67" s="231">
        <f>0.5*G67</f>
        <v/>
      </c>
      <c r="R67" s="231" t="n"/>
      <c r="S67" s="231">
        <f>0.02*N67*G67</f>
        <v/>
      </c>
      <c r="T67" s="231" t="n"/>
      <c r="U67" s="231">
        <f>0.3*K67</f>
        <v/>
      </c>
      <c r="V67" s="231" t="n"/>
      <c r="W67" s="231">
        <f>G67*N67*1</f>
        <v/>
      </c>
      <c r="X67" s="231">
        <f>6.5*K67+2*8*G67</f>
        <v/>
      </c>
      <c r="Y67" s="231">
        <f>($Y$58/31.1035*IF(LEFT(F67,3)="10K",(0.417*1.07*K67),IF(LEFT(F67,3)="14K",(0.585*1.05*K67),IF(LEFT(F67,3)="18K",(0.75*1.05*K67),0))))*0.5</f>
        <v/>
      </c>
      <c r="Z67" s="232">
        <f>($Z$58/31.1035*IF(LEFT(F67,3)="10K",(0.417*1.07*K67),IF(LEFT(F67,3)="14K",(0.585*1.05*K67),IF(LEFT(F67,3)="18K",(0.75*1.05*K67),0))))*0.5</f>
        <v/>
      </c>
      <c r="AA67" s="233">
        <f>2*K67</f>
        <v/>
      </c>
      <c r="AB67" s="233" t="n">
        <v>298.74</v>
      </c>
      <c r="AC67" s="233" t="n">
        <v>1557.29</v>
      </c>
      <c r="AD67" s="233" t="n">
        <v>1856.03</v>
      </c>
      <c r="AE67" s="233">
        <f>IF(LEFT(F67,3)="10K",(0.417*1.07*K67),IF(LEFT(F67,3)="14K",(0.585*1.05*K67),IF(LEFT(F67,3)="18K",(0.75*1.05*K67),0)))</f>
        <v/>
      </c>
      <c r="AG67" s="249">
        <f>IF(AF67&gt;0,AF67*K67,X67)</f>
        <v/>
      </c>
    </row>
    <row r="68" ht="27.75" customFormat="1" customHeight="1" s="220">
      <c r="A68" s="221" t="n">
        <v>20</v>
      </c>
      <c r="B68" s="244" t="inlineStr">
        <is>
          <t>K0639N165 16"+2"+2"</t>
        </is>
      </c>
      <c r="C68" s="244" t="n"/>
      <c r="D68" s="244" t="n"/>
      <c r="E68" s="244" t="n"/>
      <c r="F68" s="244" t="inlineStr">
        <is>
          <t>14K YG</t>
        </is>
      </c>
      <c r="G68" s="251" t="n">
        <v>21</v>
      </c>
      <c r="H68" s="258" t="n">
        <v>39.86</v>
      </c>
      <c r="I68" s="258" t="n">
        <v>2.1</v>
      </c>
      <c r="J68" s="258" t="n"/>
      <c r="K68" s="259">
        <f>H68-I68-J68</f>
        <v/>
      </c>
      <c r="L68" s="227" t="n">
        <v>2.5</v>
      </c>
      <c r="M68" s="227" t="inlineStr">
        <is>
          <t>W</t>
        </is>
      </c>
      <c r="N68" s="228" t="n">
        <v>8</v>
      </c>
      <c r="O68" s="229" t="inlineStr">
        <is>
          <t>$6.50/g+$2.00/st</t>
        </is>
      </c>
      <c r="P68" s="230" t="n">
        <v>10.67</v>
      </c>
      <c r="Q68" s="231">
        <f>0.5*G68</f>
        <v/>
      </c>
      <c r="R68" s="231" t="n"/>
      <c r="S68" s="231">
        <f>0.02*N68*G68</f>
        <v/>
      </c>
      <c r="T68" s="231" t="n"/>
      <c r="U68" s="231">
        <f>IF(RIGHT(F68,2)="WG",K68*$AB$4,IF(RIGHT(F68,3)="WRG",K68*$AB$4+3*G68,IF(RIGHT(F68,3)="WYG",K68*$AB$4+3*G68,IF(RIGHT(F68,3)="WYR",K68*$AB$4+3*G68,0))))</f>
        <v/>
      </c>
      <c r="V68" s="231" t="n"/>
      <c r="W68" s="231">
        <f>G68*N68*1</f>
        <v/>
      </c>
      <c r="X68" s="231">
        <f>6.5*K68+2*8*G68</f>
        <v/>
      </c>
      <c r="Y68" s="231">
        <f>($Y$58/31.1035*IF(LEFT(F68,3)="10K",(0.417*1.07*K68),IF(LEFT(F68,3)="14K",(0.585*1.05*K68),IF(LEFT(F68,3)="18K",(0.75*1.05*K68),0))))*0.5</f>
        <v/>
      </c>
      <c r="Z68" s="232">
        <f>($Z$58/31.1035*IF(LEFT(F68,3)="10K",(0.417*1.07*K68),IF(LEFT(F68,3)="14K",(0.585*1.05*K68),IF(LEFT(F68,3)="18K",(0.75*1.05*K68),0))))*0.5</f>
        <v/>
      </c>
      <c r="AA68" s="233">
        <f>2*K68</f>
        <v/>
      </c>
      <c r="AB68" s="233" t="n">
        <v>687.78</v>
      </c>
      <c r="AC68" s="233" t="n">
        <v>3716.47976</v>
      </c>
      <c r="AD68" s="233" t="n">
        <v>4404.25976</v>
      </c>
      <c r="AE68" s="233">
        <f>IF(LEFT(F68,3)="10K",(0.417*1.07*K68),IF(LEFT(F68,3)="14K",(0.585*1.05*K68),IF(LEFT(F68,3)="18K",(0.75*1.05*K68),0)))</f>
        <v/>
      </c>
      <c r="AG68" s="249">
        <f>IF(AF68&gt;0,AF68*K68,X68)</f>
        <v/>
      </c>
    </row>
    <row r="69" ht="15.75" customFormat="1" customHeight="1" s="234">
      <c r="A69" s="235" t="inlineStr">
        <is>
          <t>SUBTOTAL</t>
        </is>
      </c>
      <c r="B69" s="236" t="n"/>
      <c r="C69" s="236" t="n"/>
      <c r="D69" s="236" t="n"/>
      <c r="E69" s="236" t="n"/>
      <c r="F69" s="236" t="n"/>
      <c r="G69" s="237">
        <f>SUM(G60:G68)</f>
        <v/>
      </c>
      <c r="H69" s="260" t="n"/>
      <c r="I69" s="260" t="n"/>
      <c r="J69" s="260" t="n"/>
      <c r="K69" s="260">
        <f>SUM(K60:K68)</f>
        <v/>
      </c>
      <c r="L69" s="239" t="n"/>
      <c r="M69" s="239" t="n"/>
      <c r="N69" s="239" t="n"/>
      <c r="O69" s="261" t="n"/>
      <c r="P69" s="241">
        <f>SUM(P60:P68)</f>
        <v/>
      </c>
      <c r="Q69" s="242">
        <f>SUM(Q60:Q68)</f>
        <v/>
      </c>
      <c r="R69" s="242">
        <f>SUM(R60:R68)</f>
        <v/>
      </c>
      <c r="S69" s="242">
        <f>SUM(S60:S68)</f>
        <v/>
      </c>
      <c r="T69" s="242">
        <f>SUM(T60:T68)</f>
        <v/>
      </c>
      <c r="U69" s="242">
        <f>SUM(U60:U68)</f>
        <v/>
      </c>
      <c r="V69" s="242">
        <f>SUM(V60:V68)</f>
        <v/>
      </c>
      <c r="W69" s="242">
        <f>SUM(W60:W68)</f>
        <v/>
      </c>
      <c r="X69" s="242">
        <f>SUM(X60:X68)</f>
        <v/>
      </c>
      <c r="Y69" s="242">
        <f>SUM(Y60:Y68)</f>
        <v/>
      </c>
      <c r="Z69" s="243">
        <f>SUM(Z60:Z68)</f>
        <v/>
      </c>
      <c r="AA69" s="233" t="n"/>
      <c r="AB69" s="233" t="n"/>
      <c r="AC69" s="233" t="n"/>
      <c r="AD69" s="233" t="n"/>
      <c r="AE69" s="233" t="n"/>
      <c r="AF69" s="220" t="n"/>
      <c r="AG69" s="220" t="n"/>
    </row>
    <row r="70" ht="15.75" customHeight="1" s="205">
      <c r="A70" s="206" t="inlineStr">
        <is>
          <t>Buyer Dia</t>
        </is>
      </c>
      <c r="H70" s="253" t="n"/>
      <c r="I70" s="253" t="n"/>
      <c r="J70" s="253" t="n"/>
      <c r="K70" s="254" t="n"/>
      <c r="L70" s="207" t="n"/>
      <c r="M70" s="207" t="n"/>
      <c r="N70" s="207" t="n"/>
      <c r="O70" s="255" t="n"/>
      <c r="W70" s="208" t="n"/>
      <c r="X70" s="209" t="inlineStr">
        <is>
          <t>23 Apr London AM + 2%</t>
        </is>
      </c>
      <c r="Y70" s="210">
        <f>1.02*3332.85</f>
        <v/>
      </c>
      <c r="Z70" s="210">
        <f>1.02*3332.85</f>
        <v/>
      </c>
      <c r="AA70" s="233" t="n"/>
      <c r="AB70" s="233" t="n"/>
      <c r="AC70" s="233" t="n"/>
      <c r="AD70" s="233" t="n"/>
      <c r="AE70" s="233" t="n"/>
      <c r="AF70" s="220" t="n"/>
      <c r="AG70" s="220" t="n"/>
    </row>
    <row r="71" ht="27" customFormat="1" customHeight="1" s="211">
      <c r="A71" s="212" t="inlineStr">
        <is>
          <t>PO#</t>
        </is>
      </c>
      <c r="B71" s="213" t="inlineStr">
        <is>
          <t>Item No.</t>
        </is>
      </c>
      <c r="C71" s="213" t="inlineStr">
        <is>
          <t>Buyer No.</t>
        </is>
      </c>
      <c r="D71" s="213" t="inlineStr">
        <is>
          <t>Buyer PO</t>
        </is>
      </c>
      <c r="E71" s="213" t="inlineStr">
        <is>
          <t>IDD PO SERIAL#</t>
        </is>
      </c>
      <c r="F71" s="213" t="inlineStr">
        <is>
          <t>Metal</t>
        </is>
      </c>
      <c r="G71" s="213" t="inlineStr">
        <is>
          <t>Q'ty</t>
        </is>
      </c>
      <c r="H71" s="256" t="inlineStr">
        <is>
          <t>Total w't</t>
        </is>
      </c>
      <c r="I71" s="256" t="inlineStr">
        <is>
          <t>Dia w't</t>
        </is>
      </c>
      <c r="J71" s="256" t="inlineStr">
        <is>
          <t>Wire w't</t>
        </is>
      </c>
      <c r="K71" s="256" t="inlineStr">
        <is>
          <t>Gold w't</t>
        </is>
      </c>
      <c r="L71" s="215" t="inlineStr">
        <is>
          <t>Stone</t>
        </is>
      </c>
      <c r="M71" s="215" t="inlineStr">
        <is>
          <t>Color</t>
        </is>
      </c>
      <c r="N71" s="215" t="inlineStr">
        <is>
          <t>Stone Q'ty</t>
        </is>
      </c>
      <c r="O71" s="257" t="inlineStr">
        <is>
          <t>Labor</t>
        </is>
      </c>
      <c r="P71" s="216" t="inlineStr">
        <is>
          <t>Dia Carat</t>
        </is>
      </c>
      <c r="Q71" s="217" t="inlineStr">
        <is>
          <t>Tag Cost</t>
        </is>
      </c>
      <c r="R71" s="217" t="inlineStr">
        <is>
          <t>Dia Packaging Cost</t>
        </is>
      </c>
      <c r="S71" s="217" t="inlineStr">
        <is>
          <t>Dia Handling Service Fee</t>
        </is>
      </c>
      <c r="T71" s="217" t="inlineStr">
        <is>
          <t>Wire
Cost</t>
        </is>
      </c>
      <c r="U71" s="217" t="inlineStr">
        <is>
          <t>Plating Cost</t>
        </is>
      </c>
      <c r="V71" s="217" t="inlineStr">
        <is>
          <t>Stone
Cost</t>
        </is>
      </c>
      <c r="W71" s="217" t="inlineStr">
        <is>
          <t>Setting
Cost</t>
        </is>
      </c>
      <c r="X71" s="218" t="inlineStr">
        <is>
          <t>Labor
Cost</t>
        </is>
      </c>
      <c r="Y71" s="219" t="inlineStr">
        <is>
          <t>Gold &amp; 5%
Cost</t>
        </is>
      </c>
      <c r="Z71" s="218" t="inlineStr">
        <is>
          <t>Current Gold &amp;
5% Cost</t>
        </is>
      </c>
      <c r="AA71" s="233" t="n"/>
      <c r="AB71" s="233" t="n"/>
      <c r="AC71" s="233" t="n"/>
      <c r="AD71" s="233" t="n"/>
      <c r="AE71" s="233" t="n"/>
      <c r="AF71" s="220" t="n"/>
      <c r="AG71" s="220" t="n"/>
    </row>
    <row r="72" ht="27" customFormat="1" customHeight="1" s="220">
      <c r="A72" s="221" t="inlineStr">
        <is>
          <t>ELI250415RB-14K-2</t>
        </is>
      </c>
      <c r="B72" s="244" t="inlineStr">
        <is>
          <t>K0639N154 16"+2"+2"</t>
        </is>
      </c>
      <c r="C72" s="244" t="n"/>
      <c r="D72" s="244" t="n"/>
      <c r="E72" s="244" t="n"/>
      <c r="F72" s="244" t="inlineStr">
        <is>
          <t>14K YG</t>
        </is>
      </c>
      <c r="G72" s="251" t="n">
        <v>40</v>
      </c>
      <c r="H72" s="262" t="n">
        <v>93.08</v>
      </c>
      <c r="I72" s="262" t="n">
        <v>8.42</v>
      </c>
      <c r="J72" s="262" t="n">
        <v>0</v>
      </c>
      <c r="K72" s="263">
        <f>H72-I72-J72</f>
        <v/>
      </c>
      <c r="L72" s="227" t="n">
        <v>2.6</v>
      </c>
      <c r="M72" s="227" t="inlineStr">
        <is>
          <t>W</t>
        </is>
      </c>
      <c r="N72" s="228" t="n">
        <v>15</v>
      </c>
      <c r="O72" s="264" t="n">
        <v>2</v>
      </c>
      <c r="P72" s="230" t="n">
        <v>42.505</v>
      </c>
      <c r="Q72" s="231">
        <f>0.5*G72</f>
        <v/>
      </c>
      <c r="R72" s="231" t="n"/>
      <c r="S72" s="231">
        <f>0.02*N72*G72</f>
        <v/>
      </c>
      <c r="T72" s="231" t="n"/>
      <c r="U72" s="231">
        <f>IF(RIGHT(F72,2)="WG",K72*$AB$4,IF(RIGHT(F72,3)="WRG",K72*$AB$4+3*G72,IF(RIGHT(F72,3)="WYG",K72*$AB$4+3*G72,IF(RIGHT(F72,3)="WYR",K72*$AB$4+3*G72,0))))</f>
        <v/>
      </c>
      <c r="V72" s="231" t="n"/>
      <c r="W72" s="231">
        <f>G72*N72*1</f>
        <v/>
      </c>
      <c r="X72" s="231">
        <f>18*O72*G72</f>
        <v/>
      </c>
      <c r="Y72" s="231">
        <f>($Y$70/31.1035*IF(LEFT(F72,3)="10K",(0.417*1.07*K72),IF(LEFT(F72,3)="14K",(0.585*1.05*K72),IF(LEFT(F72,3)="18K",(0.75*1.05*K72),0))))*0.5</f>
        <v/>
      </c>
      <c r="Z72" s="232">
        <f>($Z$70/31.1035*IF(LEFT(F72,3)="10K",(0.417*1.07*K72),IF(LEFT(F72,3)="14K",(0.585*1.05*K72),IF(LEFT(F72,3)="18K",(0.75*1.05*K72),0))))*0.5</f>
        <v/>
      </c>
      <c r="AA72" s="233">
        <f>2*K72</f>
        <v/>
      </c>
      <c r="AB72" s="233" t="n">
        <v>1902.68</v>
      </c>
      <c r="AC72" s="233" t="n">
        <v>11896.63216</v>
      </c>
      <c r="AD72" s="233" t="n">
        <v>13799.31216</v>
      </c>
      <c r="AE72" s="233">
        <f>IF(LEFT(F72,3)="10K",(0.417*1.07*K72),IF(LEFT(F72,3)="14K",(0.585*1.05*K72),IF(LEFT(F72,3)="18K",(0.75*1.05*K72),0)))</f>
        <v/>
      </c>
      <c r="AG72" s="249">
        <f>IF(AF72&gt;0,AF72*K72,X72)</f>
        <v/>
      </c>
    </row>
    <row r="73" ht="27" customFormat="1" customHeight="1" s="220">
      <c r="A73" s="221" t="n">
        <v>7</v>
      </c>
      <c r="B73" s="244" t="inlineStr">
        <is>
          <t>K0639N156 16"+2"+2"</t>
        </is>
      </c>
      <c r="C73" s="244" t="n"/>
      <c r="D73" s="244" t="n"/>
      <c r="E73" s="244" t="n"/>
      <c r="F73" s="244" t="inlineStr">
        <is>
          <t>14K YG</t>
        </is>
      </c>
      <c r="G73" s="251" t="n">
        <v>30</v>
      </c>
      <c r="H73" s="262" t="n">
        <v>99.47</v>
      </c>
      <c r="I73" s="262" t="n">
        <v>12.95</v>
      </c>
      <c r="J73" s="262" t="n">
        <v>0</v>
      </c>
      <c r="K73" s="263">
        <f>H73-I73-J73</f>
        <v/>
      </c>
      <c r="L73" s="227" t="n">
        <v>3.3</v>
      </c>
      <c r="M73" s="227" t="inlineStr">
        <is>
          <t>W</t>
        </is>
      </c>
      <c r="N73" s="228" t="n">
        <v>15</v>
      </c>
      <c r="O73" s="264" t="n">
        <v>2</v>
      </c>
      <c r="P73" s="230" t="n">
        <v>64.56999999999999</v>
      </c>
      <c r="Q73" s="231">
        <f>0.5*G73</f>
        <v/>
      </c>
      <c r="R73" s="231" t="n"/>
      <c r="S73" s="231">
        <f>0.02*N73*G73</f>
        <v/>
      </c>
      <c r="T73" s="231" t="n"/>
      <c r="U73" s="231">
        <f>IF(RIGHT(F73,2)="WG",K73*$AB$4,IF(RIGHT(F73,3)="WRG",K73*$AB$4+3*G73,IF(RIGHT(F73,3)="WYG",K73*$AB$4+3*G73,IF(RIGHT(F73,3)="WYR",K73*$AB$4+3*G73,0))))</f>
        <v/>
      </c>
      <c r="V73" s="231" t="n"/>
      <c r="W73" s="231">
        <f>G73*N73*1</f>
        <v/>
      </c>
      <c r="X73" s="231">
        <f>18*O73*G73</f>
        <v/>
      </c>
      <c r="Y73" s="231">
        <f>($Y$70/31.1035*IF(LEFT(F73,3)="10K",(0.417*1.07*K73),IF(LEFT(F73,3)="14K",(0.585*1.05*K73),IF(LEFT(F73,3)="18K",(0.75*1.05*K73),0))))*0.5</f>
        <v/>
      </c>
      <c r="Z73" s="232">
        <f>($Z$70/31.1035*IF(LEFT(F73,3)="10K",(0.417*1.07*K73),IF(LEFT(F73,3)="14K",(0.585*1.05*K73),IF(LEFT(F73,3)="18K",(0.75*1.05*K73),0))))*0.5</f>
        <v/>
      </c>
      <c r="AA73" s="233">
        <f>2*K73</f>
        <v/>
      </c>
      <c r="AB73" s="233" t="n">
        <v>1380.96</v>
      </c>
      <c r="AC73" s="233" t="n">
        <v>16210.95952</v>
      </c>
      <c r="AD73" s="233" t="n">
        <v>17591.91952</v>
      </c>
      <c r="AE73" s="233">
        <f>IF(LEFT(F73,3)="10K",(0.417*1.07*K73),IF(LEFT(F73,3)="14K",(0.585*1.05*K73),IF(LEFT(F73,3)="18K",(0.75*1.05*K73),0)))</f>
        <v/>
      </c>
      <c r="AG73" s="249">
        <f>IF(AF73&gt;0,AF73*K73,X73)</f>
        <v/>
      </c>
    </row>
    <row r="74" ht="27" customFormat="1" customHeight="1" s="220">
      <c r="A74" s="221" t="n">
        <v>9</v>
      </c>
      <c r="B74" s="244" t="inlineStr">
        <is>
          <t>K0038B257 OV H 6.75"</t>
        </is>
      </c>
      <c r="C74" s="244" t="n"/>
      <c r="D74" s="244" t="n"/>
      <c r="E74" s="244" t="n"/>
      <c r="F74" s="244" t="inlineStr">
        <is>
          <t>14K WG</t>
        </is>
      </c>
      <c r="G74" s="251" t="n">
        <v>6</v>
      </c>
      <c r="H74" s="262" t="n">
        <v>75.14</v>
      </c>
      <c r="I74" s="262" t="n">
        <v>3.8</v>
      </c>
      <c r="J74" s="262" t="n">
        <v>2.64</v>
      </c>
      <c r="K74" s="263">
        <f>H74-I74-J74</f>
        <v/>
      </c>
      <c r="L74" s="227" t="n">
        <v>3.2</v>
      </c>
      <c r="M74" s="227" t="inlineStr">
        <is>
          <t>W</t>
        </is>
      </c>
      <c r="N74" s="228" t="n">
        <v>26</v>
      </c>
      <c r="O74" s="229" t="n">
        <v>8.5</v>
      </c>
      <c r="P74" s="230" t="n">
        <v>18.99</v>
      </c>
      <c r="Q74" s="231">
        <f>0.5*G74</f>
        <v/>
      </c>
      <c r="R74" s="231" t="n"/>
      <c r="S74" s="231">
        <f>0.02*N74*G74</f>
        <v/>
      </c>
      <c r="T74" s="231">
        <f>2.3*G74</f>
        <v/>
      </c>
      <c r="U74" s="231">
        <f>IF(RIGHT(F74,2)="WG",K74*$AB$4,IF(RIGHT(F74,3)="WRG",K74*$AB$4+3*G74,IF(RIGHT(F74,3)="WYG",K74*$AB$4+3*G74,IF(RIGHT(F74,3)="WYR",K74*$AB$4+3*G74,0))))</f>
        <v/>
      </c>
      <c r="V74" s="231" t="n"/>
      <c r="W74" s="231">
        <f>G74*N74*0.5</f>
        <v/>
      </c>
      <c r="X74" s="231">
        <f>K74*O74</f>
        <v/>
      </c>
      <c r="Y74" s="231">
        <f>($Y$70/31.1035*IF(LEFT(F74,3)="10K",(0.417*1.07*K74),IF(LEFT(F74,3)="14K",(0.585*1.05*K74),IF(LEFT(F74,3)="18K",(0.75*1.05*K74),0))))*0.5</f>
        <v/>
      </c>
      <c r="Z74" s="232">
        <f>($Z$70/31.1035*IF(LEFT(F74,3)="10K",(0.417*1.07*K74),IF(LEFT(F74,3)="14K",(0.585*1.05*K74),IF(LEFT(F74,3)="18K",(0.75*1.05*K74),0))))*0.5</f>
        <v/>
      </c>
      <c r="AA74" s="233">
        <f>2*K74</f>
        <v/>
      </c>
      <c r="AB74" s="233" t="n">
        <v>544.47</v>
      </c>
      <c r="AC74" s="233" t="n">
        <v>6680.6082</v>
      </c>
      <c r="AD74" s="233" t="n">
        <v>7225.0782</v>
      </c>
      <c r="AE74" s="233">
        <f>IF(LEFT(F74,3)="10K",(0.417*1.07*K74),IF(LEFT(F74,3)="14K",(0.585*1.05*K74),IF(LEFT(F74,3)="18K",(0.75*1.05*K74),0)))</f>
        <v/>
      </c>
      <c r="AG74" s="249">
        <f>IF(AF74&gt;0,AF74*K74,X74)</f>
        <v/>
      </c>
    </row>
    <row r="75" ht="27" customFormat="1" customHeight="1" s="220">
      <c r="A75" s="221" t="n">
        <v>20</v>
      </c>
      <c r="B75" s="244" t="inlineStr">
        <is>
          <t>K0038B257 OV H 6.75"</t>
        </is>
      </c>
      <c r="C75" s="244" t="n"/>
      <c r="D75" s="244" t="n"/>
      <c r="E75" s="244" t="n"/>
      <c r="F75" s="244" t="inlineStr">
        <is>
          <t>14K YG</t>
        </is>
      </c>
      <c r="G75" s="251" t="n">
        <v>13</v>
      </c>
      <c r="H75" s="262" t="n">
        <v>159.81</v>
      </c>
      <c r="I75" s="262" t="n">
        <v>8.279999999999999</v>
      </c>
      <c r="J75" s="262" t="n">
        <v>5.72</v>
      </c>
      <c r="K75" s="263">
        <f>H75-I75-J75</f>
        <v/>
      </c>
      <c r="L75" s="227" t="n">
        <v>3.2</v>
      </c>
      <c r="M75" s="227" t="inlineStr">
        <is>
          <t>W</t>
        </is>
      </c>
      <c r="N75" s="228" t="n">
        <v>26</v>
      </c>
      <c r="O75" s="229" t="n">
        <v>8.5</v>
      </c>
      <c r="P75" s="230" t="n">
        <v>41.275</v>
      </c>
      <c r="Q75" s="231">
        <f>0.5*G75</f>
        <v/>
      </c>
      <c r="R75" s="231" t="n"/>
      <c r="S75" s="231">
        <f>0.02*N75*G75</f>
        <v/>
      </c>
      <c r="T75" s="231">
        <f>2.3*G75</f>
        <v/>
      </c>
      <c r="U75" s="231">
        <f>IF(RIGHT(F75,2)="WG",K75*$AB$4,IF(RIGHT(F75,3)="WRG",K75*$AB$4+3*G75,IF(RIGHT(F75,3)="WYG",K75*$AB$4+3*G75,IF(RIGHT(F75,3)="WYR",K75*$AB$4+3*G75,0))))</f>
        <v/>
      </c>
      <c r="V75" s="231" t="n"/>
      <c r="W75" s="231">
        <f>G75*N75*0.5</f>
        <v/>
      </c>
      <c r="X75" s="231">
        <f>K75*O75</f>
        <v/>
      </c>
      <c r="Y75" s="231">
        <f>($Y$70/31.1035*IF(LEFT(F75,3)="10K",(0.417*1.07*K75),IF(LEFT(F75,3)="14K",(0.585*1.05*K75),IF(LEFT(F75,3)="18K",(0.75*1.05*K75),0))))*0.5</f>
        <v/>
      </c>
      <c r="Z75" s="232">
        <f>($Z$70/31.1035*IF(LEFT(F75,3)="10K",(0.417*1.07*K75),IF(LEFT(F75,3)="14K",(0.585*1.05*K75),IF(LEFT(F75,3)="18K",(0.75*1.05*K75),0))))*0.5</f>
        <v/>
      </c>
      <c r="AA75" s="233">
        <f>2*K75</f>
        <v/>
      </c>
      <c r="AB75" s="233" t="n">
        <v>1159.925</v>
      </c>
      <c r="AC75" s="233" t="n">
        <v>14365.13806</v>
      </c>
      <c r="AD75" s="233" t="n">
        <v>15525.06306</v>
      </c>
      <c r="AE75" s="233">
        <f>IF(LEFT(F75,3)="10K",(0.417*1.07*K75),IF(LEFT(F75,3)="14K",(0.585*1.05*K75),IF(LEFT(F75,3)="18K",(0.75*1.05*K75),0)))</f>
        <v/>
      </c>
      <c r="AG75" s="249">
        <f>IF(AF75&gt;0,AF75*K75,X75)</f>
        <v/>
      </c>
    </row>
    <row r="76" ht="27" customFormat="1" customHeight="1" s="220">
      <c r="A76" s="221" t="n">
        <v>10</v>
      </c>
      <c r="B76" s="244" t="inlineStr">
        <is>
          <t>K5021E58 OV</t>
        </is>
      </c>
      <c r="C76" s="244" t="n"/>
      <c r="D76" s="244" t="n"/>
      <c r="E76" s="244" t="n"/>
      <c r="F76" s="244" t="inlineStr">
        <is>
          <t>14K WG</t>
        </is>
      </c>
      <c r="G76" s="251" t="n">
        <v>8</v>
      </c>
      <c r="H76" s="262" t="n">
        <v>47.11</v>
      </c>
      <c r="I76" s="262" t="n">
        <v>3.52</v>
      </c>
      <c r="J76" s="262" t="n">
        <v>0</v>
      </c>
      <c r="K76" s="263">
        <f>H76-I76-J76</f>
        <v/>
      </c>
      <c r="L76" s="227" t="n">
        <v>2</v>
      </c>
      <c r="M76" s="227" t="inlineStr">
        <is>
          <t>W</t>
        </is>
      </c>
      <c r="N76" s="228" t="n">
        <v>62</v>
      </c>
      <c r="O76" s="229" t="n">
        <v>6.5</v>
      </c>
      <c r="P76" s="230" t="n">
        <v>17.58</v>
      </c>
      <c r="Q76" s="231">
        <f>0.5*G76*2</f>
        <v/>
      </c>
      <c r="R76" s="231" t="n"/>
      <c r="S76" s="231">
        <f>0.02*N76*G76</f>
        <v/>
      </c>
      <c r="T76" s="231" t="n"/>
      <c r="U76" s="231">
        <f>IF(RIGHT(F76,2)="WG",K76*$AB$4,IF(RIGHT(F76,3)="WRG",K76*$AB$4+3*G76,IF(RIGHT(F76,3)="WYG",K76*$AB$4+3*G76,IF(RIGHT(F76,3)="WYR",K76*$AB$4+3*G76,0))))</f>
        <v/>
      </c>
      <c r="V76" s="231" t="n"/>
      <c r="W76" s="231">
        <f>G76*N76*0.3</f>
        <v/>
      </c>
      <c r="X76" s="231">
        <f>K76*O76</f>
        <v/>
      </c>
      <c r="Y76" s="231">
        <f>($Y$70/31.1035*IF(LEFT(F76,3)="10K",(0.417*1.07*K76),IF(LEFT(F76,3)="14K",(0.585*1.05*K76),IF(LEFT(F76,3)="18K",(0.75*1.05*K76),0))))*0.5</f>
        <v/>
      </c>
      <c r="Z76" s="232">
        <f>($Z$70/31.1035*IF(LEFT(F76,3)="10K",(0.417*1.07*K76),IF(LEFT(F76,3)="14K",(0.585*1.05*K76),IF(LEFT(F76,3)="18K",(0.75*1.05*K76),0))))*0.5</f>
        <v/>
      </c>
      <c r="AA76" s="233">
        <f>2*K76</f>
        <v/>
      </c>
      <c r="AB76" s="233" t="n">
        <v>362.875</v>
      </c>
      <c r="AC76" s="233" t="n">
        <v>5299.65534</v>
      </c>
      <c r="AD76" s="233" t="n">
        <v>5662.53034</v>
      </c>
      <c r="AE76" s="233">
        <f>IF(LEFT(F76,3)="10K",(0.417*1.07*K76),IF(LEFT(F76,3)="14K",(0.585*1.05*K76),IF(LEFT(F76,3)="18K",(0.75*1.05*K76),0)))</f>
        <v/>
      </c>
      <c r="AG76" s="249">
        <f>IF(AF76&gt;0,AF76*K76,X76)</f>
        <v/>
      </c>
    </row>
    <row r="77" ht="27" customFormat="1" customHeight="1" s="220">
      <c r="A77" s="221" t="n">
        <v>20</v>
      </c>
      <c r="B77" s="244" t="inlineStr">
        <is>
          <t>K5021E58 OV</t>
        </is>
      </c>
      <c r="C77" s="244" t="n"/>
      <c r="D77" s="244" t="n"/>
      <c r="E77" s="244" t="n"/>
      <c r="F77" s="244" t="inlineStr">
        <is>
          <t>14K YG</t>
        </is>
      </c>
      <c r="G77" s="251" t="n">
        <v>8</v>
      </c>
      <c r="H77" s="262" t="n">
        <v>46.47</v>
      </c>
      <c r="I77" s="262" t="n">
        <v>3.52</v>
      </c>
      <c r="J77" s="262" t="n">
        <v>0</v>
      </c>
      <c r="K77" s="263">
        <f>H77-I77-J77</f>
        <v/>
      </c>
      <c r="L77" s="227" t="n">
        <v>2</v>
      </c>
      <c r="M77" s="227" t="inlineStr">
        <is>
          <t>W</t>
        </is>
      </c>
      <c r="N77" s="228" t="n">
        <v>62</v>
      </c>
      <c r="O77" s="229" t="n">
        <v>6.5</v>
      </c>
      <c r="P77" s="230" t="n">
        <v>17.555</v>
      </c>
      <c r="Q77" s="231">
        <f>0.5*G77*2</f>
        <v/>
      </c>
      <c r="R77" s="231" t="n"/>
      <c r="S77" s="231">
        <f>0.02*N77*G77</f>
        <v/>
      </c>
      <c r="T77" s="231" t="n"/>
      <c r="U77" s="231">
        <f>IF(RIGHT(F77,2)="WG",K77*$AB$4,IF(RIGHT(F77,3)="WRG",K77*$AB$4+3*G77,IF(RIGHT(F77,3)="WYG",K77*$AB$4+3*G77,IF(RIGHT(F77,3)="WYR",K77*$AB$4+3*G77,0))))</f>
        <v/>
      </c>
      <c r="V77" s="231" t="n"/>
      <c r="W77" s="231">
        <f>G77*N77*0.3</f>
        <v/>
      </c>
      <c r="X77" s="231">
        <f>K77*O77</f>
        <v/>
      </c>
      <c r="Y77" s="231">
        <f>($Y$70/31.1035*IF(LEFT(F77,3)="10K",(0.417*1.07*K77),IF(LEFT(F77,3)="14K",(0.585*1.05*K77),IF(LEFT(F77,3)="18K",(0.75*1.05*K77),0))))*0.5</f>
        <v/>
      </c>
      <c r="Z77" s="232">
        <f>($Z$70/31.1035*IF(LEFT(F77,3)="10K",(0.417*1.07*K77),IF(LEFT(F77,3)="14K",(0.585*1.05*K77),IF(LEFT(F77,3)="18K",(0.75*1.05*K77),0))))*0.5</f>
        <v/>
      </c>
      <c r="AA77" s="233">
        <f>2*K77</f>
        <v/>
      </c>
      <c r="AB77" s="233" t="n">
        <v>359.995</v>
      </c>
      <c r="AC77" s="233" t="n">
        <v>5266.5557</v>
      </c>
      <c r="AD77" s="233" t="n">
        <v>5626.5507</v>
      </c>
      <c r="AE77" s="233">
        <f>IF(LEFT(F77,3)="10K",(0.417*1.07*K77),IF(LEFT(F77,3)="14K",(0.585*1.05*K77),IF(LEFT(F77,3)="18K",(0.75*1.05*K77),0)))</f>
        <v/>
      </c>
      <c r="AG77" s="249">
        <f>IF(AF77&gt;0,AF77*K77,X77)</f>
        <v/>
      </c>
    </row>
    <row r="78" ht="27.75" customFormat="1" customHeight="1" s="220">
      <c r="A78" s="221" t="n">
        <v>11</v>
      </c>
      <c r="B78" s="244" t="inlineStr">
        <is>
          <t>K5021E59 OV</t>
        </is>
      </c>
      <c r="C78" s="244" t="n"/>
      <c r="D78" s="244" t="n"/>
      <c r="E78" s="244" t="n"/>
      <c r="F78" s="244" t="inlineStr">
        <is>
          <t>14K YG</t>
        </is>
      </c>
      <c r="G78" s="251" t="n">
        <v>5</v>
      </c>
      <c r="H78" s="262" t="n">
        <v>33.47</v>
      </c>
      <c r="I78" s="262" t="n">
        <v>2.77</v>
      </c>
      <c r="J78" s="262" t="n">
        <v>0</v>
      </c>
      <c r="K78" s="263">
        <f>H78-I78-J78</f>
        <v/>
      </c>
      <c r="L78" s="227" t="n">
        <v>2.4</v>
      </c>
      <c r="M78" s="227" t="inlineStr">
        <is>
          <t>W</t>
        </is>
      </c>
      <c r="N78" s="228" t="n">
        <v>50</v>
      </c>
      <c r="O78" s="229" t="n">
        <v>6.5</v>
      </c>
      <c r="P78" s="230" t="n">
        <v>13.865</v>
      </c>
      <c r="Q78" s="231">
        <f>0.5*G78*2</f>
        <v/>
      </c>
      <c r="R78" s="231" t="n"/>
      <c r="S78" s="231">
        <f>0.02*N78*G78</f>
        <v/>
      </c>
      <c r="T78" s="231" t="n"/>
      <c r="U78" s="231">
        <f>IF(RIGHT(F78,2)="WG",K78*$AB$4,IF(RIGHT(F78,3)="WRG",K78*$AB$4+3*G78,IF(RIGHT(F78,3)="WYG",K78*$AB$4+3*G78,IF(RIGHT(F78,3)="WYR",K78*$AB$4+3*G78,0))))</f>
        <v/>
      </c>
      <c r="V78" s="231" t="n"/>
      <c r="W78" s="231">
        <f>G78*N78*0.5</f>
        <v/>
      </c>
      <c r="X78" s="231">
        <f>K78*O78</f>
        <v/>
      </c>
      <c r="Y78" s="231">
        <f>($Y$70/31.1035*IF(LEFT(F78,3)="10K",(0.417*1.07*K78),IF(LEFT(F78,3)="14K",(0.585*1.05*K78),IF(LEFT(F78,3)="18K",(0.75*1.05*K78),0))))*0.5</f>
        <v/>
      </c>
      <c r="Z78" s="232">
        <f>($Z$70/31.1035*IF(LEFT(F78,3)="10K",(0.417*1.07*K78),IF(LEFT(F78,3)="14K",(0.585*1.05*K78),IF(LEFT(F78,3)="18K",(0.75*1.05*K78),0))))*0.5</f>
        <v/>
      </c>
      <c r="AA78" s="233">
        <f>2*K78</f>
        <v/>
      </c>
      <c r="AB78" s="233" t="n">
        <v>273.15</v>
      </c>
      <c r="AC78" s="233" t="n">
        <v>4017.0452</v>
      </c>
      <c r="AD78" s="233" t="n">
        <v>4290.1952</v>
      </c>
      <c r="AE78" s="233">
        <f>IF(LEFT(F78,3)="10K",(0.417*1.07*K78),IF(LEFT(F78,3)="14K",(0.585*1.05*K78),IF(LEFT(F78,3)="18K",(0.75*1.05*K78),0)))</f>
        <v/>
      </c>
      <c r="AG78" s="249">
        <f>IF(AF78&gt;0,AF78*K78,X78)</f>
        <v/>
      </c>
    </row>
    <row r="79" ht="15.75" customFormat="1" customHeight="1" s="234">
      <c r="A79" s="235" t="inlineStr">
        <is>
          <t>SUBTOTAL</t>
        </is>
      </c>
      <c r="B79" s="236" t="n"/>
      <c r="C79" s="236" t="n"/>
      <c r="D79" s="236" t="n"/>
      <c r="E79" s="236" t="n"/>
      <c r="F79" s="236" t="n"/>
      <c r="G79" s="237">
        <f>SUM(G72:G78)</f>
        <v/>
      </c>
      <c r="H79" s="265" t="n"/>
      <c r="I79" s="265" t="n"/>
      <c r="J79" s="265" t="n"/>
      <c r="K79" s="265">
        <f>SUM(K72:K78)</f>
        <v/>
      </c>
      <c r="L79" s="239" t="n"/>
      <c r="M79" s="239" t="n"/>
      <c r="N79" s="239" t="n"/>
      <c r="O79" s="261" t="n"/>
      <c r="P79" s="241">
        <f>SUM(P72:P78)</f>
        <v/>
      </c>
      <c r="Q79" s="242">
        <f>SUM(Q72:Q78)</f>
        <v/>
      </c>
      <c r="R79" s="242">
        <f>SUM(R72:R78)</f>
        <v/>
      </c>
      <c r="S79" s="242">
        <f>SUM(S72:S78)</f>
        <v/>
      </c>
      <c r="T79" s="242">
        <f>SUM(T72:T78)</f>
        <v/>
      </c>
      <c r="U79" s="242">
        <f>SUM(U72:U78)</f>
        <v/>
      </c>
      <c r="V79" s="242">
        <f>SUM(V72:V78)</f>
        <v/>
      </c>
      <c r="W79" s="242">
        <f>SUM(W72:W78)</f>
        <v/>
      </c>
      <c r="X79" s="242">
        <f>SUM(X72:X78)</f>
        <v/>
      </c>
      <c r="Y79" s="242">
        <f>SUM(Y72:Y78)</f>
        <v/>
      </c>
      <c r="Z79" s="243">
        <f>SUM(Z72:Z78)</f>
        <v/>
      </c>
      <c r="AA79" s="233" t="n"/>
      <c r="AB79" s="266" t="n">
        <v>29764.2226</v>
      </c>
      <c r="AC79" s="266" t="n">
        <v>428489.01284</v>
      </c>
      <c r="AD79" s="266" t="n">
        <v>458253.23544</v>
      </c>
      <c r="AE79" s="266">
        <f>SUM(AE16:AE78)</f>
        <v/>
      </c>
      <c r="AG79" s="267">
        <f>SUM(AG16:AG78)</f>
        <v/>
      </c>
    </row>
    <row r="80" ht="15.75" customFormat="1" customHeight="1" s="234">
      <c r="A80" s="268" t="inlineStr">
        <is>
          <t>TOTAL</t>
        </is>
      </c>
      <c r="B80" s="156" t="n"/>
      <c r="C80" s="156" t="n"/>
      <c r="D80" s="156" t="n"/>
      <c r="E80" s="156" t="n"/>
      <c r="F80" s="156" t="n"/>
      <c r="G80" s="269">
        <f>SUM(G57,G53,G49,G44,G38,G34,G27,G22,G18,G69,G79)</f>
        <v/>
      </c>
      <c r="H80" s="270" t="n"/>
      <c r="I80" s="270" t="n"/>
      <c r="J80" s="270" t="n"/>
      <c r="K80" s="270">
        <f>SUM(K57,K53,K49,K44,K38,K34,K27,K22,K18,K69,K79)</f>
        <v/>
      </c>
      <c r="L80" s="271" t="n"/>
      <c r="M80" s="271" t="n"/>
      <c r="N80" s="271" t="n"/>
      <c r="O80" s="272" t="n"/>
      <c r="P80" s="273">
        <f>SUM(P57,P53,P49,P44,P38,P34,P27,P22,P18,P69,P79)</f>
        <v/>
      </c>
      <c r="Q80" s="274">
        <f>SUM(Q57,Q53,Q49,Q44,Q38,Q34,Q27,Q22,Q18,Q69,Q79)</f>
        <v/>
      </c>
      <c r="R80" s="274">
        <f>SUM(R57,R53,R49,R44,R38,R34,R27,R22,R18,R69,R79)</f>
        <v/>
      </c>
      <c r="S80" s="274">
        <f>SUM(S57,S53,S49,S44,S38,S34,S27,S22,S18,S69,S79)</f>
        <v/>
      </c>
      <c r="T80" s="274">
        <f>SUM(T57,T53,T49,T44,T38,T34,T27,T22,T18,T69,T79)</f>
        <v/>
      </c>
      <c r="U80" s="274">
        <f>SUM(U57,U53,U49,U44,U38,U34,U27,U22,U18,U69,U79)</f>
        <v/>
      </c>
      <c r="V80" s="274">
        <f>SUM(V57,V53,V49,V44,V38,V34,V27,V22,V18,V69,V79)</f>
        <v/>
      </c>
      <c r="W80" s="274">
        <f>SUM(W57,W53,W49,W44,W38,W34,W27,W22,W18,W69,W79)</f>
        <v/>
      </c>
      <c r="X80" s="274">
        <f>SUM(X57,X53,X49,X44,X38,X34,X27,X22,X18,X69,X79)</f>
        <v/>
      </c>
      <c r="Y80" s="274">
        <f>SUM(Y57,Y53,Y49,Y44,Y38,Y34,Y27,Y22,Y18,Y69,Y79)</f>
        <v/>
      </c>
      <c r="Z80" s="274">
        <f>SUM(Z57,Z53,Z49,Z44,Z38,Z34,Z27,Z22,Z18,Z69,Z79)</f>
        <v/>
      </c>
      <c r="AA80" s="233" t="n"/>
      <c r="AB80" s="266" t="n"/>
      <c r="AC80" s="266" t="n"/>
      <c r="AD80" s="266" t="n"/>
      <c r="AE80" s="266" t="n"/>
      <c r="AG80" s="267" t="n"/>
    </row>
    <row r="81" ht="15.75" customFormat="1" customHeight="1" s="234">
      <c r="A81" s="275" t="n">
        <v>20</v>
      </c>
      <c r="B81" s="276" t="n"/>
      <c r="C81" s="276" t="n"/>
      <c r="D81" s="276" t="n"/>
      <c r="E81" s="276" t="n"/>
      <c r="F81" s="276" t="n"/>
      <c r="G81" s="276" t="n"/>
      <c r="H81" s="276" t="n"/>
      <c r="I81" s="276" t="n"/>
      <c r="J81" s="277" t="n"/>
      <c r="K81" s="278" t="n"/>
      <c r="L81" s="278" t="n"/>
      <c r="M81" s="278" t="n"/>
      <c r="N81" s="278" t="n"/>
      <c r="O81" s="279" t="n"/>
      <c r="P81" s="279" t="n"/>
      <c r="Q81" s="280" t="n"/>
      <c r="R81" s="280" t="n"/>
      <c r="S81" s="280" t="n"/>
      <c r="T81" s="280" t="n"/>
      <c r="U81" s="280" t="n"/>
      <c r="V81" s="281" t="n"/>
      <c r="W81" s="282" t="inlineStr">
        <is>
          <t>FREIGHT CHARGE</t>
        </is>
      </c>
      <c r="X81" s="281" t="n"/>
      <c r="Y81" s="280" t="n"/>
      <c r="Z81" s="283" t="n"/>
    </row>
    <row r="82" ht="18" customFormat="1" customHeight="1" s="234">
      <c r="A82" s="284" t="n">
        <v>20</v>
      </c>
      <c r="B82" s="285" t="n"/>
      <c r="C82" s="286" t="n"/>
      <c r="D82" s="286" t="n"/>
      <c r="E82" s="286" t="n"/>
      <c r="F82" s="286" t="n"/>
      <c r="G82" s="286" t="n"/>
      <c r="H82" s="286" t="n"/>
      <c r="I82" s="158" t="n"/>
      <c r="J82" s="287" t="n"/>
      <c r="K82" s="160" t="n"/>
      <c r="L82" s="160" t="n"/>
      <c r="M82" s="160" t="n"/>
      <c r="N82" s="160" t="n"/>
      <c r="O82" s="161" t="n"/>
      <c r="P82" s="161" t="n"/>
      <c r="Q82" s="288" t="n"/>
      <c r="R82" s="288" t="n"/>
      <c r="S82" s="288" t="n"/>
      <c r="T82" s="288" t="n"/>
      <c r="U82" s="288" t="n"/>
      <c r="W82" s="289" t="inlineStr">
        <is>
          <t>Total Amount</t>
        </is>
      </c>
      <c r="X82" s="290">
        <f>SUM(Q80:Z80)</f>
        <v/>
      </c>
      <c r="Y82" s="286" t="n"/>
      <c r="Z82" s="291" t="n"/>
    </row>
    <row r="83" ht="18" customFormat="1" customHeight="1" s="234">
      <c r="A83" s="292" t="inlineStr">
        <is>
          <t xml:space="preserve">All unpaid balance will be charged 1.5% per month. </t>
        </is>
      </c>
      <c r="B83" s="293" t="n"/>
      <c r="C83" s="293" t="n"/>
      <c r="D83" s="293" t="n"/>
      <c r="E83" s="293" t="n"/>
      <c r="F83" s="294" t="n"/>
      <c r="G83" s="294" t="n"/>
      <c r="H83" s="294" t="n"/>
      <c r="I83" s="158" t="n"/>
      <c r="J83" s="287" t="n"/>
      <c r="K83" s="160" t="n"/>
      <c r="L83" s="160" t="n"/>
      <c r="M83" s="160" t="n"/>
      <c r="N83" s="160" t="n"/>
      <c r="O83" s="161" t="n"/>
      <c r="P83" s="161" t="n"/>
      <c r="Q83" s="288" t="n"/>
      <c r="R83" s="288" t="n"/>
      <c r="S83" s="288" t="n"/>
      <c r="T83" s="288" t="n"/>
      <c r="U83" s="288" t="n"/>
      <c r="W83" s="289" t="inlineStr">
        <is>
          <t>Deposit</t>
        </is>
      </c>
      <c r="X83" s="295" t="n"/>
    </row>
    <row r="84" ht="15" customHeight="1" s="205">
      <c r="A84" s="284" t="n"/>
      <c r="B84" s="296" t="n"/>
      <c r="C84" s="296" t="n"/>
      <c r="D84" s="296" t="n"/>
      <c r="E84" s="296" t="n"/>
      <c r="G84" s="157" t="n"/>
      <c r="H84" s="158" t="n"/>
      <c r="J84" s="287" t="n"/>
      <c r="K84" s="160" t="n"/>
      <c r="L84" s="160" t="n"/>
      <c r="M84" s="160" t="n"/>
      <c r="N84" s="160" t="n"/>
      <c r="O84" s="161" t="n"/>
      <c r="P84" s="161" t="n"/>
      <c r="V84" s="157" t="n"/>
      <c r="W84" s="289" t="inlineStr">
        <is>
          <t>Balance</t>
        </is>
      </c>
      <c r="X84" s="295">
        <f>X82-X83</f>
        <v/>
      </c>
      <c r="AC84" s="297" t="n"/>
    </row>
    <row r="85" ht="20.25" customHeight="1" s="205">
      <c r="A85" s="206" t="n"/>
      <c r="G85" s="157" t="n"/>
      <c r="H85" s="158" t="n"/>
      <c r="J85" s="287" t="n"/>
      <c r="K85" s="160" t="n"/>
      <c r="L85" s="160" t="n"/>
      <c r="M85" s="160" t="n"/>
      <c r="N85" s="160" t="n"/>
      <c r="O85" s="161" t="n"/>
      <c r="P85" s="161" t="n"/>
      <c r="V85" s="298" t="n"/>
      <c r="W85" s="298" t="n"/>
      <c r="X85" s="299" t="n"/>
    </row>
    <row r="86" ht="22.5" customHeight="1" s="205">
      <c r="A86" s="206" t="n"/>
      <c r="B86" s="300" t="n"/>
      <c r="C86" s="300" t="n"/>
      <c r="D86" s="300" t="n"/>
      <c r="E86" s="300" t="n"/>
      <c r="G86" s="157" t="n"/>
      <c r="H86" s="158" t="n"/>
      <c r="J86" s="287" t="n"/>
      <c r="K86" s="160" t="n"/>
      <c r="L86" s="160" t="n"/>
      <c r="M86" s="160" t="n"/>
      <c r="N86" s="160" t="n"/>
      <c r="O86" s="161" t="n"/>
      <c r="P86" s="161" t="n"/>
      <c r="V86" s="298" t="n"/>
      <c r="W86" s="298" t="n"/>
      <c r="X86" s="301" t="n"/>
      <c r="Z86" s="302" t="n"/>
    </row>
    <row r="87" ht="15.75" customFormat="1" customHeight="1" s="157">
      <c r="A87" s="303" t="n"/>
      <c r="B87" s="300" t="n"/>
      <c r="C87" s="300" t="n"/>
      <c r="D87" s="300" t="n"/>
      <c r="E87" s="300" t="n"/>
      <c r="F87" s="171" t="n"/>
      <c r="G87" s="171" t="n"/>
      <c r="H87" s="171" t="n"/>
      <c r="I87" s="171" t="n"/>
      <c r="J87" s="304" t="n"/>
      <c r="K87" s="171" t="n"/>
      <c r="L87" s="171" t="n"/>
      <c r="M87" s="171" t="n"/>
      <c r="N87" s="171" t="n"/>
      <c r="O87" s="305" t="n"/>
      <c r="P87" s="305" t="n"/>
      <c r="Q87" s="305" t="n"/>
      <c r="R87" s="305" t="n"/>
      <c r="S87" s="305" t="n"/>
      <c r="T87" s="305" t="n"/>
      <c r="U87" s="305" t="n"/>
      <c r="W87" s="306" t="n"/>
      <c r="X87" s="307" t="n"/>
      <c r="Y87" s="307" t="n"/>
      <c r="Z87" s="308" t="n"/>
    </row>
    <row r="88" ht="15.75" customHeight="1" s="205">
      <c r="A88" s="303" t="n"/>
      <c r="B88" s="300" t="n"/>
      <c r="C88" s="300" t="n"/>
      <c r="D88" s="300" t="n"/>
      <c r="E88" s="300" t="n"/>
      <c r="F88" s="171" t="n"/>
      <c r="G88" s="171" t="n"/>
      <c r="H88" s="171" t="n"/>
      <c r="I88" s="171" t="n"/>
      <c r="J88" s="171" t="n"/>
      <c r="K88" s="171" t="n"/>
      <c r="L88" s="171" t="n"/>
      <c r="M88" s="171" t="n"/>
      <c r="N88" s="171" t="n"/>
      <c r="O88" s="305" t="n"/>
      <c r="P88" s="305" t="n"/>
      <c r="Q88" s="305" t="n"/>
      <c r="R88" s="305" t="n"/>
      <c r="S88" s="305" t="n"/>
      <c r="T88" s="305" t="n"/>
      <c r="U88" s="305" t="n"/>
      <c r="V88" s="309" t="n"/>
      <c r="W88" s="309" t="n"/>
      <c r="X88" s="171" t="n"/>
      <c r="Y88" s="171" t="n"/>
      <c r="Z88" s="184" t="n"/>
    </row>
    <row r="89" ht="13.5" customHeight="1" s="205">
      <c r="A89" s="181" t="n"/>
      <c r="B89" s="300" t="n"/>
      <c r="C89" s="300" t="n"/>
      <c r="D89" s="300" t="n"/>
      <c r="E89" s="300" t="n"/>
      <c r="F89" s="171" t="n"/>
      <c r="G89" s="171" t="n"/>
      <c r="H89" s="171" t="n"/>
      <c r="I89" s="171" t="n"/>
      <c r="J89" s="171" t="n"/>
      <c r="K89" s="171" t="n"/>
      <c r="L89" s="171" t="n"/>
      <c r="M89" s="171" t="n"/>
      <c r="N89" s="171" t="n"/>
      <c r="O89" s="171" t="n"/>
      <c r="P89" s="171" t="n"/>
      <c r="Q89" s="171" t="n"/>
      <c r="R89" s="171" t="n"/>
      <c r="S89" s="171" t="n"/>
      <c r="T89" s="171" t="n"/>
      <c r="U89" s="171" t="n"/>
      <c r="V89" s="310" t="inlineStr">
        <is>
          <t>SIGNED BY</t>
        </is>
      </c>
      <c r="W89" s="309" t="n"/>
      <c r="X89" s="311" t="inlineStr">
        <is>
          <t>PRESIDENT     J.E. PARK</t>
        </is>
      </c>
      <c r="Y89" s="171" t="n"/>
      <c r="Z89" s="184" t="n"/>
    </row>
    <row r="90" ht="12.75" customFormat="1" customHeight="1" s="171">
      <c r="A90" s="189" t="n"/>
      <c r="B90" s="312" t="n"/>
      <c r="C90" s="312" t="n"/>
      <c r="D90" s="312" t="n"/>
      <c r="E90" s="312" t="n"/>
      <c r="F90" s="193" t="n"/>
      <c r="G90" s="193" t="n"/>
      <c r="H90" s="193" t="n"/>
      <c r="I90" s="193" t="n"/>
      <c r="J90" s="193" t="n"/>
      <c r="K90" s="193" t="n"/>
      <c r="L90" s="193" t="n"/>
      <c r="M90" s="193" t="n"/>
      <c r="N90" s="193" t="n"/>
      <c r="O90" s="193" t="n"/>
      <c r="P90" s="193" t="n"/>
      <c r="Q90" s="193" t="n"/>
      <c r="R90" s="193" t="n"/>
      <c r="S90" s="193" t="n"/>
      <c r="T90" s="193" t="n"/>
      <c r="U90" s="193" t="n"/>
      <c r="V90" s="313" t="n"/>
      <c r="W90" s="313" t="n"/>
      <c r="X90" s="193" t="n"/>
      <c r="Y90" s="193" t="n"/>
      <c r="Z90" s="192" t="n"/>
    </row>
    <row r="91" ht="12.75" customFormat="1" customHeight="1" s="307">
      <c r="A91" s="156" t="n"/>
      <c r="B91" s="156" t="n"/>
      <c r="C91" s="156" t="n"/>
      <c r="D91" s="156" t="n"/>
      <c r="E91" s="156" t="n"/>
      <c r="F91" s="156" t="n"/>
      <c r="G91" s="156" t="n"/>
      <c r="H91" s="157" t="n"/>
      <c r="I91" s="158" t="n"/>
      <c r="J91" s="158" t="n"/>
      <c r="K91" s="159" t="n"/>
      <c r="L91" s="159" t="n"/>
      <c r="M91" s="159" t="n"/>
      <c r="N91" s="159" t="n"/>
      <c r="O91" s="160" t="n"/>
      <c r="P91" s="160" t="n"/>
      <c r="Q91" s="161" t="n"/>
      <c r="R91" s="161" t="n"/>
      <c r="S91" s="161" t="n"/>
      <c r="T91" s="161" t="n"/>
      <c r="U91" s="161" t="n"/>
      <c r="V91" s="161" t="n"/>
      <c r="W91" s="161" t="n"/>
      <c r="X91" s="162" t="n"/>
      <c r="Y91" s="157" t="n"/>
      <c r="Z91" s="157" t="n"/>
    </row>
    <row r="92" ht="12.75" customFormat="1" customHeight="1" s="171">
      <c r="A92" s="156" t="n"/>
      <c r="B92" s="156" t="n"/>
      <c r="C92" s="156" t="n"/>
      <c r="D92" s="156" t="n"/>
      <c r="E92" s="156" t="n"/>
      <c r="F92" s="156" t="n"/>
      <c r="G92" s="156" t="n"/>
      <c r="H92" s="157" t="n"/>
      <c r="I92" s="158" t="n"/>
      <c r="J92" s="158" t="n"/>
      <c r="K92" s="159" t="n"/>
      <c r="L92" s="159" t="n"/>
      <c r="M92" s="159" t="n"/>
      <c r="N92" s="159" t="n"/>
      <c r="O92" s="160" t="n"/>
      <c r="P92" s="160" t="n"/>
      <c r="Q92" s="161" t="n"/>
      <c r="R92" s="161" t="n"/>
      <c r="S92" s="161" t="n"/>
      <c r="T92" s="161" t="n"/>
      <c r="U92" s="161" t="n"/>
      <c r="V92" s="161" t="n"/>
      <c r="W92" s="161" t="n"/>
      <c r="X92" s="162" t="n"/>
      <c r="Y92" s="157" t="n"/>
      <c r="Z92" s="157" t="n"/>
    </row>
    <row r="93" ht="12.75" customFormat="1" customHeight="1" s="171">
      <c r="A93" s="156" t="n"/>
      <c r="B93" s="156" t="n"/>
      <c r="C93" s="156" t="n"/>
      <c r="D93" s="156" t="n"/>
      <c r="E93" s="156" t="n"/>
      <c r="F93" s="156" t="n"/>
      <c r="G93" s="156" t="n"/>
      <c r="H93" s="157" t="n"/>
      <c r="I93" s="158" t="n"/>
      <c r="J93" s="158" t="n"/>
      <c r="K93" s="159" t="n"/>
      <c r="L93" s="159" t="n"/>
      <c r="M93" s="159" t="n"/>
      <c r="N93" s="159" t="n"/>
      <c r="O93" s="160" t="n"/>
      <c r="P93" s="160" t="n"/>
      <c r="Q93" s="161" t="n"/>
      <c r="R93" s="161" t="n"/>
      <c r="S93" s="161" t="n"/>
      <c r="T93" s="161" t="n"/>
      <c r="U93" s="161" t="n"/>
      <c r="V93" s="161" t="n"/>
      <c r="W93" s="161" t="n"/>
      <c r="X93" s="162" t="n"/>
      <c r="Y93" s="157" t="n"/>
      <c r="Z93" s="157" t="n"/>
    </row>
    <row r="94" ht="12.75" customFormat="1" customHeight="1" s="171">
      <c r="A94" s="156" t="n"/>
      <c r="B94" s="156" t="n"/>
      <c r="C94" s="156" t="n"/>
      <c r="D94" s="156" t="n"/>
      <c r="E94" s="156" t="n"/>
      <c r="F94" s="156" t="n"/>
      <c r="G94" s="156" t="n"/>
      <c r="H94" s="157" t="n"/>
      <c r="I94" s="158" t="n"/>
      <c r="J94" s="158" t="n"/>
      <c r="K94" s="159" t="n"/>
      <c r="L94" s="159" t="n"/>
      <c r="M94" s="159" t="n"/>
      <c r="N94" s="159" t="n"/>
      <c r="O94" s="160" t="n"/>
      <c r="P94" s="160" t="n"/>
      <c r="Q94" s="161" t="n"/>
      <c r="R94" s="161" t="n"/>
      <c r="S94" s="161" t="n"/>
      <c r="T94" s="161" t="n"/>
      <c r="U94" s="161" t="n"/>
      <c r="V94" s="161" t="n"/>
      <c r="W94" s="161" t="n"/>
      <c r="X94" s="162" t="n"/>
      <c r="Y94" s="157" t="n"/>
      <c r="Z94" s="157" t="n"/>
    </row>
  </sheetData>
  <mergeCells count="8">
    <mergeCell ref="X82:Y82"/>
    <mergeCell ref="X83:Y83"/>
    <mergeCell ref="A2:Y2"/>
    <mergeCell ref="B82:H82"/>
    <mergeCell ref="A1:Y1"/>
    <mergeCell ref="X84:Y84"/>
    <mergeCell ref="X85:Y85"/>
    <mergeCell ref="A3:Y3"/>
  </mergeCells>
  <conditionalFormatting sqref="F52">
    <cfRule type="containsText" rank="0" priority="2" equalAverage="0" operator="containsText" aboveAverage="0" dxfId="0" text="18K" percent="0" bottom="0">
      <formula>NOT(ISERROR(SEARCH("18K",F52)))</formula>
    </cfRule>
  </conditionalFormatting>
  <conditionalFormatting sqref="F48">
    <cfRule type="containsText" rank="0" priority="3" equalAverage="0" operator="containsText" aboveAverage="0" dxfId="0" text="18K" percent="0" bottom="0">
      <formula>NOT(ISERROR(SEARCH("18K",F48)))</formula>
    </cfRule>
  </conditionalFormatting>
  <conditionalFormatting sqref="F47">
    <cfRule type="containsText" rank="0" priority="4" equalAverage="0" operator="containsText" aboveAverage="0" dxfId="0" text="18K" percent="0" bottom="0">
      <formula>NOT(ISERROR(SEARCH("18K",F47)))</formula>
    </cfRule>
  </conditionalFormatting>
  <conditionalFormatting sqref="F43">
    <cfRule type="containsText" rank="0" priority="5" equalAverage="0" operator="containsText" aboveAverage="0" dxfId="0" text="18K" percent="0" bottom="0">
      <formula>NOT(ISERROR(SEARCH("18K",F43)))</formula>
    </cfRule>
  </conditionalFormatting>
  <conditionalFormatting sqref="F42">
    <cfRule type="containsText" rank="0" priority="6" equalAverage="0" operator="containsText" aboveAverage="0" dxfId="0" text="18K" percent="0" bottom="0">
      <formula>NOT(ISERROR(SEARCH("18K",F42)))</formula>
    </cfRule>
  </conditionalFormatting>
  <conditionalFormatting sqref="F41">
    <cfRule type="containsText" rank="0" priority="7" equalAverage="0" operator="containsText" aboveAverage="0" dxfId="0" text="18K" percent="0" bottom="0">
      <formula>NOT(ISERROR(SEARCH("18K",F41)))</formula>
    </cfRule>
  </conditionalFormatting>
  <conditionalFormatting sqref="F37">
    <cfRule type="containsText" rank="0" priority="8" equalAverage="0" operator="containsText" aboveAverage="0" dxfId="0" text="18K" percent="0" bottom="0">
      <formula>NOT(ISERROR(SEARCH("18K",F37)))</formula>
    </cfRule>
  </conditionalFormatting>
  <conditionalFormatting sqref="F33">
    <cfRule type="containsText" rank="0" priority="9" equalAverage="0" operator="containsText" aboveAverage="0" dxfId="0" text="18K" percent="0" bottom="0">
      <formula>NOT(ISERROR(SEARCH("18K",F33)))</formula>
    </cfRule>
  </conditionalFormatting>
  <conditionalFormatting sqref="F32">
    <cfRule type="containsText" rank="0" priority="10" equalAverage="0" operator="containsText" aboveAverage="0" dxfId="0" text="18K" percent="0" bottom="0">
      <formula>NOT(ISERROR(SEARCH("18K",F32)))</formula>
    </cfRule>
  </conditionalFormatting>
  <conditionalFormatting sqref="F31">
    <cfRule type="containsText" rank="0" priority="11" equalAverage="0" operator="containsText" aboveAverage="0" dxfId="0" text="18K" percent="0" bottom="0">
      <formula>NOT(ISERROR(SEARCH("18K",F31)))</formula>
    </cfRule>
  </conditionalFormatting>
  <conditionalFormatting sqref="F30">
    <cfRule type="containsText" rank="0" priority="12" equalAverage="0" operator="containsText" aboveAverage="0" dxfId="0" text="18K" percent="0" bottom="0">
      <formula>NOT(ISERROR(SEARCH("18K",F30)))</formula>
    </cfRule>
  </conditionalFormatting>
  <conditionalFormatting sqref="F26">
    <cfRule type="containsText" rank="0" priority="13" equalAverage="0" operator="containsText" aboveAverage="0" dxfId="0" text="18K" percent="0" bottom="0">
      <formula>NOT(ISERROR(SEARCH("18K",F26)))</formula>
    </cfRule>
  </conditionalFormatting>
  <conditionalFormatting sqref="F25">
    <cfRule type="containsText" rank="0" priority="14" equalAverage="0" operator="containsText" aboveAverage="0" dxfId="0" text="18K" percent="0" bottom="0">
      <formula>NOT(ISERROR(SEARCH("18K",F25)))</formula>
    </cfRule>
  </conditionalFormatting>
  <conditionalFormatting sqref="F21">
    <cfRule type="containsText" rank="0" priority="15" equalAverage="0" operator="containsText" aboveAverage="0" dxfId="0" text="18K" percent="0" bottom="0">
      <formula>NOT(ISERROR(SEARCH("18K",F21)))</formula>
    </cfRule>
  </conditionalFormatting>
  <conditionalFormatting sqref="F16:F17">
    <cfRule type="containsText" rank="0" priority="16" equalAverage="0" operator="containsText" aboveAverage="0" dxfId="0" text="18K" percent="0" bottom="0">
      <formula>NOT(ISERROR(SEARCH("18K",F16)))</formula>
    </cfRule>
  </conditionalFormatting>
  <conditionalFormatting sqref="F56">
    <cfRule type="containsText" rank="0" priority="17" equalAverage="0" operator="containsText" aboveAverage="0" dxfId="0" text="18K" percent="0" bottom="0">
      <formula>NOT(ISERROR(SEARCH("18K",F56)))</formula>
    </cfRule>
  </conditionalFormatting>
  <printOptions horizontalCentered="0" verticalCentered="0" headings="0" gridLines="0" gridLinesSet="1"/>
  <pageMargins left="0" right="0" top="0.196527777777778" bottom="0" header="0.511811023622047" footer="0.511811023622047"/>
  <pageSetup orientation="landscape" paperSize="9" scale="100" fitToHeight="0" fitToWidth="1" pageOrder="downThenOver" blackAndWhite="0" draft="0" horizontalDpi="300" verticalDpi="300" copies="1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AG28"/>
  <sheetViews>
    <sheetView showFormulas="0" showGridLines="1" showRowColHeaders="1" showZeros="1" rightToLeft="0" tabSelected="0" showOutlineSymbols="1" defaultGridColor="1" view="pageBreakPreview" topLeftCell="A21" colorId="64" zoomScale="100" zoomScaleNormal="100" zoomScalePageLayoutView="100" workbookViewId="0">
      <selection pane="topLeft" activeCell="A2" activeCellId="0" sqref="A2"/>
    </sheetView>
  </sheetViews>
  <sheetFormatPr baseColWidth="8" defaultColWidth="8.6796875" defaultRowHeight="14.25" customHeight="1" zeroHeight="0" outlineLevelRow="0"/>
  <sheetData>
    <row r="2" ht="15.75" customFormat="1" customHeight="1" s="157">
      <c r="A2" s="206" t="inlineStr">
        <is>
          <t>Buyer Dia</t>
        </is>
      </c>
      <c r="B2" s="156" t="n"/>
      <c r="C2" s="156" t="n"/>
      <c r="D2" s="156" t="n"/>
      <c r="E2" s="156" t="n"/>
      <c r="F2" s="156" t="n"/>
      <c r="G2" s="156" t="n"/>
      <c r="H2" s="253" t="n"/>
      <c r="I2" s="253" t="n"/>
      <c r="J2" s="253" t="n"/>
      <c r="K2" s="254" t="n"/>
      <c r="L2" s="207" t="n"/>
      <c r="M2" s="207" t="n"/>
      <c r="N2" s="207" t="n"/>
      <c r="O2" s="255" t="n"/>
      <c r="P2" s="160" t="n"/>
      <c r="Q2" s="161" t="n"/>
      <c r="R2" s="161" t="n"/>
      <c r="S2" s="161" t="n"/>
      <c r="T2" s="161" t="n"/>
      <c r="U2" s="161" t="n"/>
      <c r="V2" s="161" t="n"/>
      <c r="W2" s="208" t="n"/>
      <c r="X2" s="209" t="inlineStr">
        <is>
          <t>23 Apr London AM + 2%</t>
        </is>
      </c>
      <c r="Y2" s="210">
        <f>1.02*3332.85</f>
        <v/>
      </c>
      <c r="Z2" s="210">
        <f>1.02*3332.85</f>
        <v/>
      </c>
      <c r="AB2" s="157" t="inlineStr">
        <is>
          <t>dia price</t>
        </is>
      </c>
    </row>
    <row r="3" ht="54.75" customFormat="1" customHeight="1" s="211">
      <c r="A3" s="212" t="inlineStr">
        <is>
          <t>PO#</t>
        </is>
      </c>
      <c r="B3" s="213" t="inlineStr">
        <is>
          <t>Item No.</t>
        </is>
      </c>
      <c r="C3" s="213" t="inlineStr">
        <is>
          <t>Buyer No.</t>
        </is>
      </c>
      <c r="D3" s="213" t="inlineStr">
        <is>
          <t>Buyer PO</t>
        </is>
      </c>
      <c r="E3" s="213" t="inlineStr">
        <is>
          <t>IDD PO SERIAL#</t>
        </is>
      </c>
      <c r="F3" s="213" t="inlineStr">
        <is>
          <t>Metal</t>
        </is>
      </c>
      <c r="G3" s="213" t="inlineStr">
        <is>
          <t>Q'ty</t>
        </is>
      </c>
      <c r="H3" s="256" t="inlineStr">
        <is>
          <t>Total w't</t>
        </is>
      </c>
      <c r="I3" s="256" t="inlineStr">
        <is>
          <t>Dia w't</t>
        </is>
      </c>
      <c r="J3" s="256" t="inlineStr">
        <is>
          <t>Wire w't</t>
        </is>
      </c>
      <c r="K3" s="256" t="inlineStr">
        <is>
          <t>Gold w't</t>
        </is>
      </c>
      <c r="L3" s="215" t="inlineStr">
        <is>
          <t>Stone</t>
        </is>
      </c>
      <c r="M3" s="215" t="inlineStr">
        <is>
          <t>Color</t>
        </is>
      </c>
      <c r="N3" s="215" t="inlineStr">
        <is>
          <t>Stone Q'ty</t>
        </is>
      </c>
      <c r="O3" s="257" t="inlineStr">
        <is>
          <t>Labor</t>
        </is>
      </c>
      <c r="P3" s="216" t="inlineStr">
        <is>
          <t>Dia Carat</t>
        </is>
      </c>
      <c r="Q3" s="217" t="inlineStr">
        <is>
          <t>Tag Cost</t>
        </is>
      </c>
      <c r="R3" s="217" t="inlineStr">
        <is>
          <t>Dia Packaging Cost</t>
        </is>
      </c>
      <c r="S3" s="217" t="inlineStr">
        <is>
          <t>Dia Handling Service Fee</t>
        </is>
      </c>
      <c r="T3" s="217" t="inlineStr">
        <is>
          <t>Wire
Cost</t>
        </is>
      </c>
      <c r="U3" s="217" t="inlineStr">
        <is>
          <t>Plating Cost</t>
        </is>
      </c>
      <c r="V3" s="217" t="inlineStr">
        <is>
          <t>Stone
Cost</t>
        </is>
      </c>
      <c r="W3" s="217" t="inlineStr">
        <is>
          <t>Setting
Cost</t>
        </is>
      </c>
      <c r="X3" s="218" t="inlineStr">
        <is>
          <t>Labor
Cost</t>
        </is>
      </c>
      <c r="Y3" s="219" t="inlineStr">
        <is>
          <t>Gold &amp; 5%
Cost</t>
        </is>
      </c>
      <c r="Z3" s="218" t="inlineStr">
        <is>
          <t>Current Gold &amp;
5% Cost</t>
        </is>
      </c>
      <c r="AB3" s="211" t="inlineStr">
        <is>
          <t>nilai maklon</t>
        </is>
      </c>
      <c r="AC3" s="211" t="inlineStr">
        <is>
          <t>material cost</t>
        </is>
      </c>
      <c r="AD3" s="211" t="inlineStr">
        <is>
          <t>total</t>
        </is>
      </c>
      <c r="AE3" s="211" t="inlineStr">
        <is>
          <t>24K Payment</t>
        </is>
      </c>
      <c r="AF3" s="211" t="inlineStr">
        <is>
          <t>old labor</t>
        </is>
      </c>
      <c r="AG3" s="211" t="inlineStr">
        <is>
          <t>labor amount</t>
        </is>
      </c>
    </row>
    <row r="4" ht="27" customFormat="1" customHeight="1" s="220">
      <c r="A4" s="221" t="inlineStr">
        <is>
          <t>ELI250415RB-14K-1</t>
        </is>
      </c>
      <c r="B4" s="244" t="inlineStr">
        <is>
          <t>K0038R03 #6.5</t>
        </is>
      </c>
      <c r="C4" s="244" t="n"/>
      <c r="D4" s="244" t="n"/>
      <c r="E4" s="244" t="n"/>
      <c r="F4" s="244" t="inlineStr">
        <is>
          <t>14K WG</t>
        </is>
      </c>
      <c r="G4" s="251" t="n">
        <v>40</v>
      </c>
      <c r="H4" s="262">
        <f>G4*2.77</f>
        <v/>
      </c>
      <c r="I4" s="262" t="n"/>
      <c r="J4" s="262" t="n"/>
      <c r="K4" s="263">
        <f>H4-I4-J4</f>
        <v/>
      </c>
      <c r="L4" s="227" t="n">
        <v>3.75</v>
      </c>
      <c r="M4" s="227" t="inlineStr">
        <is>
          <t>W</t>
        </is>
      </c>
      <c r="N4" s="228" t="n">
        <v>5</v>
      </c>
      <c r="O4" s="229" t="n">
        <v>5.5</v>
      </c>
      <c r="P4" s="230" t="n"/>
      <c r="Q4" s="231">
        <f>0.5*G4</f>
        <v/>
      </c>
      <c r="R4" s="231" t="n"/>
      <c r="S4" s="231">
        <f>0.02*N4*G4</f>
        <v/>
      </c>
      <c r="T4" s="231" t="n"/>
      <c r="U4" s="231">
        <f>IF(RIGHT(F4,2)="WG",K4*$AB$4,IF(RIGHT(F4,3)="WRG",K4*$AB$4+3*G4,IF(RIGHT(F4,3)="WYG",K4*$AB$4+3*G4,IF(RIGHT(F4,3)="WYR",K4*$AB$4+3*G4,0))))</f>
        <v/>
      </c>
      <c r="V4" s="231" t="n"/>
      <c r="W4" s="231">
        <f>G4*N4*0.75</f>
        <v/>
      </c>
      <c r="X4" s="231">
        <f>K4*O4</f>
        <v/>
      </c>
      <c r="Y4" s="231">
        <f>($Y$14/31.1035*IF(LEFT(F4,3)="10K",(0.417*1.07*K4),IF(LEFT(F4,3)="14K",(0.585*1.05*K4),IF(LEFT(F4,3)="18K",(0.75*1.05*K4),0))))*0.5</f>
        <v/>
      </c>
      <c r="Z4" s="232">
        <f>($Z$14/31.1035*IF(LEFT(F4,3)="10K",(0.417*1.07*K4),IF(LEFT(F4,3)="14K",(0.585*1.05*K4),IF(LEFT(F4,3)="18K",(0.75*1.05*K4),0))))*0.5</f>
        <v/>
      </c>
      <c r="AA4" s="233">
        <f>2*K4</f>
        <v/>
      </c>
      <c r="AB4" s="233">
        <f>(SUM(Q4:W4)+AG4)-AA4</f>
        <v/>
      </c>
      <c r="AC4" s="233">
        <f>AE4*$AC$13+P4*$AC$14</f>
        <v/>
      </c>
      <c r="AD4" s="233">
        <f>SUM(AB4:AC4)</f>
        <v/>
      </c>
      <c r="AE4" s="233">
        <f>IF(LEFT(F4,3)="10K",(0.417*1.07*K4),IF(LEFT(F4,3)="14K",(0.585*1.05*K4),IF(LEFT(F4,3)="18K",(0.75*1.05*K4),0)))</f>
        <v/>
      </c>
      <c r="AG4" s="249">
        <f>IF(AF4&gt;0,AF4*K4,X4)</f>
        <v/>
      </c>
    </row>
    <row r="5" ht="27" customFormat="1" customHeight="1" s="220">
      <c r="A5" s="221" t="n"/>
      <c r="B5" s="244" t="inlineStr">
        <is>
          <t>K0038R03 #6.5</t>
        </is>
      </c>
      <c r="C5" s="244" t="n"/>
      <c r="D5" s="244" t="n"/>
      <c r="E5" s="244" t="n"/>
      <c r="F5" s="244" t="inlineStr">
        <is>
          <t>14K YG</t>
        </is>
      </c>
      <c r="G5" s="251" t="n">
        <v>60</v>
      </c>
      <c r="H5" s="262">
        <f>G5*2.77</f>
        <v/>
      </c>
      <c r="I5" s="262" t="n"/>
      <c r="J5" s="262" t="n"/>
      <c r="K5" s="263">
        <f>H5-I5-J5</f>
        <v/>
      </c>
      <c r="L5" s="227" t="n">
        <v>3.75</v>
      </c>
      <c r="M5" s="227" t="inlineStr">
        <is>
          <t>W</t>
        </is>
      </c>
      <c r="N5" s="228" t="n">
        <v>5</v>
      </c>
      <c r="O5" s="229" t="n">
        <v>5.5</v>
      </c>
      <c r="P5" s="230" t="n"/>
      <c r="Q5" s="231">
        <f>0.5*G5</f>
        <v/>
      </c>
      <c r="R5" s="231" t="n"/>
      <c r="S5" s="231">
        <f>0.02*N5*G5</f>
        <v/>
      </c>
      <c r="T5" s="231" t="n"/>
      <c r="U5" s="231">
        <f>IF(RIGHT(F5,2)="WG",K5*$AB$4,IF(RIGHT(F5,3)="WRG",K5*$AB$4+3*G5,IF(RIGHT(F5,3)="WYG",K5*$AB$4+3*G5,IF(RIGHT(F5,3)="WYR",K5*$AB$4+3*G5,0))))</f>
        <v/>
      </c>
      <c r="V5" s="231" t="n"/>
      <c r="W5" s="231">
        <f>G5*N5*0.75</f>
        <v/>
      </c>
      <c r="X5" s="231">
        <f>K5*O5</f>
        <v/>
      </c>
      <c r="Y5" s="231">
        <f>($Y$14/31.1035*IF(LEFT(F5,3)="10K",(0.417*1.07*K5),IF(LEFT(F5,3)="14K",(0.585*1.05*K5),IF(LEFT(F5,3)="18K",(0.75*1.05*K5),0))))*0.5</f>
        <v/>
      </c>
      <c r="Z5" s="232">
        <f>($Z$14/31.1035*IF(LEFT(F5,3)="10K",(0.417*1.07*K5),IF(LEFT(F5,3)="14K",(0.585*1.05*K5),IF(LEFT(F5,3)="18K",(0.75*1.05*K5),0))))*0.5</f>
        <v/>
      </c>
      <c r="AA5" s="233">
        <f>2*K5</f>
        <v/>
      </c>
      <c r="AB5" s="233">
        <f>(SUM(Q5:W5)+AG5)-AA5</f>
        <v/>
      </c>
      <c r="AC5" s="233">
        <f>AE5*$AC$13+P5*$AC$14</f>
        <v/>
      </c>
      <c r="AD5" s="233">
        <f>SUM(AB5:AC5)</f>
        <v/>
      </c>
      <c r="AE5" s="233">
        <f>IF(LEFT(F5,3)="10K",(0.417*1.07*K5),IF(LEFT(F5,3)="14K",(0.585*1.05*K5),IF(LEFT(F5,3)="18K",(0.75*1.05*K5),0)))</f>
        <v/>
      </c>
      <c r="AG5" s="249">
        <f>IF(AF5&gt;0,AF5*K5,X5)</f>
        <v/>
      </c>
    </row>
    <row r="6" ht="27" customFormat="1" customHeight="1" s="220">
      <c r="A6" s="221" t="n">
        <v>2</v>
      </c>
      <c r="B6" s="244" t="inlineStr">
        <is>
          <t>K0038R05 #6.5</t>
        </is>
      </c>
      <c r="C6" s="244" t="n"/>
      <c r="D6" s="244" t="n"/>
      <c r="E6" s="244" t="n"/>
      <c r="F6" s="244" t="inlineStr">
        <is>
          <t>14K WG</t>
        </is>
      </c>
      <c r="G6" s="251" t="n">
        <v>40</v>
      </c>
      <c r="H6" s="262">
        <f>G6*3.27</f>
        <v/>
      </c>
      <c r="I6" s="262" t="n"/>
      <c r="J6" s="262" t="n"/>
      <c r="K6" s="263">
        <f>H6-I6-J6</f>
        <v/>
      </c>
      <c r="L6" s="227" t="n">
        <v>4.4</v>
      </c>
      <c r="M6" s="227" t="inlineStr">
        <is>
          <t>W</t>
        </is>
      </c>
      <c r="N6" s="228" t="n">
        <v>5</v>
      </c>
      <c r="O6" s="229" t="n">
        <v>5.5</v>
      </c>
      <c r="P6" s="230" t="n"/>
      <c r="Q6" s="231">
        <f>0.5*G6</f>
        <v/>
      </c>
      <c r="R6" s="231" t="n"/>
      <c r="S6" s="231">
        <f>0.02*N6*G6</f>
        <v/>
      </c>
      <c r="T6" s="231" t="n"/>
      <c r="U6" s="231">
        <f>IF(RIGHT(F6,2)="WG",K6*$AB$4,IF(RIGHT(F6,3)="WRG",K6*$AB$4+3*G6,IF(RIGHT(F6,3)="WYG",K6*$AB$4+3*G6,IF(RIGHT(F6,3)="WYR",K6*$AB$4+3*G6,0))))</f>
        <v/>
      </c>
      <c r="V6" s="231" t="n"/>
      <c r="W6" s="231">
        <f>G6*N6*1.5</f>
        <v/>
      </c>
      <c r="X6" s="231">
        <f>K6*O6</f>
        <v/>
      </c>
      <c r="Y6" s="231">
        <f>($Y$14/31.1035*IF(LEFT(F6,3)="10K",(0.417*1.07*K6),IF(LEFT(F6,3)="14K",(0.585*1.05*K6),IF(LEFT(F6,3)="18K",(0.75*1.05*K6),0))))*0.5</f>
        <v/>
      </c>
      <c r="Z6" s="232">
        <f>($Z$14/31.1035*IF(LEFT(F6,3)="10K",(0.417*1.07*K6),IF(LEFT(F6,3)="14K",(0.585*1.05*K6),IF(LEFT(F6,3)="18K",(0.75*1.05*K6),0))))*0.5</f>
        <v/>
      </c>
      <c r="AA6" s="233">
        <f>2*K6</f>
        <v/>
      </c>
      <c r="AB6" s="233">
        <f>(SUM(Q6:W6)+AG6)-AA6</f>
        <v/>
      </c>
      <c r="AC6" s="233">
        <f>AE6*$AC$13+P6*$AC$14</f>
        <v/>
      </c>
      <c r="AD6" s="233">
        <f>SUM(AB6:AC6)</f>
        <v/>
      </c>
      <c r="AE6" s="233">
        <f>IF(LEFT(F6,3)="10K",(0.417*1.07*K6),IF(LEFT(F6,3)="14K",(0.585*1.05*K6),IF(LEFT(F6,3)="18K",(0.75*1.05*K6),0)))</f>
        <v/>
      </c>
      <c r="AG6" s="249">
        <f>IF(AF6&gt;0,AF6*K6,X6)</f>
        <v/>
      </c>
    </row>
    <row r="7" ht="27" customFormat="1" customHeight="1" s="220">
      <c r="A7" s="221" t="n"/>
      <c r="B7" s="244" t="inlineStr">
        <is>
          <t>K0038R05 #6.5</t>
        </is>
      </c>
      <c r="C7" s="244" t="n"/>
      <c r="D7" s="244" t="n"/>
      <c r="E7" s="244" t="n"/>
      <c r="F7" s="244" t="inlineStr">
        <is>
          <t>14K YG</t>
        </is>
      </c>
      <c r="G7" s="251" t="n">
        <v>30</v>
      </c>
      <c r="H7" s="262">
        <f>G7*3.27</f>
        <v/>
      </c>
      <c r="I7" s="262" t="n"/>
      <c r="J7" s="262" t="n"/>
      <c r="K7" s="263">
        <f>H7-I7-J7</f>
        <v/>
      </c>
      <c r="L7" s="227" t="n">
        <v>4.4</v>
      </c>
      <c r="M7" s="227" t="inlineStr">
        <is>
          <t>W</t>
        </is>
      </c>
      <c r="N7" s="228" t="n">
        <v>5</v>
      </c>
      <c r="O7" s="229" t="n">
        <v>5.5</v>
      </c>
      <c r="P7" s="230" t="n"/>
      <c r="Q7" s="231">
        <f>0.5*G7</f>
        <v/>
      </c>
      <c r="R7" s="231" t="n"/>
      <c r="S7" s="231">
        <f>0.02*N7*G7</f>
        <v/>
      </c>
      <c r="T7" s="231" t="n"/>
      <c r="U7" s="231">
        <f>IF(RIGHT(F7,2)="WG",K7*$AB$4,IF(RIGHT(F7,3)="WRG",K7*$AB$4+3*G7,IF(RIGHT(F7,3)="WYG",K7*$AB$4+3*G7,IF(RIGHT(F7,3)="WYR",K7*$AB$4+3*G7,0))))</f>
        <v/>
      </c>
      <c r="V7" s="231" t="n"/>
      <c r="W7" s="231">
        <f>G7*N7*1.5</f>
        <v/>
      </c>
      <c r="X7" s="231">
        <f>K7*O7</f>
        <v/>
      </c>
      <c r="Y7" s="231">
        <f>($Y$14/31.1035*IF(LEFT(F7,3)="10K",(0.417*1.07*K7),IF(LEFT(F7,3)="14K",(0.585*1.05*K7),IF(LEFT(F7,3)="18K",(0.75*1.05*K7),0))))*0.5</f>
        <v/>
      </c>
      <c r="Z7" s="232">
        <f>($Z$14/31.1035*IF(LEFT(F7,3)="10K",(0.417*1.07*K7),IF(LEFT(F7,3)="14K",(0.585*1.05*K7),IF(LEFT(F7,3)="18K",(0.75*1.05*K7),0))))*0.5</f>
        <v/>
      </c>
      <c r="AA7" s="233">
        <f>2*K7</f>
        <v/>
      </c>
      <c r="AB7" s="233">
        <f>(SUM(Q7:W7)+AG7)-AA7</f>
        <v/>
      </c>
      <c r="AC7" s="233">
        <f>AE7*$AC$13+P7*$AC$14</f>
        <v/>
      </c>
      <c r="AD7" s="233">
        <f>SUM(AB7:AC7)</f>
        <v/>
      </c>
      <c r="AE7" s="233">
        <f>IF(LEFT(F7,3)="10K",(0.417*1.07*K7),IF(LEFT(F7,3)="14K",(0.585*1.05*K7),IF(LEFT(F7,3)="18K",(0.75*1.05*K7),0)))</f>
        <v/>
      </c>
      <c r="AG7" s="249">
        <f>IF(AF7&gt;0,AF7*K7,X7)</f>
        <v/>
      </c>
    </row>
    <row r="8" ht="27" customFormat="1" customHeight="1" s="220">
      <c r="A8" s="221" t="n">
        <v>3</v>
      </c>
      <c r="B8" s="244" t="inlineStr">
        <is>
          <t>K0038R11 #6.5</t>
        </is>
      </c>
      <c r="C8" s="244" t="n"/>
      <c r="D8" s="244" t="n"/>
      <c r="E8" s="244" t="n"/>
      <c r="F8" s="244" t="inlineStr">
        <is>
          <t>14K WG</t>
        </is>
      </c>
      <c r="G8" s="251" t="n">
        <v>50</v>
      </c>
      <c r="H8" s="262">
        <f>G8*2.36</f>
        <v/>
      </c>
      <c r="I8" s="262" t="n"/>
      <c r="J8" s="262" t="n"/>
      <c r="K8" s="263">
        <f>H8-I8-J8</f>
        <v/>
      </c>
      <c r="L8" s="227" t="n">
        <v>3.25</v>
      </c>
      <c r="M8" s="227" t="inlineStr">
        <is>
          <t>W</t>
        </is>
      </c>
      <c r="N8" s="228" t="n">
        <v>7</v>
      </c>
      <c r="O8" s="229" t="n">
        <v>5.5</v>
      </c>
      <c r="P8" s="230" t="n"/>
      <c r="Q8" s="231">
        <f>0.5*G8</f>
        <v/>
      </c>
      <c r="R8" s="231" t="n"/>
      <c r="S8" s="231">
        <f>0.02*N8*G8</f>
        <v/>
      </c>
      <c r="T8" s="231" t="n"/>
      <c r="U8" s="231">
        <f>IF(RIGHT(F8,2)="WG",K8*$AB$4,IF(RIGHT(F8,3)="WRG",K8*$AB$4+3*G8,IF(RIGHT(F8,3)="WYG",K8*$AB$4+3*G8,IF(RIGHT(F8,3)="WYR",K8*$AB$4+3*G8,0))))</f>
        <v/>
      </c>
      <c r="V8" s="231" t="n"/>
      <c r="W8" s="231">
        <f>G8*N8*0.5</f>
        <v/>
      </c>
      <c r="X8" s="231">
        <f>K8*O8</f>
        <v/>
      </c>
      <c r="Y8" s="231">
        <f>($Y$14/31.1035*IF(LEFT(F8,3)="10K",(0.417*1.07*K8),IF(LEFT(F8,3)="14K",(0.585*1.05*K8),IF(LEFT(F8,3)="18K",(0.75*1.05*K8),0))))*0.5</f>
        <v/>
      </c>
      <c r="Z8" s="232">
        <f>($Z$14/31.1035*IF(LEFT(F8,3)="10K",(0.417*1.07*K8),IF(LEFT(F8,3)="14K",(0.585*1.05*K8),IF(LEFT(F8,3)="18K",(0.75*1.05*K8),0))))*0.5</f>
        <v/>
      </c>
      <c r="AA8" s="233">
        <f>2*K8</f>
        <v/>
      </c>
      <c r="AB8" s="233">
        <f>(SUM(Q8:W8)+AG8)-AA8</f>
        <v/>
      </c>
      <c r="AC8" s="233">
        <f>AE8*$AC$13+P8*$AC$14</f>
        <v/>
      </c>
      <c r="AD8" s="233">
        <f>SUM(AB8:AC8)</f>
        <v/>
      </c>
      <c r="AE8" s="233">
        <f>IF(LEFT(F8,3)="10K",(0.417*1.07*K8),IF(LEFT(F8,3)="14K",(0.585*1.05*K8),IF(LEFT(F8,3)="18K",(0.75*1.05*K8),0)))</f>
        <v/>
      </c>
      <c r="AG8" s="249">
        <f>IF(AF8&gt;0,AF8*K8,X8)</f>
        <v/>
      </c>
    </row>
    <row r="9" ht="27" customFormat="1" customHeight="1" s="220">
      <c r="A9" s="221" t="n"/>
      <c r="B9" s="244" t="inlineStr">
        <is>
          <t>K0038R11 #6.5</t>
        </is>
      </c>
      <c r="C9" s="244" t="n"/>
      <c r="D9" s="244" t="n"/>
      <c r="E9" s="244" t="n"/>
      <c r="F9" s="244" t="inlineStr">
        <is>
          <t>14K YG</t>
        </is>
      </c>
      <c r="G9" s="251" t="n">
        <v>30</v>
      </c>
      <c r="H9" s="262">
        <f>G9*2.36</f>
        <v/>
      </c>
      <c r="I9" s="262" t="n"/>
      <c r="J9" s="262" t="n"/>
      <c r="K9" s="263">
        <f>H9-I9-J9</f>
        <v/>
      </c>
      <c r="L9" s="227" t="n">
        <v>3.25</v>
      </c>
      <c r="M9" s="227" t="inlineStr">
        <is>
          <t>W</t>
        </is>
      </c>
      <c r="N9" s="228" t="n">
        <v>7</v>
      </c>
      <c r="O9" s="229" t="n">
        <v>5.5</v>
      </c>
      <c r="P9" s="230" t="n"/>
      <c r="Q9" s="231">
        <f>0.5*G9</f>
        <v/>
      </c>
      <c r="R9" s="231" t="n"/>
      <c r="S9" s="231">
        <f>0.02*N9*G9</f>
        <v/>
      </c>
      <c r="T9" s="231" t="n"/>
      <c r="U9" s="231">
        <f>IF(RIGHT(F9,2)="WG",K9*$AB$4,IF(RIGHT(F9,3)="WRG",K9*$AB$4+3*G9,IF(RIGHT(F9,3)="WYG",K9*$AB$4+3*G9,IF(RIGHT(F9,3)="WYR",K9*$AB$4+3*G9,0))))</f>
        <v/>
      </c>
      <c r="V9" s="231" t="n"/>
      <c r="W9" s="231">
        <f>G9*N9*0.5</f>
        <v/>
      </c>
      <c r="X9" s="231">
        <f>K9*O9</f>
        <v/>
      </c>
      <c r="Y9" s="231">
        <f>($Y$14/31.1035*IF(LEFT(F9,3)="10K",(0.417*1.07*K9),IF(LEFT(F9,3)="14K",(0.585*1.05*K9),IF(LEFT(F9,3)="18K",(0.75*1.05*K9),0))))*0.5</f>
        <v/>
      </c>
      <c r="Z9" s="232">
        <f>($Z$14/31.1035*IF(LEFT(F9,3)="10K",(0.417*1.07*K9),IF(LEFT(F9,3)="14K",(0.585*1.05*K9),IF(LEFT(F9,3)="18K",(0.75*1.05*K9),0))))*0.5</f>
        <v/>
      </c>
      <c r="AA9" s="233">
        <f>2*K9</f>
        <v/>
      </c>
      <c r="AB9" s="233">
        <f>(SUM(Q9:W9)+AG9)-AA9</f>
        <v/>
      </c>
      <c r="AC9" s="233">
        <f>AE9*$AC$13+P9*$AC$14</f>
        <v/>
      </c>
      <c r="AD9" s="233">
        <f>SUM(AB9:AC9)</f>
        <v/>
      </c>
      <c r="AE9" s="233">
        <f>IF(LEFT(F9,3)="10K",(0.417*1.07*K9),IF(LEFT(F9,3)="14K",(0.585*1.05*K9),IF(LEFT(F9,3)="18K",(0.75*1.05*K9),0)))</f>
        <v/>
      </c>
      <c r="AG9" s="249">
        <f>IF(AF9&gt;0,AF9*K9,X9)</f>
        <v/>
      </c>
    </row>
    <row r="10" ht="27" customFormat="1" customHeight="1" s="220">
      <c r="A10" s="221" t="n">
        <v>4</v>
      </c>
      <c r="B10" s="244" t="inlineStr">
        <is>
          <t>K0038R15 #6.5</t>
        </is>
      </c>
      <c r="C10" s="244" t="n"/>
      <c r="D10" s="244" t="n"/>
      <c r="E10" s="244" t="n"/>
      <c r="F10" s="244" t="inlineStr">
        <is>
          <t>14K WG</t>
        </is>
      </c>
      <c r="G10" s="251" t="n">
        <v>10</v>
      </c>
      <c r="H10" s="262">
        <f>G10*3.54</f>
        <v/>
      </c>
      <c r="I10" s="262" t="n"/>
      <c r="J10" s="262" t="n"/>
      <c r="K10" s="263">
        <f>H10-I10-J10</f>
        <v/>
      </c>
      <c r="L10" s="227" t="n">
        <v>4.5</v>
      </c>
      <c r="M10" s="227" t="inlineStr">
        <is>
          <t>W</t>
        </is>
      </c>
      <c r="N10" s="228" t="n">
        <v>7</v>
      </c>
      <c r="O10" s="229" t="n">
        <v>5.5</v>
      </c>
      <c r="P10" s="230" t="n"/>
      <c r="Q10" s="231">
        <f>0.5*G10</f>
        <v/>
      </c>
      <c r="R10" s="231" t="n"/>
      <c r="S10" s="231">
        <f>0.02*N10*G10</f>
        <v/>
      </c>
      <c r="T10" s="231" t="n"/>
      <c r="U10" s="231">
        <f>IF(RIGHT(F10,2)="WG",K10*$AB$4,IF(RIGHT(F10,3)="WRG",K10*$AB$4+3*G10,IF(RIGHT(F10,3)="WYG",K10*$AB$4+3*G10,IF(RIGHT(F10,3)="WYR",K10*$AB$4+3*G10,0))))</f>
        <v/>
      </c>
      <c r="V10" s="231" t="n"/>
      <c r="W10" s="231">
        <f>G10*N10*1.5</f>
        <v/>
      </c>
      <c r="X10" s="231">
        <f>K10*O10</f>
        <v/>
      </c>
      <c r="Y10" s="231">
        <f>($Y$14/31.1035*IF(LEFT(F10,3)="10K",(0.417*1.07*K10),IF(LEFT(F10,3)="14K",(0.585*1.05*K10),IF(LEFT(F10,3)="18K",(0.75*1.05*K10),0))))*0.5</f>
        <v/>
      </c>
      <c r="Z10" s="232">
        <f>($Z$14/31.1035*IF(LEFT(F10,3)="10K",(0.417*1.07*K10),IF(LEFT(F10,3)="14K",(0.585*1.05*K10),IF(LEFT(F10,3)="18K",(0.75*1.05*K10),0))))*0.5</f>
        <v/>
      </c>
      <c r="AA10" s="233">
        <f>2*K10</f>
        <v/>
      </c>
      <c r="AB10" s="233">
        <f>(SUM(Q10:W10)+AG10)-AA10</f>
        <v/>
      </c>
      <c r="AC10" s="233">
        <f>AE10*$AC$13+P10*$AC$14</f>
        <v/>
      </c>
      <c r="AD10" s="233">
        <f>SUM(AB10:AC10)</f>
        <v/>
      </c>
      <c r="AE10" s="233">
        <f>IF(LEFT(F10,3)="10K",(0.417*1.07*K10),IF(LEFT(F10,3)="14K",(0.585*1.05*K10),IF(LEFT(F10,3)="18K",(0.75*1.05*K10),0)))</f>
        <v/>
      </c>
      <c r="AG10" s="249">
        <f>IF(AF10&gt;0,AF10*K10,X10)</f>
        <v/>
      </c>
    </row>
    <row r="11" ht="54.75" customFormat="1" customHeight="1" s="220">
      <c r="A11" s="221" t="n">
        <v>5</v>
      </c>
      <c r="B11" s="244" t="inlineStr">
        <is>
          <t>K0639N165 16"+2"+2"</t>
        </is>
      </c>
      <c r="C11" s="244" t="n"/>
      <c r="D11" s="244" t="n"/>
      <c r="E11" s="244" t="n"/>
      <c r="F11" s="244" t="inlineStr">
        <is>
          <t>14K WG</t>
        </is>
      </c>
      <c r="G11" s="251" t="n">
        <v>10</v>
      </c>
      <c r="H11" s="262">
        <f>G11*1.85</f>
        <v/>
      </c>
      <c r="I11" s="262" t="n"/>
      <c r="J11" s="262" t="n"/>
      <c r="K11" s="263">
        <f>H11-I11-J11</f>
        <v/>
      </c>
      <c r="L11" s="227" t="n">
        <v>2.5</v>
      </c>
      <c r="M11" s="227" t="inlineStr">
        <is>
          <t>W</t>
        </is>
      </c>
      <c r="N11" s="228" t="n">
        <v>8</v>
      </c>
      <c r="O11" s="229" t="inlineStr">
        <is>
          <t>$6.50/g+$2.00/st</t>
        </is>
      </c>
      <c r="P11" s="230" t="n"/>
      <c r="Q11" s="231">
        <f>0.5*G11</f>
        <v/>
      </c>
      <c r="R11" s="231" t="n"/>
      <c r="S11" s="231">
        <f>0.02*N11*G11</f>
        <v/>
      </c>
      <c r="T11" s="231" t="n"/>
      <c r="U11" s="231">
        <f>0.3*K11</f>
        <v/>
      </c>
      <c r="V11" s="231" t="n"/>
      <c r="W11" s="231">
        <f>G11*N11*1</f>
        <v/>
      </c>
      <c r="X11" s="231">
        <f>6.5*K11+2*8*G11</f>
        <v/>
      </c>
      <c r="Y11" s="231">
        <f>($Y$14/31.1035*IF(LEFT(F11,3)="10K",(0.417*1.07*K11),IF(LEFT(F11,3)="14K",(0.585*1.05*K11),IF(LEFT(F11,3)="18K",(0.75*1.05*K11),0))))*0.5</f>
        <v/>
      </c>
      <c r="Z11" s="232">
        <f>($Z$14/31.1035*IF(LEFT(F11,3)="10K",(0.417*1.07*K11),IF(LEFT(F11,3)="14K",(0.585*1.05*K11),IF(LEFT(F11,3)="18K",(0.75*1.05*K11),0))))*0.5</f>
        <v/>
      </c>
      <c r="AA11" s="233">
        <f>2*K11</f>
        <v/>
      </c>
      <c r="AB11" s="233">
        <f>(SUM(Q11:W11)+AG11)-AA11</f>
        <v/>
      </c>
      <c r="AC11" s="233">
        <f>AE11*$AC$13+P11*$AC$14</f>
        <v/>
      </c>
      <c r="AD11" s="233">
        <f>SUM(AB11:AC11)</f>
        <v/>
      </c>
      <c r="AE11" s="233">
        <f>IF(LEFT(F11,3)="10K",(0.417*1.07*K11),IF(LEFT(F11,3)="14K",(0.585*1.05*K11),IF(LEFT(F11,3)="18K",(0.75*1.05*K11),0)))</f>
        <v/>
      </c>
      <c r="AG11" s="249">
        <f>IF(AF11&gt;0,AF11*K11,X11)</f>
        <v/>
      </c>
    </row>
    <row r="12" ht="55.5" customFormat="1" customHeight="1" s="220">
      <c r="A12" s="221" t="n"/>
      <c r="B12" s="244" t="inlineStr">
        <is>
          <t>K0639N165 16"+2"+2"</t>
        </is>
      </c>
      <c r="C12" s="244" t="n"/>
      <c r="D12" s="244" t="n"/>
      <c r="E12" s="244" t="n"/>
      <c r="F12" s="244" t="inlineStr">
        <is>
          <t>14K YG</t>
        </is>
      </c>
      <c r="G12" s="251" t="n">
        <v>30</v>
      </c>
      <c r="H12" s="262">
        <f>G12*1.85</f>
        <v/>
      </c>
      <c r="I12" s="262" t="n"/>
      <c r="J12" s="262" t="n"/>
      <c r="K12" s="263">
        <f>H12-I12-J12</f>
        <v/>
      </c>
      <c r="L12" s="227" t="n">
        <v>2.5</v>
      </c>
      <c r="M12" s="227" t="inlineStr">
        <is>
          <t>W</t>
        </is>
      </c>
      <c r="N12" s="228" t="n">
        <v>8</v>
      </c>
      <c r="O12" s="229" t="inlineStr">
        <is>
          <t>$6.50/g+$2.00/st</t>
        </is>
      </c>
      <c r="P12" s="230" t="n"/>
      <c r="Q12" s="231">
        <f>0.5*G12</f>
        <v/>
      </c>
      <c r="R12" s="231" t="n"/>
      <c r="S12" s="231">
        <f>0.02*N12*G12</f>
        <v/>
      </c>
      <c r="T12" s="231" t="n"/>
      <c r="U12" s="231">
        <f>IF(RIGHT(F12,2)="WG",K12*$AB$4,IF(RIGHT(F12,3)="WRG",K12*$AB$4+3*G12,IF(RIGHT(F12,3)="WYG",K12*$AB$4+3*G12,IF(RIGHT(F12,3)="WYR",K12*$AB$4+3*G12,0))))</f>
        <v/>
      </c>
      <c r="V12" s="231" t="n"/>
      <c r="W12" s="231">
        <f>G12*N12*1</f>
        <v/>
      </c>
      <c r="X12" s="231">
        <f>6.5*K12+2*8*G12</f>
        <v/>
      </c>
      <c r="Y12" s="231">
        <f>($Y$14/31.1035*IF(LEFT(F12,3)="10K",(0.417*1.07*K12),IF(LEFT(F12,3)="14K",(0.585*1.05*K12),IF(LEFT(F12,3)="18K",(0.75*1.05*K12),0))))*0.5</f>
        <v/>
      </c>
      <c r="Z12" s="232">
        <f>($Z$14/31.1035*IF(LEFT(F12,3)="10K",(0.417*1.07*K12),IF(LEFT(F12,3)="14K",(0.585*1.05*K12),IF(LEFT(F12,3)="18K",(0.75*1.05*K12),0))))*0.5</f>
        <v/>
      </c>
      <c r="AA12" s="233">
        <f>2*K12</f>
        <v/>
      </c>
      <c r="AB12" s="233">
        <f>(SUM(Q12:W12)+AG12)-AA12</f>
        <v/>
      </c>
      <c r="AC12" s="233">
        <f>AE12*$AC$13+P12*$AC$14</f>
        <v/>
      </c>
      <c r="AD12" s="233">
        <f>SUM(AB12:AC12)</f>
        <v/>
      </c>
      <c r="AE12" s="233">
        <f>IF(LEFT(F12,3)="10K",(0.417*1.07*K12),IF(LEFT(F12,3)="14K",(0.585*1.05*K12),IF(LEFT(F12,3)="18K",(0.75*1.05*K12),0)))</f>
        <v/>
      </c>
      <c r="AG12" s="249">
        <f>IF(AF12&gt;0,AF12*K12,X12)</f>
        <v/>
      </c>
    </row>
    <row r="13" ht="15.75" customFormat="1" customHeight="1" s="234">
      <c r="A13" s="235" t="inlineStr">
        <is>
          <t>SUBTOTAL</t>
        </is>
      </c>
      <c r="B13" s="236" t="n"/>
      <c r="C13" s="236" t="n"/>
      <c r="D13" s="236" t="n"/>
      <c r="E13" s="236" t="n"/>
      <c r="F13" s="236" t="n"/>
      <c r="G13" s="237">
        <f>SUM(G4:G12)</f>
        <v/>
      </c>
      <c r="H13" s="265" t="n"/>
      <c r="I13" s="265" t="n"/>
      <c r="J13" s="265" t="n"/>
      <c r="K13" s="265">
        <f>SUM(K4:K12)</f>
        <v/>
      </c>
      <c r="L13" s="239" t="n"/>
      <c r="M13" s="239" t="n"/>
      <c r="N13" s="239" t="n"/>
      <c r="O13" s="261" t="n"/>
      <c r="P13" s="241">
        <f>SUM(P4:P12)</f>
        <v/>
      </c>
      <c r="Q13" s="242">
        <f>SUM(Q4:Q12)</f>
        <v/>
      </c>
      <c r="R13" s="242">
        <f>SUM(R4:R12)</f>
        <v/>
      </c>
      <c r="S13" s="242">
        <f>SUM(S4:S12)</f>
        <v/>
      </c>
      <c r="T13" s="242">
        <f>SUM(T4:T12)</f>
        <v/>
      </c>
      <c r="U13" s="242">
        <f>SUM(U4:U12)</f>
        <v/>
      </c>
      <c r="V13" s="242">
        <f>SUM(V4:V12)</f>
        <v/>
      </c>
      <c r="W13" s="242">
        <f>SUM(W4:W12)</f>
        <v/>
      </c>
      <c r="X13" s="242">
        <f>SUM(X4:X12)</f>
        <v/>
      </c>
      <c r="Y13" s="242">
        <f>SUM(Y4:Y12)</f>
        <v/>
      </c>
      <c r="Z13" s="243">
        <f>SUM(Z4:Z12)</f>
        <v/>
      </c>
      <c r="AA13" s="233" t="n"/>
      <c r="AB13" s="233" t="n"/>
      <c r="AC13" s="233" t="n"/>
      <c r="AD13" s="233" t="n"/>
      <c r="AE13" s="233" t="n"/>
      <c r="AG13" s="220" t="n"/>
    </row>
    <row r="14" ht="15.75" customFormat="1" customHeight="1" s="157">
      <c r="A14" s="206" t="inlineStr">
        <is>
          <t>Buyer Dia</t>
        </is>
      </c>
      <c r="B14" s="156" t="n"/>
      <c r="C14" s="156" t="n"/>
      <c r="D14" s="156" t="n"/>
      <c r="E14" s="156" t="n"/>
      <c r="F14" s="156" t="n"/>
      <c r="G14" s="156" t="n"/>
      <c r="H14" s="253" t="n"/>
      <c r="I14" s="253" t="n"/>
      <c r="J14" s="253" t="n"/>
      <c r="K14" s="254" t="n"/>
      <c r="L14" s="207" t="n"/>
      <c r="M14" s="207" t="n"/>
      <c r="N14" s="207" t="n"/>
      <c r="O14" s="255" t="n"/>
      <c r="P14" s="160" t="n"/>
      <c r="Q14" s="161" t="n"/>
      <c r="R14" s="161" t="n"/>
      <c r="S14" s="161" t="n"/>
      <c r="T14" s="161" t="n"/>
      <c r="U14" s="161" t="n"/>
      <c r="V14" s="161" t="n"/>
      <c r="W14" s="208" t="n"/>
      <c r="X14" s="209" t="inlineStr">
        <is>
          <t>23 Apr London AM + 2%</t>
        </is>
      </c>
      <c r="Y14" s="210">
        <f>1.02*3332.85</f>
        <v/>
      </c>
      <c r="Z14" s="210">
        <f>1.02*3332.85</f>
        <v/>
      </c>
      <c r="AA14" s="233" t="n"/>
      <c r="AB14" s="233" t="n"/>
      <c r="AC14" s="233" t="n"/>
      <c r="AD14" s="233" t="n"/>
      <c r="AE14" s="233" t="n"/>
      <c r="AG14" s="220" t="n"/>
    </row>
    <row r="15" ht="54.75" customFormat="1" customHeight="1" s="211">
      <c r="A15" s="212" t="inlineStr">
        <is>
          <t>PO#</t>
        </is>
      </c>
      <c r="B15" s="213" t="inlineStr">
        <is>
          <t>Item No.</t>
        </is>
      </c>
      <c r="C15" s="213" t="inlineStr">
        <is>
          <t>Buyer No.</t>
        </is>
      </c>
      <c r="D15" s="213" t="inlineStr">
        <is>
          <t>Buyer PO</t>
        </is>
      </c>
      <c r="E15" s="213" t="inlineStr">
        <is>
          <t>IDD PO SERIAL#</t>
        </is>
      </c>
      <c r="F15" s="213" t="inlineStr">
        <is>
          <t>Metal</t>
        </is>
      </c>
      <c r="G15" s="213" t="inlineStr">
        <is>
          <t>Q'ty</t>
        </is>
      </c>
      <c r="H15" s="256" t="inlineStr">
        <is>
          <t>Total w't</t>
        </is>
      </c>
      <c r="I15" s="256" t="inlineStr">
        <is>
          <t>Dia w't</t>
        </is>
      </c>
      <c r="J15" s="256" t="inlineStr">
        <is>
          <t>Wire w't</t>
        </is>
      </c>
      <c r="K15" s="256" t="inlineStr">
        <is>
          <t>Gold w't</t>
        </is>
      </c>
      <c r="L15" s="215" t="inlineStr">
        <is>
          <t>Stone</t>
        </is>
      </c>
      <c r="M15" s="215" t="inlineStr">
        <is>
          <t>Color</t>
        </is>
      </c>
      <c r="N15" s="215" t="inlineStr">
        <is>
          <t>Stone Q'ty</t>
        </is>
      </c>
      <c r="O15" s="257" t="inlineStr">
        <is>
          <t>Labor</t>
        </is>
      </c>
      <c r="P15" s="216" t="inlineStr">
        <is>
          <t>Dia Carat</t>
        </is>
      </c>
      <c r="Q15" s="217" t="inlineStr">
        <is>
          <t>Tag Cost</t>
        </is>
      </c>
      <c r="R15" s="217" t="inlineStr">
        <is>
          <t>Dia Packaging Cost</t>
        </is>
      </c>
      <c r="S15" s="217" t="inlineStr">
        <is>
          <t>Dia Handling Service Fee</t>
        </is>
      </c>
      <c r="T15" s="217" t="inlineStr">
        <is>
          <t>Wire
Cost</t>
        </is>
      </c>
      <c r="U15" s="217" t="inlineStr">
        <is>
          <t>Plating Cost</t>
        </is>
      </c>
      <c r="V15" s="217" t="inlineStr">
        <is>
          <t>Stone
Cost</t>
        </is>
      </c>
      <c r="W15" s="217" t="inlineStr">
        <is>
          <t>Setting
Cost</t>
        </is>
      </c>
      <c r="X15" s="218" t="inlineStr">
        <is>
          <t>Labor
Cost</t>
        </is>
      </c>
      <c r="Y15" s="219" t="inlineStr">
        <is>
          <t>Gold &amp; 5%
Cost</t>
        </is>
      </c>
      <c r="Z15" s="218" t="inlineStr">
        <is>
          <t>Current Gold &amp;
5% Cost</t>
        </is>
      </c>
      <c r="AA15" s="233" t="n"/>
      <c r="AB15" s="233" t="n"/>
      <c r="AC15" s="233" t="n"/>
      <c r="AD15" s="233" t="n"/>
      <c r="AE15" s="233" t="n"/>
      <c r="AG15" s="220" t="n"/>
    </row>
    <row r="16" ht="54.75" customFormat="1" customHeight="1" s="220">
      <c r="A16" s="221" t="inlineStr">
        <is>
          <t>ELI250415RB-14K-2</t>
        </is>
      </c>
      <c r="B16" s="244" t="inlineStr">
        <is>
          <t>K0639N154 16"+2"+2"</t>
        </is>
      </c>
      <c r="C16" s="244" t="n"/>
      <c r="D16" s="244" t="n"/>
      <c r="E16" s="244" t="n"/>
      <c r="F16" s="244" t="inlineStr">
        <is>
          <t>14K YG</t>
        </is>
      </c>
      <c r="G16" s="251" t="n">
        <v>50</v>
      </c>
      <c r="H16" s="262">
        <f>G16*2.12</f>
        <v/>
      </c>
      <c r="I16" s="262" t="n"/>
      <c r="J16" s="262" t="n"/>
      <c r="K16" s="263">
        <f>H16-I16-J16</f>
        <v/>
      </c>
      <c r="L16" s="227" t="n">
        <v>2.6</v>
      </c>
      <c r="M16" s="227" t="inlineStr">
        <is>
          <t>W</t>
        </is>
      </c>
      <c r="N16" s="228" t="n">
        <v>15</v>
      </c>
      <c r="O16" s="264" t="n">
        <v>2</v>
      </c>
      <c r="P16" s="230" t="n"/>
      <c r="Q16" s="231">
        <f>0.5*G16</f>
        <v/>
      </c>
      <c r="R16" s="231" t="n"/>
      <c r="S16" s="231">
        <f>0.02*N16*G16</f>
        <v/>
      </c>
      <c r="T16" s="231" t="n"/>
      <c r="U16" s="231">
        <f>IF(RIGHT(F16,2)="WG",K16*$AB$4,IF(RIGHT(F16,3)="WRG",K16*$AB$4+3*G16,IF(RIGHT(F16,3)="WYG",K16*$AB$4+3*G16,IF(RIGHT(F16,3)="WYR",K16*$AB$4+3*G16,0))))</f>
        <v/>
      </c>
      <c r="V16" s="231" t="n"/>
      <c r="W16" s="231">
        <f>G16*N16*1</f>
        <v/>
      </c>
      <c r="X16" s="231">
        <f>18*O16*G16</f>
        <v/>
      </c>
      <c r="Y16" s="231">
        <f>($Y$26/31.1035*IF(LEFT(F16,3)="10K",(0.417*1.07*K16),IF(LEFT(F16,3)="14K",(0.585*1.05*K16),IF(LEFT(F16,3)="18K",(0.75*1.05*K16),0))))*0.5</f>
        <v/>
      </c>
      <c r="Z16" s="232">
        <f>($Z$26/31.1035*IF(LEFT(F16,3)="10K",(0.417*1.07*K16),IF(LEFT(F16,3)="14K",(0.585*1.05*K16),IF(LEFT(F16,3)="18K",(0.75*1.05*K16),0))))*0.5</f>
        <v/>
      </c>
      <c r="AA16" s="233">
        <f>2*K16</f>
        <v/>
      </c>
      <c r="AB16" s="233">
        <f>(SUM(Q16:W16)+AG16)-AA16</f>
        <v/>
      </c>
      <c r="AC16" s="233">
        <f>AE16*$AC$13+P16*$AC$14</f>
        <v/>
      </c>
      <c r="AD16" s="233">
        <f>SUM(AB16:AC16)</f>
        <v/>
      </c>
      <c r="AE16" s="233">
        <f>IF(LEFT(F16,3)="10K",(0.417*1.07*K16),IF(LEFT(F16,3)="14K",(0.585*1.05*K16),IF(LEFT(F16,3)="18K",(0.75*1.05*K16),0)))</f>
        <v/>
      </c>
      <c r="AG16" s="249">
        <f>IF(AF16&gt;0,AF16*K16,X16)</f>
        <v/>
      </c>
    </row>
    <row r="17" ht="54.75" customFormat="1" customHeight="1" s="220">
      <c r="A17" s="221" t="n">
        <v>7</v>
      </c>
      <c r="B17" s="244" t="inlineStr">
        <is>
          <t>K0639N156 16"+2"+2"</t>
        </is>
      </c>
      <c r="C17" s="244" t="n"/>
      <c r="D17" s="244" t="n"/>
      <c r="E17" s="244" t="n"/>
      <c r="F17" s="244" t="inlineStr">
        <is>
          <t>14K YG</t>
        </is>
      </c>
      <c r="G17" s="251" t="n">
        <v>50</v>
      </c>
      <c r="H17" s="262">
        <f>G17*3.01</f>
        <v/>
      </c>
      <c r="I17" s="262" t="n"/>
      <c r="J17" s="262" t="n"/>
      <c r="K17" s="263">
        <f>H17-I17-J17</f>
        <v/>
      </c>
      <c r="L17" s="227" t="n">
        <v>3.3</v>
      </c>
      <c r="M17" s="227" t="inlineStr">
        <is>
          <t>W</t>
        </is>
      </c>
      <c r="N17" s="228" t="n">
        <v>15</v>
      </c>
      <c r="O17" s="264" t="n">
        <v>2</v>
      </c>
      <c r="P17" s="230" t="n"/>
      <c r="Q17" s="231">
        <f>0.5*G17</f>
        <v/>
      </c>
      <c r="R17" s="231" t="n"/>
      <c r="S17" s="231">
        <f>0.02*N17*G17</f>
        <v/>
      </c>
      <c r="T17" s="231" t="n"/>
      <c r="U17" s="231">
        <f>IF(RIGHT(F17,2)="WG",K17*$AB$4,IF(RIGHT(F17,3)="WRG",K17*$AB$4+3*G17,IF(RIGHT(F17,3)="WYG",K17*$AB$4+3*G17,IF(RIGHT(F17,3)="WYR",K17*$AB$4+3*G17,0))))</f>
        <v/>
      </c>
      <c r="V17" s="231" t="n"/>
      <c r="W17" s="231">
        <f>G17*N17*1</f>
        <v/>
      </c>
      <c r="X17" s="231">
        <f>18*O17*G17</f>
        <v/>
      </c>
      <c r="Y17" s="231">
        <f>($Y$26/31.1035*IF(LEFT(F17,3)="10K",(0.417*1.07*K17),IF(LEFT(F17,3)="14K",(0.585*1.05*K17),IF(LEFT(F17,3)="18K",(0.75*1.05*K17),0))))*0.5</f>
        <v/>
      </c>
      <c r="Z17" s="232">
        <f>($Z$26/31.1035*IF(LEFT(F17,3)="10K",(0.417*1.07*K17),IF(LEFT(F17,3)="14K",(0.585*1.05*K17),IF(LEFT(F17,3)="18K",(0.75*1.05*K17),0))))*0.5</f>
        <v/>
      </c>
      <c r="AA17" s="233">
        <f>2*K17</f>
        <v/>
      </c>
      <c r="AB17" s="233">
        <f>(SUM(Q17:W17)+AG17)-AA17</f>
        <v/>
      </c>
      <c r="AC17" s="233">
        <f>AE17*$AC$13+P17*$AC$14</f>
        <v/>
      </c>
      <c r="AD17" s="233">
        <f>SUM(AB17:AC17)</f>
        <v/>
      </c>
      <c r="AE17" s="233">
        <f>IF(LEFT(F17,3)="10K",(0.417*1.07*K17),IF(LEFT(F17,3)="14K",(0.585*1.05*K17),IF(LEFT(F17,3)="18K",(0.75*1.05*K17),0)))</f>
        <v/>
      </c>
      <c r="AG17" s="249">
        <f>IF(AF17&gt;0,AF17*K17,X17)</f>
        <v/>
      </c>
    </row>
    <row r="18" ht="54.75" customFormat="1" customHeight="1" s="220">
      <c r="A18" s="221" t="n">
        <v>8</v>
      </c>
      <c r="B18" s="244" t="inlineStr">
        <is>
          <t>K0639N157 16"+2"+2"</t>
        </is>
      </c>
      <c r="C18" s="244" t="n"/>
      <c r="D18" s="244" t="n"/>
      <c r="E18" s="244" t="n"/>
      <c r="F18" s="244" t="inlineStr">
        <is>
          <t>14K YG</t>
        </is>
      </c>
      <c r="G18" s="251" t="n">
        <v>50</v>
      </c>
      <c r="H18" s="262">
        <f>G18*2.65</f>
        <v/>
      </c>
      <c r="I18" s="262" t="n"/>
      <c r="J18" s="262" t="n"/>
      <c r="K18" s="263">
        <f>H18-I18-J18</f>
        <v/>
      </c>
      <c r="L18" s="227" t="n">
        <v>4.25</v>
      </c>
      <c r="M18" s="227" t="inlineStr">
        <is>
          <t>W</t>
        </is>
      </c>
      <c r="N18" s="228" t="n">
        <v>15</v>
      </c>
      <c r="O18" s="264" t="n">
        <v>2</v>
      </c>
      <c r="P18" s="230" t="n"/>
      <c r="Q18" s="231">
        <f>0.5*G18</f>
        <v/>
      </c>
      <c r="R18" s="231" t="n"/>
      <c r="S18" s="231">
        <f>0.02*N18*G18</f>
        <v/>
      </c>
      <c r="T18" s="231" t="n"/>
      <c r="U18" s="231">
        <f>IF(RIGHT(F18,2)="WG",K18*$AB$4,IF(RIGHT(F18,3)="WRG",K18*$AB$4+3*G18,IF(RIGHT(F18,3)="WYG",K18*$AB$4+3*G18,IF(RIGHT(F18,3)="WYR",K18*$AB$4+3*G18,0))))</f>
        <v/>
      </c>
      <c r="V18" s="231" t="n"/>
      <c r="W18" s="231">
        <f>G18*N18*1.25</f>
        <v/>
      </c>
      <c r="X18" s="231">
        <f>18*O18*G18</f>
        <v/>
      </c>
      <c r="Y18" s="231">
        <f>($Y$26/31.1035*IF(LEFT(F18,3)="10K",(0.417*1.07*K18),IF(LEFT(F18,3)="14K",(0.585*1.05*K18),IF(LEFT(F18,3)="18K",(0.75*1.05*K18),0))))*0.5</f>
        <v/>
      </c>
      <c r="Z18" s="232">
        <f>($Z$26/31.1035*IF(LEFT(F18,3)="10K",(0.417*1.07*K18),IF(LEFT(F18,3)="14K",(0.585*1.05*K18),IF(LEFT(F18,3)="18K",(0.75*1.05*K18),0))))*0.5</f>
        <v/>
      </c>
      <c r="AA18" s="233">
        <f>2*K18</f>
        <v/>
      </c>
      <c r="AB18" s="233">
        <f>(SUM(Q18:W18)+AG18)-AA18</f>
        <v/>
      </c>
      <c r="AC18" s="233">
        <f>AE18*$AC$13+P18*$AC$14</f>
        <v/>
      </c>
      <c r="AD18" s="233">
        <f>SUM(AB18:AC18)</f>
        <v/>
      </c>
      <c r="AE18" s="233">
        <f>IF(LEFT(F18,3)="10K",(0.417*1.07*K18),IF(LEFT(F18,3)="14K",(0.585*1.05*K18),IF(LEFT(F18,3)="18K",(0.75*1.05*K18),0)))</f>
        <v/>
      </c>
      <c r="AG18" s="249">
        <f>IF(AF18&gt;0,AF18*K18,X18)</f>
        <v/>
      </c>
    </row>
    <row r="19" ht="41.25" customFormat="1" customHeight="1" s="220">
      <c r="A19" s="221" t="n">
        <v>9</v>
      </c>
      <c r="B19" s="244" t="inlineStr">
        <is>
          <t>K0038B257 OV H 6.75"</t>
        </is>
      </c>
      <c r="C19" s="244" t="n"/>
      <c r="D19" s="244" t="n"/>
      <c r="E19" s="244" t="n"/>
      <c r="F19" s="244" t="inlineStr">
        <is>
          <t>14K WG</t>
        </is>
      </c>
      <c r="G19" s="251" t="n">
        <v>10</v>
      </c>
      <c r="H19" s="262">
        <f>G19*11.16</f>
        <v/>
      </c>
      <c r="I19" s="262" t="n"/>
      <c r="J19" s="262" t="n"/>
      <c r="K19" s="263">
        <f>H19-I19-J19</f>
        <v/>
      </c>
      <c r="L19" s="227" t="n">
        <v>3.2</v>
      </c>
      <c r="M19" s="227" t="inlineStr">
        <is>
          <t>W</t>
        </is>
      </c>
      <c r="N19" s="228" t="n">
        <v>26</v>
      </c>
      <c r="O19" s="229" t="n">
        <v>8.5</v>
      </c>
      <c r="P19" s="230" t="n"/>
      <c r="Q19" s="231">
        <f>0.5*G19</f>
        <v/>
      </c>
      <c r="R19" s="231" t="n"/>
      <c r="S19" s="231">
        <f>0.02*N19*G19</f>
        <v/>
      </c>
      <c r="T19" s="231">
        <f>2.3*G19</f>
        <v/>
      </c>
      <c r="U19" s="231">
        <f>IF(RIGHT(F19,2)="WG",K19*$AB$4,IF(RIGHT(F19,3)="WRG",K19*$AB$4+3*G19,IF(RIGHT(F19,3)="WYG",K19*$AB$4+3*G19,IF(RIGHT(F19,3)="WYR",K19*$AB$4+3*G19,0))))</f>
        <v/>
      </c>
      <c r="V19" s="231" t="n"/>
      <c r="W19" s="231">
        <f>G19*N19*0.5</f>
        <v/>
      </c>
      <c r="X19" s="231">
        <f>K19*O19</f>
        <v/>
      </c>
      <c r="Y19" s="231">
        <f>($Y$26/31.1035*IF(LEFT(F19,3)="10K",(0.417*1.07*K19),IF(LEFT(F19,3)="14K",(0.585*1.05*K19),IF(LEFT(F19,3)="18K",(0.75*1.05*K19),0))))*0.5</f>
        <v/>
      </c>
      <c r="Z19" s="232">
        <f>($Z$26/31.1035*IF(LEFT(F19,3)="10K",(0.417*1.07*K19),IF(LEFT(F19,3)="14K",(0.585*1.05*K19),IF(LEFT(F19,3)="18K",(0.75*1.05*K19),0))))*0.5</f>
        <v/>
      </c>
      <c r="AA19" s="233">
        <f>2*K19</f>
        <v/>
      </c>
      <c r="AB19" s="233">
        <f>(SUM(Q19:W19)+AG19)-AA19</f>
        <v/>
      </c>
      <c r="AC19" s="233">
        <f>AE19*$AC$13+P19*$AC$14</f>
        <v/>
      </c>
      <c r="AD19" s="233">
        <f>SUM(AB19:AC19)</f>
        <v/>
      </c>
      <c r="AE19" s="233">
        <f>IF(LEFT(F19,3)="10K",(0.417*1.07*K19),IF(LEFT(F19,3)="14K",(0.585*1.05*K19),IF(LEFT(F19,3)="18K",(0.75*1.05*K19),0)))</f>
        <v/>
      </c>
      <c r="AG19" s="249">
        <f>IF(AF19&gt;0,AF19*K19,X19)</f>
        <v/>
      </c>
    </row>
    <row r="20" ht="41.25" customFormat="1" customHeight="1" s="220">
      <c r="A20" s="221" t="n"/>
      <c r="B20" s="244" t="inlineStr">
        <is>
          <t>K0038B257 OV H 6.75"</t>
        </is>
      </c>
      <c r="C20" s="244" t="n"/>
      <c r="D20" s="244" t="n"/>
      <c r="E20" s="244" t="n"/>
      <c r="F20" s="244" t="inlineStr">
        <is>
          <t>14K YG</t>
        </is>
      </c>
      <c r="G20" s="251" t="n">
        <v>20</v>
      </c>
      <c r="H20" s="262">
        <f>G20*11.16</f>
        <v/>
      </c>
      <c r="I20" s="262" t="n"/>
      <c r="J20" s="262" t="n"/>
      <c r="K20" s="263">
        <f>H20-I20-J20</f>
        <v/>
      </c>
      <c r="L20" s="227" t="n">
        <v>3.2</v>
      </c>
      <c r="M20" s="227" t="inlineStr">
        <is>
          <t>W</t>
        </is>
      </c>
      <c r="N20" s="228" t="n">
        <v>26</v>
      </c>
      <c r="O20" s="229" t="n">
        <v>8.5</v>
      </c>
      <c r="P20" s="230" t="n"/>
      <c r="Q20" s="231">
        <f>0.5*G20</f>
        <v/>
      </c>
      <c r="R20" s="231" t="n"/>
      <c r="S20" s="231">
        <f>0.02*N20*G20</f>
        <v/>
      </c>
      <c r="T20" s="231">
        <f>2.3*G20</f>
        <v/>
      </c>
      <c r="U20" s="231">
        <f>IF(RIGHT(F20,2)="WG",K20*$AB$4,IF(RIGHT(F20,3)="WRG",K20*$AB$4+3*G20,IF(RIGHT(F20,3)="WYG",K20*$AB$4+3*G20,IF(RIGHT(F20,3)="WYR",K20*$AB$4+3*G20,0))))</f>
        <v/>
      </c>
      <c r="V20" s="231" t="n"/>
      <c r="W20" s="231">
        <f>G20*N20*0.5</f>
        <v/>
      </c>
      <c r="X20" s="231">
        <f>K20*O20</f>
        <v/>
      </c>
      <c r="Y20" s="231">
        <f>($Y$26/31.1035*IF(LEFT(F20,3)="10K",(0.417*1.07*K20),IF(LEFT(F20,3)="14K",(0.585*1.05*K20),IF(LEFT(F20,3)="18K",(0.75*1.05*K20),0))))*0.5</f>
        <v/>
      </c>
      <c r="Z20" s="232">
        <f>($Z$26/31.1035*IF(LEFT(F20,3)="10K",(0.417*1.07*K20),IF(LEFT(F20,3)="14K",(0.585*1.05*K20),IF(LEFT(F20,3)="18K",(0.75*1.05*K20),0))))*0.5</f>
        <v/>
      </c>
      <c r="AA20" s="233">
        <f>2*K20</f>
        <v/>
      </c>
      <c r="AB20" s="233">
        <f>(SUM(Q20:W20)+AG20)-AA20</f>
        <v/>
      </c>
      <c r="AC20" s="233">
        <f>AE20*$AC$13+P20*$AC$14</f>
        <v/>
      </c>
      <c r="AD20" s="233">
        <f>SUM(AB20:AC20)</f>
        <v/>
      </c>
      <c r="AE20" s="233">
        <f>IF(LEFT(F20,3)="10K",(0.417*1.07*K20),IF(LEFT(F20,3)="14K",(0.585*1.05*K20),IF(LEFT(F20,3)="18K",(0.75*1.05*K20),0)))</f>
        <v/>
      </c>
      <c r="AG20" s="249">
        <f>IF(AF20&gt;0,AF20*K20,X20)</f>
        <v/>
      </c>
    </row>
    <row r="21" ht="27" customFormat="1" customHeight="1" s="220">
      <c r="A21" s="221" t="n">
        <v>10</v>
      </c>
      <c r="B21" s="244" t="inlineStr">
        <is>
          <t>K5021E58 OV</t>
        </is>
      </c>
      <c r="C21" s="244" t="n"/>
      <c r="D21" s="244" t="n"/>
      <c r="E21" s="244" t="n"/>
      <c r="F21" s="244" t="inlineStr">
        <is>
          <t>14K WG</t>
        </is>
      </c>
      <c r="G21" s="251" t="n">
        <v>20</v>
      </c>
      <c r="H21" s="262">
        <f>G21*5.58</f>
        <v/>
      </c>
      <c r="I21" s="262" t="n"/>
      <c r="J21" s="262" t="n"/>
      <c r="K21" s="263">
        <f>H21-I21-J21</f>
        <v/>
      </c>
      <c r="L21" s="227" t="n">
        <v>2</v>
      </c>
      <c r="M21" s="227" t="inlineStr">
        <is>
          <t>W</t>
        </is>
      </c>
      <c r="N21" s="228" t="n">
        <v>62</v>
      </c>
      <c r="O21" s="229" t="n">
        <v>6.5</v>
      </c>
      <c r="P21" s="230" t="n"/>
      <c r="Q21" s="231">
        <f>0.5*G21*2</f>
        <v/>
      </c>
      <c r="R21" s="231" t="n"/>
      <c r="S21" s="231">
        <f>0.02*N21*G21</f>
        <v/>
      </c>
      <c r="T21" s="231" t="n"/>
      <c r="U21" s="231">
        <f>IF(RIGHT(F21,2)="WG",K21*$AB$4,IF(RIGHT(F21,3)="WRG",K21*$AB$4+3*G21,IF(RIGHT(F21,3)="WYG",K21*$AB$4+3*G21,IF(RIGHT(F21,3)="WYR",K21*$AB$4+3*G21,0))))</f>
        <v/>
      </c>
      <c r="V21" s="231" t="n"/>
      <c r="W21" s="231">
        <f>G21*N21*0.3</f>
        <v/>
      </c>
      <c r="X21" s="231">
        <f>K21*O21</f>
        <v/>
      </c>
      <c r="Y21" s="231">
        <f>($Y$26/31.1035*IF(LEFT(F21,3)="10K",(0.417*1.07*K21),IF(LEFT(F21,3)="14K",(0.585*1.05*K21),IF(LEFT(F21,3)="18K",(0.75*1.05*K21),0))))*0.5</f>
        <v/>
      </c>
      <c r="Z21" s="232">
        <f>($Z$26/31.1035*IF(LEFT(F21,3)="10K",(0.417*1.07*K21),IF(LEFT(F21,3)="14K",(0.585*1.05*K21),IF(LEFT(F21,3)="18K",(0.75*1.05*K21),0))))*0.5</f>
        <v/>
      </c>
      <c r="AA21" s="233">
        <f>2*K21</f>
        <v/>
      </c>
      <c r="AB21" s="233">
        <f>(SUM(Q21:W21)+AG21)-AA21</f>
        <v/>
      </c>
      <c r="AC21" s="233">
        <f>AE21*$AC$13+P21*$AC$14</f>
        <v/>
      </c>
      <c r="AD21" s="233">
        <f>SUM(AB21:AC21)</f>
        <v/>
      </c>
      <c r="AE21" s="233">
        <f>IF(LEFT(F21,3)="10K",(0.417*1.07*K21),IF(LEFT(F21,3)="14K",(0.585*1.05*K21),IF(LEFT(F21,3)="18K",(0.75*1.05*K21),0)))</f>
        <v/>
      </c>
      <c r="AG21" s="249">
        <f>IF(AF21&gt;0,AF21*K21,X21)</f>
        <v/>
      </c>
    </row>
    <row r="22" ht="27" customFormat="1" customHeight="1" s="220">
      <c r="A22" s="221" t="n"/>
      <c r="B22" s="244" t="inlineStr">
        <is>
          <t>K5021E58 OV</t>
        </is>
      </c>
      <c r="C22" s="244" t="n"/>
      <c r="D22" s="244" t="n"/>
      <c r="E22" s="244" t="n"/>
      <c r="F22" s="244" t="inlineStr">
        <is>
          <t>14K YG</t>
        </is>
      </c>
      <c r="G22" s="251" t="n">
        <v>20</v>
      </c>
      <c r="H22" s="262">
        <f>G22*5.58</f>
        <v/>
      </c>
      <c r="I22" s="262" t="n"/>
      <c r="J22" s="262" t="n"/>
      <c r="K22" s="263">
        <f>H22-I22-J22</f>
        <v/>
      </c>
      <c r="L22" s="227" t="n">
        <v>2</v>
      </c>
      <c r="M22" s="227" t="inlineStr">
        <is>
          <t>W</t>
        </is>
      </c>
      <c r="N22" s="228" t="n">
        <v>62</v>
      </c>
      <c r="O22" s="229" t="n">
        <v>6.5</v>
      </c>
      <c r="P22" s="230" t="n"/>
      <c r="Q22" s="231">
        <f>0.5*G22*2</f>
        <v/>
      </c>
      <c r="R22" s="231" t="n"/>
      <c r="S22" s="231">
        <f>0.02*N22*G22</f>
        <v/>
      </c>
      <c r="T22" s="231" t="n"/>
      <c r="U22" s="231">
        <f>IF(RIGHT(F22,2)="WG",K22*$AB$4,IF(RIGHT(F22,3)="WRG",K22*$AB$4+3*G22,IF(RIGHT(F22,3)="WYG",K22*$AB$4+3*G22,IF(RIGHT(F22,3)="WYR",K22*$AB$4+3*G22,0))))</f>
        <v/>
      </c>
      <c r="V22" s="231" t="n"/>
      <c r="W22" s="231">
        <f>G22*N22*0.3</f>
        <v/>
      </c>
      <c r="X22" s="231">
        <f>K22*O22</f>
        <v/>
      </c>
      <c r="Y22" s="231">
        <f>($Y$26/31.1035*IF(LEFT(F22,3)="10K",(0.417*1.07*K22),IF(LEFT(F22,3)="14K",(0.585*1.05*K22),IF(LEFT(F22,3)="18K",(0.75*1.05*K22),0))))*0.5</f>
        <v/>
      </c>
      <c r="Z22" s="232">
        <f>($Z$26/31.1035*IF(LEFT(F22,3)="10K",(0.417*1.07*K22),IF(LEFT(F22,3)="14K",(0.585*1.05*K22),IF(LEFT(F22,3)="18K",(0.75*1.05*K22),0))))*0.5</f>
        <v/>
      </c>
      <c r="AA22" s="233">
        <f>2*K22</f>
        <v/>
      </c>
      <c r="AB22" s="233">
        <f>(SUM(Q22:W22)+AG22)-AA22</f>
        <v/>
      </c>
      <c r="AC22" s="233">
        <f>AE22*$AC$13+P22*$AC$14</f>
        <v/>
      </c>
      <c r="AD22" s="233">
        <f>SUM(AB22:AC22)</f>
        <v/>
      </c>
      <c r="AE22" s="233">
        <f>IF(LEFT(F22,3)="10K",(0.417*1.07*K22),IF(LEFT(F22,3)="14K",(0.585*1.05*K22),IF(LEFT(F22,3)="18K",(0.75*1.05*K22),0)))</f>
        <v/>
      </c>
      <c r="AG22" s="249">
        <f>IF(AF22&gt;0,AF22*K22,X22)</f>
        <v/>
      </c>
    </row>
    <row r="23" ht="27" customFormat="1" customHeight="1" s="220">
      <c r="A23" s="221" t="n">
        <v>11</v>
      </c>
      <c r="B23" s="244" t="inlineStr">
        <is>
          <t>K5021E59 OV</t>
        </is>
      </c>
      <c r="C23" s="244" t="n"/>
      <c r="D23" s="244" t="n"/>
      <c r="E23" s="244" t="n"/>
      <c r="F23" s="244" t="inlineStr">
        <is>
          <t>14K YG</t>
        </is>
      </c>
      <c r="G23" s="251" t="n">
        <v>10</v>
      </c>
      <c r="H23" s="262">
        <f>G23*6.23</f>
        <v/>
      </c>
      <c r="I23" s="262" t="n"/>
      <c r="J23" s="262" t="n"/>
      <c r="K23" s="263">
        <f>H23-I23-J23</f>
        <v/>
      </c>
      <c r="L23" s="227" t="n">
        <v>2.4</v>
      </c>
      <c r="M23" s="227" t="inlineStr">
        <is>
          <t>W</t>
        </is>
      </c>
      <c r="N23" s="228" t="n">
        <v>50</v>
      </c>
      <c r="O23" s="229" t="n">
        <v>6.5</v>
      </c>
      <c r="P23" s="230" t="n"/>
      <c r="Q23" s="231">
        <f>0.5*G23*2</f>
        <v/>
      </c>
      <c r="R23" s="231" t="n"/>
      <c r="S23" s="231">
        <f>0.02*N23*G23</f>
        <v/>
      </c>
      <c r="T23" s="231" t="n"/>
      <c r="U23" s="231">
        <f>IF(RIGHT(F23,2)="WG",K23*$AB$4,IF(RIGHT(F23,3)="WRG",K23*$AB$4+3*G23,IF(RIGHT(F23,3)="WYG",K23*$AB$4+3*G23,IF(RIGHT(F23,3)="WYR",K23*$AB$4+3*G23,0))))</f>
        <v/>
      </c>
      <c r="V23" s="231" t="n"/>
      <c r="W23" s="231">
        <f>G23*N23*0.5</f>
        <v/>
      </c>
      <c r="X23" s="231">
        <f>K23*O23</f>
        <v/>
      </c>
      <c r="Y23" s="231">
        <f>($Y$26/31.1035*IF(LEFT(F23,3)="10K",(0.417*1.07*K23),IF(LEFT(F23,3)="14K",(0.585*1.05*K23),IF(LEFT(F23,3)="18K",(0.75*1.05*K23),0))))*0.5</f>
        <v/>
      </c>
      <c r="Z23" s="232">
        <f>($Z$26/31.1035*IF(LEFT(F23,3)="10K",(0.417*1.07*K23),IF(LEFT(F23,3)="14K",(0.585*1.05*K23),IF(LEFT(F23,3)="18K",(0.75*1.05*K23),0))))*0.5</f>
        <v/>
      </c>
      <c r="AA23" s="233">
        <f>2*K23</f>
        <v/>
      </c>
      <c r="AB23" s="233">
        <f>(SUM(Q23:W23)+AG23)-AA23</f>
        <v/>
      </c>
      <c r="AC23" s="233">
        <f>AE23*$AC$13+P23*$AC$14</f>
        <v/>
      </c>
      <c r="AD23" s="233">
        <f>SUM(AB23:AC23)</f>
        <v/>
      </c>
      <c r="AE23" s="233">
        <f>IF(LEFT(F23,3)="10K",(0.417*1.07*K23),IF(LEFT(F23,3)="14K",(0.585*1.05*K23),IF(LEFT(F23,3)="18K",(0.75*1.05*K23),0)))</f>
        <v/>
      </c>
      <c r="AG23" s="249">
        <f>IF(AF23&gt;0,AF23*K23,X23)</f>
        <v/>
      </c>
    </row>
    <row r="24" ht="27" customFormat="1" customHeight="1" s="220">
      <c r="A24" s="221" t="n">
        <v>12</v>
      </c>
      <c r="B24" s="244" t="inlineStr">
        <is>
          <t>K5021E62 OV</t>
        </is>
      </c>
      <c r="C24" s="244" t="n"/>
      <c r="D24" s="244" t="n"/>
      <c r="E24" s="244" t="n"/>
      <c r="F24" s="244" t="inlineStr">
        <is>
          <t>14K WG</t>
        </is>
      </c>
      <c r="G24" s="251" t="n">
        <v>20</v>
      </c>
      <c r="H24" s="262">
        <f>G24*10.5</f>
        <v/>
      </c>
      <c r="I24" s="262" t="n"/>
      <c r="J24" s="262" t="n"/>
      <c r="K24" s="263">
        <f>H24-I24-J24</f>
        <v/>
      </c>
      <c r="L24" s="227" t="n">
        <v>4</v>
      </c>
      <c r="M24" s="227" t="inlineStr">
        <is>
          <t>W</t>
        </is>
      </c>
      <c r="N24" s="228" t="n">
        <v>32</v>
      </c>
      <c r="O24" s="229" t="n">
        <v>6.5</v>
      </c>
      <c r="P24" s="230" t="n"/>
      <c r="Q24" s="231">
        <f>0.5*G24*2</f>
        <v/>
      </c>
      <c r="R24" s="231" t="n"/>
      <c r="S24" s="231">
        <f>0.02*N24*G24</f>
        <v/>
      </c>
      <c r="T24" s="231" t="n"/>
      <c r="U24" s="231">
        <f>IF(RIGHT(F24,2)="WG",K24*$AB$4,IF(RIGHT(F24,3)="WRG",K24*$AB$4+3*G24,IF(RIGHT(F24,3)="WYG",K24*$AB$4+3*G24,IF(RIGHT(F24,3)="WYR",K24*$AB$4+3*G24,0))))</f>
        <v/>
      </c>
      <c r="V24" s="231" t="n"/>
      <c r="W24" s="231">
        <f>G24*N24*0.75</f>
        <v/>
      </c>
      <c r="X24" s="231">
        <f>K24*O24</f>
        <v/>
      </c>
      <c r="Y24" s="231">
        <f>($Y$26/31.1035*IF(LEFT(F24,3)="10K",(0.417*1.07*K24),IF(LEFT(F24,3)="14K",(0.585*1.05*K24),IF(LEFT(F24,3)="18K",(0.75*1.05*K24),0))))*0.5</f>
        <v/>
      </c>
      <c r="Z24" s="232">
        <f>($Z$26/31.1035*IF(LEFT(F24,3)="10K",(0.417*1.07*K24),IF(LEFT(F24,3)="14K",(0.585*1.05*K24),IF(LEFT(F24,3)="18K",(0.75*1.05*K24),0))))*0.5</f>
        <v/>
      </c>
      <c r="AA24" s="233">
        <f>2*K24</f>
        <v/>
      </c>
      <c r="AB24" s="233">
        <f>(SUM(Q24:W24)+AG24)-AA24</f>
        <v/>
      </c>
      <c r="AC24" s="233">
        <f>AE24*$AC$13+P24*$AC$14</f>
        <v/>
      </c>
      <c r="AD24" s="233">
        <f>SUM(AB24:AC24)</f>
        <v/>
      </c>
      <c r="AE24" s="233">
        <f>IF(LEFT(F24,3)="10K",(0.417*1.07*K24),IF(LEFT(F24,3)="14K",(0.585*1.05*K24),IF(LEFT(F24,3)="18K",(0.75*1.05*K24),0)))</f>
        <v/>
      </c>
      <c r="AG24" s="249">
        <f>IF(AF24&gt;0,AF24*K24,X24)</f>
        <v/>
      </c>
    </row>
    <row r="25" ht="27" customFormat="1" customHeight="1" s="220">
      <c r="A25" s="221" t="n"/>
      <c r="B25" s="244" t="inlineStr">
        <is>
          <t>K5021E62 OV</t>
        </is>
      </c>
      <c r="C25" s="244" t="n"/>
      <c r="D25" s="244" t="n"/>
      <c r="E25" s="244" t="n"/>
      <c r="F25" s="244" t="inlineStr">
        <is>
          <t>14K YG</t>
        </is>
      </c>
      <c r="G25" s="251" t="n">
        <v>10</v>
      </c>
      <c r="H25" s="262">
        <f>G25*10.5</f>
        <v/>
      </c>
      <c r="I25" s="262" t="n"/>
      <c r="J25" s="262" t="n"/>
      <c r="K25" s="263">
        <f>H25-I25-J25</f>
        <v/>
      </c>
      <c r="L25" s="227" t="n">
        <v>4</v>
      </c>
      <c r="M25" s="227" t="inlineStr">
        <is>
          <t>W</t>
        </is>
      </c>
      <c r="N25" s="228" t="n">
        <v>32</v>
      </c>
      <c r="O25" s="229" t="n">
        <v>6.5</v>
      </c>
      <c r="P25" s="230" t="n"/>
      <c r="Q25" s="231">
        <f>0.5*G25*2</f>
        <v/>
      </c>
      <c r="R25" s="231" t="n"/>
      <c r="S25" s="231">
        <f>0.02*N25*G25</f>
        <v/>
      </c>
      <c r="T25" s="231" t="n"/>
      <c r="U25" s="231">
        <f>IF(RIGHT(F25,2)="WG",K25*$AB$4,IF(RIGHT(F25,3)="WRG",K25*$AB$4+3*G25,IF(RIGHT(F25,3)="WYG",K25*$AB$4+3*G25,IF(RIGHT(F25,3)="WYR",K25*$AB$4+3*G25,0))))</f>
        <v/>
      </c>
      <c r="V25" s="231" t="n"/>
      <c r="W25" s="231">
        <f>G25*N25*0.75</f>
        <v/>
      </c>
      <c r="X25" s="231">
        <f>K25*O25</f>
        <v/>
      </c>
      <c r="Y25" s="231">
        <f>($Y$26/31.1035*IF(LEFT(F25,3)="10K",(0.417*1.07*K25),IF(LEFT(F25,3)="14K",(0.585*1.05*K25),IF(LEFT(F25,3)="18K",(0.75*1.05*K25),0))))*0.5</f>
        <v/>
      </c>
      <c r="Z25" s="232">
        <f>($Z$26/31.1035*IF(LEFT(F25,3)="10K",(0.417*1.07*K25),IF(LEFT(F25,3)="14K",(0.585*1.05*K25),IF(LEFT(F25,3)="18K",(0.75*1.05*K25),0))))*0.5</f>
        <v/>
      </c>
      <c r="AA25" s="233">
        <f>2*K25</f>
        <v/>
      </c>
      <c r="AB25" s="233">
        <f>(SUM(Q25:W25)+AG25)-AA25</f>
        <v/>
      </c>
      <c r="AC25" s="233">
        <f>AE25*$AC$13+P25*$AC$14</f>
        <v/>
      </c>
      <c r="AD25" s="233">
        <f>SUM(AB25:AC25)</f>
        <v/>
      </c>
      <c r="AE25" s="233">
        <f>IF(LEFT(F25,3)="10K",(0.417*1.07*K25),IF(LEFT(F25,3)="14K",(0.585*1.05*K25),IF(LEFT(F25,3)="18K",(0.75*1.05*K25),0)))</f>
        <v/>
      </c>
      <c r="AG25" s="249">
        <f>IF(AF25&gt;0,AF25*K25,X25)</f>
        <v/>
      </c>
    </row>
    <row r="26" ht="110.25" customFormat="1" customHeight="1" s="220">
      <c r="A26" s="221" t="n">
        <v>13</v>
      </c>
      <c r="B26" s="244" t="inlineStr">
        <is>
          <t>K0218TN58 C4 17"</t>
        </is>
      </c>
      <c r="C26" s="244" t="n"/>
      <c r="D26" s="244" t="n"/>
      <c r="E26" s="244" t="n"/>
      <c r="F26" s="244" t="inlineStr">
        <is>
          <t>14K WG</t>
        </is>
      </c>
      <c r="G26" s="251" t="n">
        <v>20</v>
      </c>
      <c r="H26" s="262">
        <f>G26*13.97</f>
        <v/>
      </c>
      <c r="I26" s="262" t="n"/>
      <c r="J26" s="262" t="n"/>
      <c r="K26" s="263">
        <f>H26-I26-J26</f>
        <v/>
      </c>
      <c r="L26" s="227" t="inlineStr">
        <is>
          <t>1.45mm
1.90mm
2.25mm
2.55mm
2.75mm
3.05mm
3.70mm
4.25mm</t>
        </is>
      </c>
      <c r="M26" s="227" t="inlineStr">
        <is>
          <t>W
W
W
W
W
W
W
W</t>
        </is>
      </c>
      <c r="N26" s="228" t="inlineStr">
        <is>
          <t>218pcs
8pcs
6pcs
6pcs
6pcs
4pcs
2pcs
1pcs</t>
        </is>
      </c>
      <c r="O26" s="229" t="n">
        <v>8</v>
      </c>
      <c r="P26" s="230" t="n"/>
      <c r="Q26" s="231">
        <f>0.5*G26</f>
        <v/>
      </c>
      <c r="R26" s="231" t="n"/>
      <c r="S26" s="231">
        <f>0.02*(218+8+6+6+6+4+2+1)*G26</f>
        <v/>
      </c>
      <c r="T26" s="231" t="n"/>
      <c r="U26" s="231">
        <f>IF(RIGHT(F26,2)="WG",K26*$AB$4,IF(RIGHT(F26,3)="WRG",K26*$AB$4+3*G26,IF(RIGHT(F26,3)="WYG",K26*$AB$4+3*G26,IF(RIGHT(F26,3)="WYR",K26*$AB$4+3*G26,0))))</f>
        <v/>
      </c>
      <c r="V26" s="231" t="n"/>
      <c r="W26" s="231">
        <f>(((218+8+6)*0.3+(6+6+4)*0.5+(2+1)*0.75))*G26</f>
        <v/>
      </c>
      <c r="X26" s="231">
        <f>K26*O26</f>
        <v/>
      </c>
      <c r="Y26" s="231">
        <f>($Y$26/31.1035*IF(LEFT(F26,3)="10K",(0.417*1.07*K26),IF(LEFT(F26,3)="14K",(0.585*1.05*K26),IF(LEFT(F26,3)="18K",(0.75*1.05*K26),0))))*0.5</f>
        <v/>
      </c>
      <c r="Z26" s="232">
        <f>($Z$26/31.1035*IF(LEFT(F26,3)="10K",(0.417*1.07*K26),IF(LEFT(F26,3)="14K",(0.585*1.05*K26),IF(LEFT(F26,3)="18K",(0.75*1.05*K26),0))))*0.5</f>
        <v/>
      </c>
      <c r="AA26" s="233">
        <f>2*K26</f>
        <v/>
      </c>
      <c r="AB26" s="233">
        <f>(SUM(Q26:W26)+AG26)-AA26</f>
        <v/>
      </c>
      <c r="AC26" s="233">
        <f>AE26*$AC$13+P26*$AC$14</f>
        <v/>
      </c>
      <c r="AD26" s="233">
        <f>SUM(AB26:AC26)</f>
        <v/>
      </c>
      <c r="AE26" s="233">
        <f>IF(LEFT(F26,3)="10K",(0.417*1.07*K26),IF(LEFT(F26,3)="14K",(0.585*1.05*K26),IF(LEFT(F26,3)="18K",(0.75*1.05*K26),0)))</f>
        <v/>
      </c>
      <c r="AG26" s="249">
        <f>IF(AF26&gt;0,AF26*K26,X26)</f>
        <v/>
      </c>
    </row>
    <row r="27" ht="111" customFormat="1" customHeight="1" s="220">
      <c r="A27" s="221" t="n"/>
      <c r="B27" s="244" t="inlineStr">
        <is>
          <t>K0218TN58 C4 17"</t>
        </is>
      </c>
      <c r="C27" s="244" t="n"/>
      <c r="D27" s="244" t="n"/>
      <c r="E27" s="244" t="n"/>
      <c r="F27" s="244" t="inlineStr">
        <is>
          <t>14K YG</t>
        </is>
      </c>
      <c r="G27" s="251" t="n">
        <v>20</v>
      </c>
      <c r="H27" s="262">
        <f>G27*13.97</f>
        <v/>
      </c>
      <c r="I27" s="262" t="n"/>
      <c r="J27" s="262" t="n"/>
      <c r="K27" s="263">
        <f>H27-I27-J27</f>
        <v/>
      </c>
      <c r="L27" s="227" t="inlineStr">
        <is>
          <t>1.45mm
1.90mm
2.25mm
2.55mm
2.75mm
3.05mm
3.70mm
4.25mm</t>
        </is>
      </c>
      <c r="M27" s="227" t="inlineStr">
        <is>
          <t>W
W
W
W
W
W
W
W</t>
        </is>
      </c>
      <c r="N27" s="228" t="inlineStr">
        <is>
          <t>218pcs
8pcs
6pcs
6pcs
6pcs
4pcs
2pcs
1pcs</t>
        </is>
      </c>
      <c r="O27" s="229" t="n">
        <v>8</v>
      </c>
      <c r="P27" s="230" t="n"/>
      <c r="Q27" s="231">
        <f>0.5*G27</f>
        <v/>
      </c>
      <c r="R27" s="231" t="n"/>
      <c r="S27" s="231">
        <f>0.02*(218+8+6+6+6+4+2+1)*G27</f>
        <v/>
      </c>
      <c r="T27" s="231" t="n"/>
      <c r="U27" s="231">
        <f>IF(RIGHT(F27,2)="WG",K27*$AB$4,IF(RIGHT(F27,3)="WRG",K27*$AB$4+3*G27,IF(RIGHT(F27,3)="WYG",K27*$AB$4+3*G27,IF(RIGHT(F27,3)="WYR",K27*$AB$4+3*G27,0))))</f>
        <v/>
      </c>
      <c r="V27" s="231" t="n"/>
      <c r="W27" s="231">
        <f>(((218+8+6)*0.3+(6+6+4)*0.5+(2+1)*0.75))*G27</f>
        <v/>
      </c>
      <c r="X27" s="231">
        <f>K27*O27</f>
        <v/>
      </c>
      <c r="Y27" s="231">
        <f>($Y$26/31.1035*IF(LEFT(F27,3)="10K",(0.417*1.07*K27),IF(LEFT(F27,3)="14K",(0.585*1.05*K27),IF(LEFT(F27,3)="18K",(0.75*1.05*K27),0))))*0.5</f>
        <v/>
      </c>
      <c r="Z27" s="232">
        <f>($Z$26/31.1035*IF(LEFT(F27,3)="10K",(0.417*1.07*K27),IF(LEFT(F27,3)="14K",(0.585*1.05*K27),IF(LEFT(F27,3)="18K",(0.75*1.05*K27),0))))*0.5</f>
        <v/>
      </c>
      <c r="AA27" s="233">
        <f>2*K27</f>
        <v/>
      </c>
      <c r="AB27" s="233">
        <f>(SUM(Q27:W27)+AG27)-AA27</f>
        <v/>
      </c>
      <c r="AC27" s="233">
        <f>AE27*$AC$13+P27*$AC$14</f>
        <v/>
      </c>
      <c r="AD27" s="233">
        <f>SUM(AB27:AC27)</f>
        <v/>
      </c>
      <c r="AE27" s="233">
        <f>IF(LEFT(F27,3)="10K",(0.417*1.07*K27),IF(LEFT(F27,3)="14K",(0.585*1.05*K27),IF(LEFT(F27,3)="18K",(0.75*1.05*K27),0)))</f>
        <v/>
      </c>
      <c r="AG27" s="249">
        <f>IF(AF27&gt;0,AF27*K27,X27)</f>
        <v/>
      </c>
    </row>
    <row r="28" ht="15.75" customFormat="1" customHeight="1" s="234">
      <c r="A28" s="235" t="inlineStr">
        <is>
          <t>SUBTOTAL</t>
        </is>
      </c>
      <c r="B28" s="236" t="n"/>
      <c r="C28" s="236" t="n"/>
      <c r="D28" s="236" t="n"/>
      <c r="E28" s="236" t="n"/>
      <c r="F28" s="236" t="n"/>
      <c r="G28" s="237">
        <f>SUM(G16:G27)</f>
        <v/>
      </c>
      <c r="H28" s="265" t="n"/>
      <c r="I28" s="265" t="n"/>
      <c r="J28" s="265" t="n"/>
      <c r="K28" s="265">
        <f>SUM(K16:K27)</f>
        <v/>
      </c>
      <c r="L28" s="239" t="n"/>
      <c r="M28" s="239" t="n"/>
      <c r="N28" s="239" t="n"/>
      <c r="O28" s="261" t="n"/>
      <c r="P28" s="241">
        <f>SUM(P16:P27)</f>
        <v/>
      </c>
      <c r="Q28" s="242">
        <f>SUM(Q16:Q27)</f>
        <v/>
      </c>
      <c r="R28" s="242">
        <f>SUM(R16:R27)</f>
        <v/>
      </c>
      <c r="S28" s="242">
        <f>SUM(S16:S27)</f>
        <v/>
      </c>
      <c r="T28" s="242">
        <f>SUM(T16:T27)</f>
        <v/>
      </c>
      <c r="U28" s="242">
        <f>SUM(U16:U27)</f>
        <v/>
      </c>
      <c r="V28" s="242">
        <f>SUM(V16:V27)</f>
        <v/>
      </c>
      <c r="W28" s="242">
        <f>SUM(W16:W27)</f>
        <v/>
      </c>
      <c r="X28" s="242">
        <f>SUM(X16:X27)</f>
        <v/>
      </c>
      <c r="Y28" s="242">
        <f>SUM(Y16:Y27)</f>
        <v/>
      </c>
      <c r="Z28" s="243">
        <f>SUM(Z16:Z27)</f>
        <v/>
      </c>
      <c r="AA28" s="233" t="n"/>
      <c r="AB28" s="266">
        <f>SUM(AB4:AB27)</f>
        <v/>
      </c>
      <c r="AC28" s="266">
        <f>SUM(AC4:AC27)</f>
        <v/>
      </c>
      <c r="AD28" s="266">
        <f>SUM(AD4:AD27)</f>
        <v/>
      </c>
      <c r="AE28" s="266">
        <f>SUM(AE4:AE27)</f>
        <v/>
      </c>
      <c r="AG28" s="267">
        <f>SUM(AG4:AG27)</f>
        <v/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hkjung</dc:creator>
  <dc:language xmlns:dc="http://purl.org/dc/elements/1.1/">en-US</dc:language>
  <dcterms:created xmlns:dcterms="http://purl.org/dc/terms/" xmlns:xsi="http://www.w3.org/2001/XMLSchema-instance" xsi:type="dcterms:W3CDTF">2018-02-12T04:12:08Z</dcterms:created>
  <dcterms:modified xmlns:dcterms="http://purl.org/dc/terms/" xmlns:xsi="http://www.w3.org/2001/XMLSchema-instance" xsi:type="dcterms:W3CDTF">2025-05-15T13:52:58Z</dcterms:modified>
  <cp:revision>2</cp:revision>
  <cp:lastPrinted>2018-08-29T01:12:30Z</cp:lastPrinted>
</cp:coreProperties>
</file>