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'PI'!$A$1:$Y$75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4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&quot;$ &quot;#,#00.00&quot; /oz&quot;"/>
    <numFmt numFmtId="170" formatCode="0.00&quot; gr&quot;"/>
    <numFmt numFmtId="171" formatCode="#,##0.00&quot; g&quot;"/>
    <numFmt numFmtId="172" formatCode="0.00&quot;mm&quot;"/>
    <numFmt numFmtId="173" formatCode="\$0.00&quot;/g&quot;"/>
    <numFmt numFmtId="174" formatCode="#,##0.000&quot; ct&quot;"/>
    <numFmt numFmtId="175" formatCode="\$#,##0.00"/>
    <numFmt numFmtId="176" formatCode="#,#00.00&quot; gr&quot;"/>
    <numFmt numFmtId="177" formatCode="_-* #,##0_-;\-* #,##0_-;_-* \-_-;_-@_-"/>
  </numFmts>
  <fonts count="37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i val="1"/>
      <color theme="0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color theme="0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theme="0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theme="0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b val="1"/>
      <color rgb="FFFF000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6"/>
      <u val="single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theme="0" tint="-0.5"/>
      <sz val="10"/>
    </font>
    <font>
      <name val="Times New Roman"/>
      <charset val="1"/>
      <family val="1"/>
      <b val="1"/>
      <color theme="0"/>
      <sz val="14"/>
    </font>
    <font>
      <name val="Arial"/>
      <family val="2"/>
      <sz val="10"/>
    </font>
  </fonts>
  <fills count="6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thin"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/>
      <right style="thin"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 style="thin"/>
      <top style="hair"/>
      <bottom style="thick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7" fontId="0" fillId="0" borderId="0" applyAlignment="1">
      <alignment horizontal="general" vertical="bottom"/>
    </xf>
  </cellStyleXfs>
  <cellXfs count="313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9" fillId="0" borderId="0" applyAlignment="1" pivotButton="0" quotePrefix="0" xfId="21">
      <alignment horizontal="left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12" fillId="0" borderId="0" applyAlignment="1" pivotButton="0" quotePrefix="0" xfId="21">
      <alignment horizontal="left" vertical="center"/>
    </xf>
    <xf numFmtId="0" fontId="13" fillId="0" borderId="2" applyAlignment="1" pivotButton="0" quotePrefix="0" xfId="21">
      <alignment horizontal="center" vertical="center"/>
    </xf>
    <xf numFmtId="0" fontId="14" fillId="0" borderId="0" applyAlignment="1" pivotButton="0" quotePrefix="0" xfId="21">
      <alignment horizontal="general" vertical="center"/>
    </xf>
    <xf numFmtId="0" fontId="15" fillId="0" borderId="0" applyAlignment="1" pivotButton="0" quotePrefix="0" xfId="21">
      <alignment horizontal="left" vertical="center"/>
    </xf>
    <xf numFmtId="0" fontId="10" fillId="0" borderId="3" applyAlignment="1" pivotButton="0" quotePrefix="0" xfId="21">
      <alignment horizontal="general" vertical="center"/>
    </xf>
    <xf numFmtId="0" fontId="16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10" fillId="0" borderId="5" applyAlignment="1" pivotButton="0" quotePrefix="0" xfId="21">
      <alignment horizontal="general" vertical="center"/>
    </xf>
    <xf numFmtId="0" fontId="10" fillId="0" borderId="6" applyAlignment="1" pivotButton="0" quotePrefix="0" xfId="21">
      <alignment horizontal="general" vertical="center"/>
    </xf>
    <xf numFmtId="0" fontId="10" fillId="0" borderId="7" applyAlignment="1" pivotButton="0" quotePrefix="0" xfId="21">
      <alignment horizontal="general" vertical="center"/>
    </xf>
    <xf numFmtId="167" fontId="10" fillId="0" borderId="7" applyAlignment="1" pivotButton="0" quotePrefix="0" xfId="21">
      <alignment horizontal="general" vertical="center"/>
    </xf>
    <xf numFmtId="168" fontId="10" fillId="0" borderId="8" applyAlignment="1" pivotButton="0" quotePrefix="0" xfId="21">
      <alignment horizontal="general" vertical="center"/>
    </xf>
    <xf numFmtId="0" fontId="10" fillId="0" borderId="0" applyAlignment="1" pivotButton="0" quotePrefix="0" xfId="21">
      <alignment horizontal="general" vertical="center"/>
    </xf>
    <xf numFmtId="0" fontId="17" fillId="0" borderId="0" applyAlignment="1" pivotButton="0" quotePrefix="0" xfId="21">
      <alignment horizontal="left" vertical="center"/>
    </xf>
    <xf numFmtId="0" fontId="10" fillId="0" borderId="9" applyAlignment="1" pivotButton="0" quotePrefix="0" xfId="21">
      <alignment horizontal="general" vertical="center"/>
    </xf>
    <xf numFmtId="0" fontId="10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0" borderId="10" applyAlignment="1" pivotButton="0" quotePrefix="0" xfId="21">
      <alignment horizontal="general" vertical="center"/>
    </xf>
    <xf numFmtId="0" fontId="18" fillId="0" borderId="7" applyAlignment="1" pivotButton="0" quotePrefix="0" xfId="21">
      <alignment horizontal="general" vertical="center"/>
    </xf>
    <xf numFmtId="0" fontId="10" fillId="0" borderId="8" applyAlignment="1" pivotButton="0" quotePrefix="0" xfId="21">
      <alignment horizontal="general" vertical="center"/>
    </xf>
    <xf numFmtId="0" fontId="10" fillId="0" borderId="4" applyAlignment="1" pivotButton="0" quotePrefix="0" xfId="21">
      <alignment horizontal="left" vertical="center"/>
    </xf>
    <xf numFmtId="0" fontId="10" fillId="0" borderId="4" applyAlignment="1" pivotButton="0" quotePrefix="0" xfId="21">
      <alignment horizontal="general" vertical="center"/>
    </xf>
    <xf numFmtId="0" fontId="10" fillId="0" borderId="11" applyAlignment="1" pivotButton="0" quotePrefix="0" xfId="21">
      <alignment horizontal="general" vertical="center"/>
    </xf>
    <xf numFmtId="0" fontId="10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10" fillId="0" borderId="13" applyAlignment="1" pivotButton="0" quotePrefix="0" xfId="21">
      <alignment horizontal="general" vertical="center"/>
    </xf>
    <xf numFmtId="0" fontId="10" fillId="0" borderId="12" applyAlignment="1" pivotButton="0" quotePrefix="0" xfId="21">
      <alignment horizontal="general" vertical="center"/>
    </xf>
    <xf numFmtId="0" fontId="10" fillId="0" borderId="7" applyAlignment="1" pivotButton="0" quotePrefix="0" xfId="21">
      <alignment horizontal="left" vertical="center"/>
    </xf>
    <xf numFmtId="0" fontId="19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49" fontId="10" fillId="0" borderId="0" applyAlignment="1" pivotButton="0" quotePrefix="0" xfId="21">
      <alignment horizontal="center" vertical="center"/>
    </xf>
    <xf numFmtId="0" fontId="18" fillId="0" borderId="0" applyAlignment="1" pivotButton="0" quotePrefix="0" xfId="21">
      <alignment horizontal="general" vertical="center"/>
    </xf>
    <xf numFmtId="0" fontId="10" fillId="0" borderId="6" applyAlignment="1" pivotButton="0" quotePrefix="0" xfId="21">
      <alignment horizontal="left" vertical="center"/>
    </xf>
    <xf numFmtId="168" fontId="10" fillId="0" borderId="7" applyAlignment="1" pivotButton="0" quotePrefix="0" xfId="21">
      <alignment horizontal="right" vertical="center"/>
    </xf>
    <xf numFmtId="168" fontId="10" fillId="0" borderId="7" applyAlignment="1" pivotButton="0" quotePrefix="0" xfId="21">
      <alignment horizontal="left" vertical="center"/>
    </xf>
    <xf numFmtId="167" fontId="10" fillId="0" borderId="7" applyAlignment="1" pivotButton="0" quotePrefix="0" xfId="21">
      <alignment horizontal="right" vertical="center"/>
    </xf>
    <xf numFmtId="0" fontId="21" fillId="0" borderId="12" applyAlignment="1" pivotButton="0" quotePrefix="0" xfId="21">
      <alignment horizontal="center" vertical="center"/>
    </xf>
    <xf numFmtId="0" fontId="10" fillId="0" borderId="7" applyAlignment="1" pivotButton="0" quotePrefix="0" xfId="21">
      <alignment horizontal="right" vertical="center"/>
    </xf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right" vertical="center"/>
    </xf>
    <xf numFmtId="169" fontId="23" fillId="0" borderId="0" applyAlignment="1" pivotButton="0" quotePrefix="0" xfId="0">
      <alignment horizontal="center" vertical="center"/>
    </xf>
    <xf numFmtId="0" fontId="6" fillId="2" borderId="14" applyAlignment="1" pivotButton="0" quotePrefix="0" xfId="0">
      <alignment horizontal="center" vertical="center" wrapText="1"/>
    </xf>
    <xf numFmtId="0" fontId="6" fillId="2" borderId="15" applyAlignment="1" pivotButton="0" quotePrefix="0" xfId="0">
      <alignment horizontal="center" vertical="center" wrapText="1"/>
    </xf>
    <xf numFmtId="2" fontId="6" fillId="2" borderId="15" applyAlignment="1" pivotButton="0" quotePrefix="0" xfId="0">
      <alignment horizontal="center" vertical="center" wrapText="1"/>
    </xf>
    <xf numFmtId="170" fontId="6" fillId="2" borderId="15" applyAlignment="1" pivotButton="0" quotePrefix="0" xfId="0">
      <alignment horizontal="center" vertical="center" wrapText="1"/>
    </xf>
    <xf numFmtId="164" fontId="6" fillId="2" borderId="15" applyAlignment="1" pivotButton="0" quotePrefix="0" xfId="0">
      <alignment horizontal="center" vertical="center" wrapText="1"/>
    </xf>
    <xf numFmtId="164" fontId="6" fillId="3" borderId="15" applyAlignment="1" pivotButton="0" quotePrefix="0" xfId="0">
      <alignment horizontal="center" vertical="center" wrapText="1"/>
    </xf>
    <xf numFmtId="0" fontId="6" fillId="3" borderId="16" applyAlignment="1" pivotButton="0" quotePrefix="0" xfId="0">
      <alignment horizontal="center" vertical="center" wrapText="1"/>
    </xf>
    <xf numFmtId="0" fontId="22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left" vertical="center" wrapText="1"/>
    </xf>
    <xf numFmtId="0" fontId="21" fillId="0" borderId="17" applyAlignment="1" pivotButton="0" quotePrefix="0" xfId="0">
      <alignment horizontal="center" vertical="center"/>
    </xf>
    <xf numFmtId="0" fontId="21" fillId="0" borderId="18" applyAlignment="1" pivotButton="0" quotePrefix="0" xfId="0">
      <alignment horizontal="center" vertical="center" wrapText="1"/>
    </xf>
    <xf numFmtId="0" fontId="21" fillId="0" borderId="15" applyAlignment="1" pivotButton="0" quotePrefix="0" xfId="0">
      <alignment horizontal="center" vertical="center" wrapText="1"/>
    </xf>
    <xf numFmtId="1" fontId="24" fillId="0" borderId="18" applyAlignment="1" pivotButton="0" quotePrefix="0" xfId="0">
      <alignment horizontal="center" vertical="center" shrinkToFit="1"/>
    </xf>
    <xf numFmtId="171" fontId="21" fillId="0" borderId="18" applyAlignment="1" pivotButton="0" quotePrefix="0" xfId="0">
      <alignment horizontal="center" vertical="center" wrapText="1"/>
    </xf>
    <xf numFmtId="171" fontId="5" fillId="0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21" fillId="0" borderId="18" applyAlignment="1" pivotButton="0" quotePrefix="0" xfId="0">
      <alignment horizontal="center" vertical="center"/>
    </xf>
    <xf numFmtId="174" fontId="21" fillId="0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0" fontId="22" fillId="4" borderId="0" applyAlignment="1" pivotButton="0" quotePrefix="0" xfId="0">
      <alignment horizontal="center" vertical="center"/>
    </xf>
    <xf numFmtId="4" fontId="22" fillId="4" borderId="0" applyAlignment="1" pivotButton="0" quotePrefix="0" xfId="0">
      <alignment horizontal="center" vertical="center"/>
    </xf>
    <xf numFmtId="175" fontId="2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21" fillId="0" borderId="14" applyAlignment="1" pivotButton="0" quotePrefix="0" xfId="0">
      <alignment horizontal="center" vertical="center"/>
    </xf>
    <xf numFmtId="1" fontId="24" fillId="0" borderId="15" applyAlignment="1" pivotButton="0" quotePrefix="0" xfId="0">
      <alignment horizontal="center" vertical="center" shrinkToFit="1"/>
    </xf>
    <xf numFmtId="171" fontId="21" fillId="0" borderId="15" applyAlignment="1" pivotButton="0" quotePrefix="0" xfId="0">
      <alignment horizontal="center" vertical="center" wrapText="1"/>
    </xf>
    <xf numFmtId="0" fontId="25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5" fillId="0" borderId="21" applyAlignment="1" pivotButton="0" quotePrefix="0" xfId="0">
      <alignment horizontal="center" vertical="center"/>
    </xf>
    <xf numFmtId="171" fontId="5" fillId="0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5" fillId="0" borderId="21" applyAlignment="1" pivotButton="0" quotePrefix="0" xfId="0">
      <alignment horizontal="center" vertical="center"/>
    </xf>
    <xf numFmtId="174" fontId="25" fillId="0" borderId="21" applyAlignment="1" pivotButton="0" quotePrefix="0" xfId="0">
      <alignment horizontal="center" vertical="center"/>
    </xf>
    <xf numFmtId="175" fontId="25" fillId="0" borderId="21" applyAlignment="1" pivotButton="0" quotePrefix="0" xfId="0">
      <alignment horizontal="center" vertical="center"/>
    </xf>
    <xf numFmtId="175" fontId="25" fillId="0" borderId="22" applyAlignment="1" pivotButton="0" quotePrefix="0" xfId="0">
      <alignment horizontal="center" vertical="center"/>
    </xf>
    <xf numFmtId="0" fontId="22" fillId="0" borderId="0" applyAlignment="1" pivotButton="0" quotePrefix="0" xfId="0">
      <alignment horizontal="right" vertical="center"/>
    </xf>
    <xf numFmtId="4" fontId="6" fillId="0" borderId="0" applyAlignment="1" pivotButton="0" quotePrefix="0" xfId="0">
      <alignment horizontal="center" vertical="center"/>
    </xf>
    <xf numFmtId="171" fontId="21" fillId="5" borderId="18" applyAlignment="1" pivotButton="0" quotePrefix="0" xfId="0">
      <alignment horizontal="center" vertical="center" wrapText="1"/>
    </xf>
    <xf numFmtId="171" fontId="21" fillId="5" borderId="15" applyAlignment="1" pivotButton="0" quotePrefix="0" xfId="0">
      <alignment horizontal="center" vertical="center" wrapText="1"/>
    </xf>
    <xf numFmtId="171" fontId="5" fillId="5" borderId="18" applyAlignment="1" pivotButton="0" quotePrefix="0" xfId="0">
      <alignment horizontal="center" vertical="center"/>
    </xf>
    <xf numFmtId="171" fontId="5" fillId="5" borderId="2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25" fillId="0" borderId="9" applyAlignment="1" pivotButton="0" quotePrefix="0" xfId="0">
      <alignment horizontal="left" vertical="center"/>
    </xf>
    <xf numFmtId="1" fontId="25" fillId="0" borderId="0" applyAlignment="1" pivotButton="0" quotePrefix="0" xfId="0">
      <alignment horizontal="center" vertical="center"/>
    </xf>
    <xf numFmtId="171" fontId="5" fillId="5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5" fillId="0" borderId="0" applyAlignment="1" pivotButton="0" quotePrefix="0" xfId="0">
      <alignment horizontal="center" vertical="center"/>
    </xf>
    <xf numFmtId="174" fontId="25" fillId="0" borderId="0" applyAlignment="1" pivotButton="0" quotePrefix="0" xfId="0">
      <alignment horizontal="center" vertical="center"/>
    </xf>
    <xf numFmtId="175" fontId="25" fillId="0" borderId="0" applyAlignment="1" pivotButton="0" quotePrefix="0" xfId="0">
      <alignment horizontal="center" vertical="center"/>
    </xf>
    <xf numFmtId="175" fontId="25" fillId="0" borderId="10" applyAlignment="1" pivotButton="0" quotePrefix="0" xfId="0">
      <alignment horizontal="center" vertical="center"/>
    </xf>
    <xf numFmtId="0" fontId="21" fillId="0" borderId="23" applyAlignment="1" pivotButton="0" quotePrefix="0" xfId="0">
      <alignment horizontal="center" vertical="center"/>
    </xf>
    <xf numFmtId="0" fontId="21" fillId="0" borderId="24" applyAlignment="1" pivotButton="0" quotePrefix="0" xfId="0">
      <alignment horizontal="center" vertical="center"/>
    </xf>
    <xf numFmtId="170" fontId="21" fillId="0" borderId="24" applyAlignment="1" pivotButton="0" quotePrefix="0" xfId="0">
      <alignment horizontal="center" vertical="center"/>
    </xf>
    <xf numFmtId="165" fontId="21" fillId="0" borderId="24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5" fillId="0" borderId="24" applyAlignment="1" pivotButton="0" quotePrefix="0" xfId="0">
      <alignment horizontal="center" vertical="center"/>
    </xf>
    <xf numFmtId="175" fontId="25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6" fillId="0" borderId="26" applyAlignment="1" pivotButton="0" quotePrefix="0" xfId="0">
      <alignment horizontal="center" vertical="bottom"/>
    </xf>
    <xf numFmtId="170" fontId="5" fillId="0" borderId="0" applyAlignment="1" pivotButton="0" quotePrefix="0" xfId="0">
      <alignment horizontal="general" vertical="center"/>
    </xf>
    <xf numFmtId="164" fontId="27" fillId="0" borderId="0" applyAlignment="1" pivotButton="0" quotePrefix="0" xfId="0">
      <alignment horizontal="general" vertical="center"/>
    </xf>
    <xf numFmtId="164" fontId="28" fillId="0" borderId="0" applyAlignment="1" pivotButton="0" quotePrefix="0" xfId="0">
      <alignment horizontal="right" vertical="center"/>
    </xf>
    <xf numFmtId="175" fontId="28" fillId="0" borderId="27" applyAlignment="1" pivotButton="0" quotePrefix="0" xfId="0">
      <alignment horizontal="center" vertical="center"/>
    </xf>
    <xf numFmtId="164" fontId="29" fillId="0" borderId="0" applyAlignment="1" pivotButton="0" quotePrefix="0" xfId="0">
      <alignment horizontal="general" vertical="center"/>
    </xf>
    <xf numFmtId="0" fontId="26" fillId="0" borderId="0" applyAlignment="1" pivotButton="0" quotePrefix="0" xfId="0">
      <alignment horizontal="center" vertical="bottom"/>
    </xf>
    <xf numFmtId="0" fontId="30" fillId="0" borderId="0" applyAlignment="1" pivotButton="0" quotePrefix="0" xfId="0">
      <alignment horizontal="center" vertical="bottom"/>
    </xf>
    <xf numFmtId="175" fontId="28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31" fillId="0" borderId="0" applyAlignment="1" pivotButton="0" quotePrefix="0" xfId="0">
      <alignment horizontal="right" vertical="center"/>
    </xf>
    <xf numFmtId="175" fontId="31" fillId="0" borderId="10" applyAlignment="1" pivotButton="0" quotePrefix="0" xfId="0">
      <alignment horizontal="center" vertical="center"/>
    </xf>
    <xf numFmtId="0" fontId="32" fillId="0" borderId="0" applyAlignment="1" pivotButton="0" quotePrefix="0" xfId="20">
      <alignment horizontal="general" vertical="center"/>
    </xf>
    <xf numFmtId="175" fontId="31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10" fillId="0" borderId="9" applyAlignment="1" pivotButton="0" quotePrefix="0" xfId="0">
      <alignment horizontal="left" vertical="center"/>
    </xf>
    <xf numFmtId="0" fontId="10" fillId="0" borderId="0" applyAlignment="1" pivotButton="0" quotePrefix="0" xfId="0">
      <alignment horizontal="general" vertical="center"/>
    </xf>
    <xf numFmtId="170" fontId="1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6" fontId="11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general" vertical="center"/>
    </xf>
    <xf numFmtId="0" fontId="33" fillId="0" borderId="10" applyAlignment="1" pivotButton="0" quotePrefix="0" xfId="0">
      <alignment horizontal="general" vertical="center"/>
    </xf>
    <xf numFmtId="0" fontId="10" fillId="0" borderId="0" applyAlignment="1" pivotButton="0" quotePrefix="0" xfId="0">
      <alignment horizontal="right" vertical="center"/>
    </xf>
    <xf numFmtId="0" fontId="10" fillId="0" borderId="10" applyAlignment="1" pivotButton="0" quotePrefix="0" xfId="0">
      <alignment horizontal="general" vertical="center"/>
    </xf>
    <xf numFmtId="0" fontId="10" fillId="0" borderId="9" applyAlignment="1" pivotButton="0" quotePrefix="0" xfId="0">
      <alignment horizontal="general" vertical="center"/>
    </xf>
    <xf numFmtId="166" fontId="10" fillId="0" borderId="0" applyAlignment="1" pivotButton="0" quotePrefix="0" xfId="0">
      <alignment horizontal="left" vertical="center"/>
    </xf>
    <xf numFmtId="0" fontId="10" fillId="0" borderId="12" applyAlignment="1" pivotButton="0" quotePrefix="0" xfId="20">
      <alignment horizontal="center" vertical="center"/>
    </xf>
    <xf numFmtId="0" fontId="10" fillId="0" borderId="11" applyAlignment="1" pivotButton="0" quotePrefix="0" xfId="0">
      <alignment horizontal="general" vertical="center"/>
    </xf>
    <xf numFmtId="0" fontId="34" fillId="0" borderId="12" applyAlignment="1" pivotButton="0" quotePrefix="0" xfId="20">
      <alignment horizontal="general" vertical="center"/>
    </xf>
    <xf numFmtId="0" fontId="10" fillId="0" borderId="12" applyAlignment="1" pivotButton="0" quotePrefix="0" xfId="0">
      <alignment horizontal="general" vertical="center"/>
    </xf>
    <xf numFmtId="0" fontId="10" fillId="0" borderId="12" applyAlignment="1" pivotButton="0" quotePrefix="0" xfId="0">
      <alignment horizontal="right" vertical="center"/>
    </xf>
    <xf numFmtId="0" fontId="10" fillId="0" borderId="13" applyAlignment="1" pivotButton="0" quotePrefix="0" xfId="0">
      <alignment horizontal="general" vertical="center"/>
    </xf>
    <xf numFmtId="0" fontId="17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21">
      <alignment horizontal="general" vertical="center"/>
    </xf>
    <xf numFmtId="0" fontId="7" fillId="0" borderId="1" applyAlignment="1" pivotButton="0" quotePrefix="0" xfId="2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9" fillId="0" borderId="0" applyAlignment="1" pivotButton="0" quotePrefix="0" xfId="21">
      <alignment horizontal="left" vertical="center"/>
    </xf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0" fillId="0" borderId="10" pivotButton="0" quotePrefix="0" xfId="0"/>
    <xf numFmtId="0" fontId="12" fillId="0" borderId="0" applyAlignment="1" pivotButton="0" quotePrefix="0" xfId="21">
      <alignment horizontal="left" vertical="center"/>
    </xf>
    <xf numFmtId="0" fontId="14" fillId="0" borderId="0" applyAlignment="1" pivotButton="0" quotePrefix="0" xfId="21">
      <alignment horizontal="general" vertical="center"/>
    </xf>
    <xf numFmtId="0" fontId="13" fillId="0" borderId="2" applyAlignment="1" pivotButton="0" quotePrefix="0" xfId="21">
      <alignment horizontal="center" vertical="center"/>
    </xf>
    <xf numFmtId="0" fontId="15" fillId="0" borderId="0" applyAlignment="1" pivotButton="0" quotePrefix="0" xfId="21">
      <alignment horizontal="left" vertical="center"/>
    </xf>
    <xf numFmtId="0" fontId="10" fillId="0" borderId="0" applyAlignment="1" pivotButton="0" quotePrefix="0" xfId="21">
      <alignment horizontal="general" vertical="center"/>
    </xf>
    <xf numFmtId="0" fontId="10" fillId="0" borderId="3" applyAlignment="1" pivotButton="0" quotePrefix="0" xfId="21">
      <alignment horizontal="general" vertical="center"/>
    </xf>
    <xf numFmtId="0" fontId="16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10" fillId="0" borderId="5" applyAlignment="1" pivotButton="0" quotePrefix="0" xfId="21">
      <alignment horizontal="general" vertical="center"/>
    </xf>
    <xf numFmtId="0" fontId="10" fillId="0" borderId="6" applyAlignment="1" pivotButton="0" quotePrefix="0" xfId="21">
      <alignment horizontal="general" vertical="center"/>
    </xf>
    <xf numFmtId="0" fontId="10" fillId="0" borderId="7" applyAlignment="1" pivotButton="0" quotePrefix="0" xfId="21">
      <alignment horizontal="general" vertical="center"/>
    </xf>
    <xf numFmtId="167" fontId="10" fillId="0" borderId="7" applyAlignment="1" pivotButton="0" quotePrefix="0" xfId="21">
      <alignment horizontal="general" vertical="center"/>
    </xf>
    <xf numFmtId="168" fontId="10" fillId="0" borderId="8" applyAlignment="1" pivotButton="0" quotePrefix="0" xfId="21">
      <alignment horizontal="general" vertical="center"/>
    </xf>
    <xf numFmtId="0" fontId="17" fillId="0" borderId="0" applyAlignment="1" pivotButton="0" quotePrefix="0" xfId="21">
      <alignment horizontal="left" vertical="center"/>
    </xf>
    <xf numFmtId="0" fontId="10" fillId="0" borderId="9" applyAlignment="1" pivotButton="0" quotePrefix="0" xfId="21">
      <alignment horizontal="general" vertical="center"/>
    </xf>
    <xf numFmtId="0" fontId="10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0" borderId="10" applyAlignment="1" pivotButton="0" quotePrefix="0" xfId="21">
      <alignment horizontal="general" vertical="center"/>
    </xf>
    <xf numFmtId="0" fontId="18" fillId="0" borderId="7" applyAlignment="1" pivotButton="0" quotePrefix="0" xfId="21">
      <alignment horizontal="general" vertical="center"/>
    </xf>
    <xf numFmtId="0" fontId="10" fillId="0" borderId="8" applyAlignment="1" pivotButton="0" quotePrefix="0" xfId="21">
      <alignment horizontal="general" vertical="center"/>
    </xf>
    <xf numFmtId="0" fontId="10" fillId="0" borderId="4" applyAlignment="1" pivotButton="0" quotePrefix="0" xfId="21">
      <alignment horizontal="left" vertical="center"/>
    </xf>
    <xf numFmtId="0" fontId="10" fillId="0" borderId="4" applyAlignment="1" pivotButton="0" quotePrefix="0" xfId="21">
      <alignment horizontal="general" vertical="center"/>
    </xf>
    <xf numFmtId="0" fontId="10" fillId="0" borderId="11" applyAlignment="1" pivotButton="0" quotePrefix="0" xfId="21">
      <alignment horizontal="general" vertical="center"/>
    </xf>
    <xf numFmtId="0" fontId="10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10" fillId="0" borderId="13" applyAlignment="1" pivotButton="0" quotePrefix="0" xfId="21">
      <alignment horizontal="general" vertical="center"/>
    </xf>
    <xf numFmtId="0" fontId="10" fillId="0" borderId="12" applyAlignment="1" pivotButton="0" quotePrefix="0" xfId="21">
      <alignment horizontal="general" vertical="center"/>
    </xf>
    <xf numFmtId="0" fontId="10" fillId="0" borderId="7" applyAlignment="1" pivotButton="0" quotePrefix="0" xfId="21">
      <alignment horizontal="left" vertical="center"/>
    </xf>
    <xf numFmtId="0" fontId="19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49" fontId="10" fillId="0" borderId="0" applyAlignment="1" pivotButton="0" quotePrefix="0" xfId="21">
      <alignment horizontal="center" vertical="center"/>
    </xf>
    <xf numFmtId="0" fontId="18" fillId="0" borderId="0" applyAlignment="1" pivotButton="0" quotePrefix="0" xfId="21">
      <alignment horizontal="general" vertical="center"/>
    </xf>
    <xf numFmtId="0" fontId="10" fillId="0" borderId="6" applyAlignment="1" pivotButton="0" quotePrefix="0" xfId="21">
      <alignment horizontal="left" vertical="center"/>
    </xf>
    <xf numFmtId="168" fontId="10" fillId="0" borderId="7" applyAlignment="1" pivotButton="0" quotePrefix="0" xfId="21">
      <alignment horizontal="right" vertical="center"/>
    </xf>
    <xf numFmtId="168" fontId="10" fillId="0" borderId="7" applyAlignment="1" pivotButton="0" quotePrefix="0" xfId="21">
      <alignment horizontal="left" vertical="center"/>
    </xf>
    <xf numFmtId="167" fontId="10" fillId="0" borderId="7" applyAlignment="1" pivotButton="0" quotePrefix="0" xfId="21">
      <alignment horizontal="right" vertical="center"/>
    </xf>
    <xf numFmtId="0" fontId="21" fillId="0" borderId="12" applyAlignment="1" pivotButton="0" quotePrefix="0" xfId="21">
      <alignment horizontal="center" vertical="center"/>
    </xf>
    <xf numFmtId="0" fontId="10" fillId="0" borderId="7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general" vertical="center"/>
    </xf>
    <xf numFmtId="164" fontId="22" fillId="0" borderId="0" applyAlignment="1" pivotButton="0" quotePrefix="0" xfId="0">
      <alignment horizontal="right" vertical="center"/>
    </xf>
    <xf numFmtId="169" fontId="23" fillId="0" borderId="0" applyAlignment="1" pivotButton="0" quotePrefix="0" xfId="0">
      <alignment horizontal="center" vertical="center"/>
    </xf>
    <xf numFmtId="0" fontId="22" fillId="4" borderId="0" applyAlignment="1" pivotButton="0" quotePrefix="0" xfId="0">
      <alignment horizontal="center" vertical="center" wrapText="1"/>
    </xf>
    <xf numFmtId="0" fontId="6" fillId="2" borderId="14" applyAlignment="1" pivotButton="0" quotePrefix="0" xfId="0">
      <alignment horizontal="center" vertical="center" wrapText="1"/>
    </xf>
    <xf numFmtId="0" fontId="6" fillId="2" borderId="15" applyAlignment="1" pivotButton="0" quotePrefix="0" xfId="0">
      <alignment horizontal="center" vertical="center" wrapText="1"/>
    </xf>
    <xf numFmtId="2" fontId="6" fillId="2" borderId="15" applyAlignment="1" pivotButton="0" quotePrefix="0" xfId="0">
      <alignment horizontal="center" vertical="center" wrapText="1"/>
    </xf>
    <xf numFmtId="170" fontId="6" fillId="2" borderId="15" applyAlignment="1" pivotButton="0" quotePrefix="0" xfId="0">
      <alignment horizontal="center" vertical="center" wrapText="1"/>
    </xf>
    <xf numFmtId="164" fontId="6" fillId="2" borderId="15" applyAlignment="1" pivotButton="0" quotePrefix="0" xfId="0">
      <alignment horizontal="center" vertical="center" wrapText="1"/>
    </xf>
    <xf numFmtId="164" fontId="6" fillId="3" borderId="15" applyAlignment="1" pivotButton="0" quotePrefix="0" xfId="0">
      <alignment horizontal="center" vertical="center" wrapText="1"/>
    </xf>
    <xf numFmtId="0" fontId="6" fillId="3" borderId="16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left" vertical="center" wrapText="1"/>
    </xf>
    <xf numFmtId="0" fontId="22" fillId="4" borderId="0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1" fillId="0" borderId="18" applyAlignment="1" pivotButton="0" quotePrefix="0" xfId="0">
      <alignment horizontal="center" vertical="center" wrapText="1"/>
    </xf>
    <xf numFmtId="0" fontId="21" fillId="0" borderId="15" applyAlignment="1" pivotButton="0" quotePrefix="0" xfId="0">
      <alignment horizontal="center" vertical="center" wrapText="1"/>
    </xf>
    <xf numFmtId="1" fontId="24" fillId="0" borderId="18" applyAlignment="1" pivotButton="0" quotePrefix="0" xfId="0">
      <alignment horizontal="center" vertical="center" shrinkToFit="1"/>
    </xf>
    <xf numFmtId="171" fontId="21" fillId="0" borderId="18" applyAlignment="1" pivotButton="0" quotePrefix="0" xfId="0">
      <alignment horizontal="center" vertical="center" wrapText="1"/>
    </xf>
    <xf numFmtId="171" fontId="5" fillId="0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21" fillId="0" borderId="18" applyAlignment="1" pivotButton="0" quotePrefix="0" xfId="0">
      <alignment horizontal="center" vertical="center"/>
    </xf>
    <xf numFmtId="174" fontId="21" fillId="0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4" fontId="22" fillId="4" borderId="0" applyAlignment="1" pivotButton="0" quotePrefix="0" xfId="0">
      <alignment horizontal="center" vertical="center"/>
    </xf>
    <xf numFmtId="175" fontId="2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21" fillId="0" borderId="14" applyAlignment="1" pivotButton="0" quotePrefix="0" xfId="0">
      <alignment horizontal="center" vertical="center"/>
    </xf>
    <xf numFmtId="1" fontId="24" fillId="0" borderId="15" applyAlignment="1" pivotButton="0" quotePrefix="0" xfId="0">
      <alignment horizontal="center" vertical="center" shrinkToFit="1"/>
    </xf>
    <xf numFmtId="171" fontId="21" fillId="0" borderId="1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 vertical="center"/>
    </xf>
    <xf numFmtId="0" fontId="25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5" fillId="0" borderId="21" applyAlignment="1" pivotButton="0" quotePrefix="0" xfId="0">
      <alignment horizontal="center" vertical="center"/>
    </xf>
    <xf numFmtId="171" fontId="5" fillId="0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5" fillId="0" borderId="21" applyAlignment="1" pivotButton="0" quotePrefix="0" xfId="0">
      <alignment horizontal="center" vertical="center"/>
    </xf>
    <xf numFmtId="174" fontId="25" fillId="0" borderId="21" applyAlignment="1" pivotButton="0" quotePrefix="0" xfId="0">
      <alignment horizontal="center" vertical="center"/>
    </xf>
    <xf numFmtId="175" fontId="25" fillId="0" borderId="21" applyAlignment="1" pivotButton="0" quotePrefix="0" xfId="0">
      <alignment horizontal="center" vertical="center"/>
    </xf>
    <xf numFmtId="175" fontId="25" fillId="0" borderId="22" applyAlignment="1" pivotButton="0" quotePrefix="0" xfId="0">
      <alignment horizontal="center" vertical="center"/>
    </xf>
    <xf numFmtId="4" fontId="6" fillId="0" borderId="0" applyAlignment="1" pivotButton="0" quotePrefix="0" xfId="0">
      <alignment horizontal="center" vertical="center"/>
    </xf>
    <xf numFmtId="171" fontId="21" fillId="5" borderId="18" applyAlignment="1" pivotButton="0" quotePrefix="0" xfId="0">
      <alignment horizontal="center" vertical="center" wrapText="1"/>
    </xf>
    <xf numFmtId="171" fontId="21" fillId="5" borderId="15" applyAlignment="1" pivotButton="0" quotePrefix="0" xfId="0">
      <alignment horizontal="center" vertical="center" wrapText="1"/>
    </xf>
    <xf numFmtId="171" fontId="5" fillId="5" borderId="18" applyAlignment="1" pivotButton="0" quotePrefix="0" xfId="0">
      <alignment horizontal="center" vertical="center"/>
    </xf>
    <xf numFmtId="171" fontId="5" fillId="5" borderId="2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25" fillId="0" borderId="9" applyAlignment="1" pivotButton="0" quotePrefix="0" xfId="0">
      <alignment horizontal="left" vertical="center"/>
    </xf>
    <xf numFmtId="1" fontId="25" fillId="0" borderId="0" applyAlignment="1" pivotButton="0" quotePrefix="0" xfId="0">
      <alignment horizontal="center" vertical="center"/>
    </xf>
    <xf numFmtId="171" fontId="5" fillId="5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5" fillId="0" borderId="0" applyAlignment="1" pivotButton="0" quotePrefix="0" xfId="0">
      <alignment horizontal="center" vertical="center"/>
    </xf>
    <xf numFmtId="174" fontId="25" fillId="0" borderId="0" applyAlignment="1" pivotButton="0" quotePrefix="0" xfId="0">
      <alignment horizontal="center" vertical="center"/>
    </xf>
    <xf numFmtId="175" fontId="25" fillId="0" borderId="0" applyAlignment="1" pivotButton="0" quotePrefix="0" xfId="0">
      <alignment horizontal="center" vertical="center"/>
    </xf>
    <xf numFmtId="175" fontId="25" fillId="0" borderId="10" applyAlignment="1" pivotButton="0" quotePrefix="0" xfId="0">
      <alignment horizontal="center" vertical="center"/>
    </xf>
    <xf numFmtId="0" fontId="21" fillId="0" borderId="23" applyAlignment="1" pivotButton="0" quotePrefix="0" xfId="0">
      <alignment horizontal="center" vertical="center"/>
    </xf>
    <xf numFmtId="0" fontId="21" fillId="0" borderId="24" applyAlignment="1" pivotButton="0" quotePrefix="0" xfId="0">
      <alignment horizontal="center" vertical="center"/>
    </xf>
    <xf numFmtId="170" fontId="21" fillId="0" borderId="24" applyAlignment="1" pivotButton="0" quotePrefix="0" xfId="0">
      <alignment horizontal="center" vertical="center"/>
    </xf>
    <xf numFmtId="165" fontId="21" fillId="0" borderId="24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5" fillId="0" borderId="24" applyAlignment="1" pivotButton="0" quotePrefix="0" xfId="0">
      <alignment horizontal="center" vertical="center"/>
    </xf>
    <xf numFmtId="175" fontId="25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6" fillId="0" borderId="26" applyAlignment="1" pivotButton="0" quotePrefix="0" xfId="0">
      <alignment horizontal="center" vertical="bottom"/>
    </xf>
    <xf numFmtId="0" fontId="0" fillId="0" borderId="26" pivotButton="0" quotePrefix="0" xfId="0"/>
    <xf numFmtId="170" fontId="5" fillId="0" borderId="0" applyAlignment="1" pivotButton="0" quotePrefix="0" xfId="0">
      <alignment horizontal="general" vertical="center"/>
    </xf>
    <xf numFmtId="164" fontId="27" fillId="0" borderId="0" applyAlignment="1" pivotButton="0" quotePrefix="0" xfId="0">
      <alignment horizontal="general" vertical="center"/>
    </xf>
    <xf numFmtId="164" fontId="28" fillId="0" borderId="0" applyAlignment="1" pivotButton="0" quotePrefix="0" xfId="0">
      <alignment horizontal="right" vertical="center"/>
    </xf>
    <xf numFmtId="175" fontId="28" fillId="0" borderId="27" applyAlignment="1" pivotButton="0" quotePrefix="0" xfId="0">
      <alignment horizontal="center" vertical="center"/>
    </xf>
    <xf numFmtId="0" fontId="0" fillId="0" borderId="27" pivotButton="0" quotePrefix="0" xfId="0"/>
    <xf numFmtId="164" fontId="29" fillId="0" borderId="0" applyAlignment="1" pivotButton="0" quotePrefix="0" xfId="0">
      <alignment horizontal="general" vertical="center"/>
    </xf>
    <xf numFmtId="0" fontId="26" fillId="0" borderId="0" applyAlignment="1" pivotButton="0" quotePrefix="0" xfId="0">
      <alignment horizontal="center" vertical="bottom"/>
    </xf>
    <xf numFmtId="0" fontId="30" fillId="0" borderId="0" applyAlignment="1" pivotButton="0" quotePrefix="0" xfId="0">
      <alignment horizontal="center" vertical="bottom"/>
    </xf>
    <xf numFmtId="175" fontId="28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31" fillId="0" borderId="0" applyAlignment="1" pivotButton="0" quotePrefix="0" xfId="0">
      <alignment horizontal="right" vertical="center"/>
    </xf>
    <xf numFmtId="175" fontId="31" fillId="0" borderId="10" applyAlignment="1" pivotButton="0" quotePrefix="0" xfId="0">
      <alignment horizontal="center" vertical="center"/>
    </xf>
    <xf numFmtId="0" fontId="32" fillId="0" borderId="0" applyAlignment="1" pivotButton="0" quotePrefix="0" xfId="20">
      <alignment horizontal="general" vertical="center"/>
    </xf>
    <xf numFmtId="175" fontId="31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10" fillId="0" borderId="9" applyAlignment="1" pivotButton="0" quotePrefix="0" xfId="0">
      <alignment horizontal="left" vertical="center"/>
    </xf>
    <xf numFmtId="0" fontId="10" fillId="0" borderId="0" applyAlignment="1" pivotButton="0" quotePrefix="0" xfId="0">
      <alignment horizontal="general" vertical="center"/>
    </xf>
    <xf numFmtId="170" fontId="1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6" fontId="11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general" vertical="center"/>
    </xf>
    <xf numFmtId="0" fontId="33" fillId="0" borderId="10" applyAlignment="1" pivotButton="0" quotePrefix="0" xfId="0">
      <alignment horizontal="general" vertical="center"/>
    </xf>
    <xf numFmtId="0" fontId="10" fillId="0" borderId="0" applyAlignment="1" pivotButton="0" quotePrefix="0" xfId="0">
      <alignment horizontal="right" vertical="center"/>
    </xf>
    <xf numFmtId="0" fontId="10" fillId="0" borderId="10" applyAlignment="1" pivotButton="0" quotePrefix="0" xfId="0">
      <alignment horizontal="general" vertical="center"/>
    </xf>
    <xf numFmtId="0" fontId="10" fillId="0" borderId="9" applyAlignment="1" pivotButton="0" quotePrefix="0" xfId="0">
      <alignment horizontal="general" vertical="center"/>
    </xf>
    <xf numFmtId="166" fontId="10" fillId="0" borderId="0" applyAlignment="1" pivotButton="0" quotePrefix="0" xfId="0">
      <alignment horizontal="left" vertical="center"/>
    </xf>
    <xf numFmtId="0" fontId="10" fillId="0" borderId="12" applyAlignment="1" pivotButton="0" quotePrefix="0" xfId="20">
      <alignment horizontal="center" vertical="center"/>
    </xf>
    <xf numFmtId="0" fontId="10" fillId="0" borderId="11" applyAlignment="1" pivotButton="0" quotePrefix="0" xfId="0">
      <alignment horizontal="general" vertical="center"/>
    </xf>
    <xf numFmtId="0" fontId="34" fillId="0" borderId="12" applyAlignment="1" pivotButton="0" quotePrefix="0" xfId="20">
      <alignment horizontal="general" vertical="center"/>
    </xf>
    <xf numFmtId="0" fontId="10" fillId="0" borderId="12" applyAlignment="1" pivotButton="0" quotePrefix="0" xfId="0">
      <alignment horizontal="general" vertical="center"/>
    </xf>
    <xf numFmtId="0" fontId="10" fillId="0" borderId="12" applyAlignment="1" pivotButton="0" quotePrefix="0" xfId="0">
      <alignment horizontal="right" vertical="center"/>
    </xf>
    <xf numFmtId="0" fontId="10" fillId="0" borderId="13" applyAlignment="1" pivotButton="0" quotePrefix="0" xfId="0">
      <alignment horizontal="general" vertical="center"/>
    </xf>
    <xf numFmtId="0" fontId="17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left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1"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Aissa Lintang</author>
  </authors>
  <commentList>
    <comment ref="Q30" authorId="0" shapeId="0">
      <text>
        <t>DEV COST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G79"/>
  <sheetViews>
    <sheetView showFormulas="0" showGridLines="0" showRowColHeaders="1" showZeros="1" rightToLeft="0" tabSelected="1" showOutlineSymbols="1" defaultGridColor="1" view="pageBreakPreview" topLeftCell="O50" colorId="64" zoomScale="100" zoomScaleNormal="100" zoomScalePageLayoutView="100" workbookViewId="0">
      <selection pane="topLeft" activeCell="AA15" activeCellId="0" sqref="AA15:AD75"/>
    </sheetView>
  </sheetViews>
  <sheetFormatPr baseColWidth="8" defaultColWidth="8.66796875" defaultRowHeight="13.5" customHeight="1" zeroHeight="0" outlineLevelRow="0"/>
  <cols>
    <col width="19.11" customWidth="1" style="154" min="1" max="1"/>
    <col width="12.44" customWidth="1" style="154" min="2" max="2"/>
    <col width="10.33" customWidth="1" style="154" min="3" max="3"/>
    <col width="17.44" customWidth="1" style="154" min="4" max="4"/>
    <col width="12" customWidth="1" style="154" min="5" max="5"/>
    <col width="10" customWidth="1" style="154" min="6" max="6"/>
    <col width="6.88" customWidth="1" style="154" min="7" max="7"/>
    <col width="8.56" customWidth="1" style="155" min="8" max="8"/>
    <col width="8.56" customWidth="1" style="156" min="9" max="10"/>
    <col width="10.11" customWidth="1" style="157" min="11" max="11"/>
    <col width="14.33" customWidth="1" style="157" min="12" max="12"/>
    <col width="8.56" customWidth="1" style="157" min="13" max="14"/>
    <col width="11.89" customWidth="1" style="158" min="15" max="15"/>
    <col width="9.109999999999999" customWidth="1" style="158" min="16" max="16"/>
    <col width="12.44" customWidth="1" style="159" min="17" max="19"/>
    <col width="8.44" customWidth="1" style="159" min="20" max="21"/>
    <col width="9.109999999999999" customWidth="1" style="159" min="22" max="22"/>
    <col width="10" customWidth="1" style="159" min="23" max="23"/>
    <col width="13.44" customWidth="1" style="160" min="24" max="24"/>
    <col width="14.56" customWidth="1" style="155" min="25" max="25"/>
    <col width="11.33" customWidth="1" style="155" min="26" max="27"/>
    <col width="10.11" customWidth="1" style="155" min="28" max="29"/>
    <col width="9" customWidth="1" style="155" min="30" max="30"/>
    <col width="8.67" customWidth="1" style="155" min="31" max="32"/>
    <col width="8.67" customWidth="1" style="161" min="33" max="33"/>
    <col width="8.67" customWidth="1" style="155" min="34" max="16384"/>
  </cols>
  <sheetData>
    <row r="1" ht="31.5" customFormat="1" customHeight="1" s="162">
      <c r="A1" s="163" t="inlineStr">
        <is>
          <t>PT. VERONIQUE INDONESIA</t>
        </is>
      </c>
      <c r="B1" s="164" t="n"/>
      <c r="C1" s="164" t="n"/>
      <c r="D1" s="164" t="n"/>
      <c r="E1" s="164" t="n"/>
      <c r="F1" s="164" t="n"/>
      <c r="G1" s="164" t="n"/>
      <c r="H1" s="164" t="n"/>
      <c r="I1" s="164" t="n"/>
      <c r="J1" s="164" t="n"/>
      <c r="K1" s="164" t="n"/>
      <c r="L1" s="164" t="n"/>
      <c r="M1" s="164" t="n"/>
      <c r="N1" s="164" t="n"/>
      <c r="O1" s="164" t="n"/>
      <c r="P1" s="164" t="n"/>
      <c r="Q1" s="164" t="n"/>
      <c r="R1" s="164" t="n"/>
      <c r="S1" s="164" t="n"/>
      <c r="T1" s="164" t="n"/>
      <c r="U1" s="164" t="n"/>
      <c r="V1" s="164" t="n"/>
      <c r="W1" s="164" t="n"/>
      <c r="X1" s="164" t="n"/>
      <c r="Y1" s="165" t="n"/>
      <c r="AG1" s="166" t="n"/>
    </row>
    <row r="2" ht="15" customFormat="1" customHeight="1" s="167">
      <c r="A2" s="168" t="inlineStr">
        <is>
          <t>Jl. Raya Purwonegoro, Rt. 007/003  Purwonegoro, Banjarnegara,  Jawa Tengah   Zip Code : 53472   INDONESIA</t>
        </is>
      </c>
      <c r="Y2" s="169" t="n"/>
      <c r="AG2" s="170" t="n"/>
    </row>
    <row r="3" ht="20.25" customFormat="1" customHeight="1" s="171">
      <c r="A3" s="172" t="inlineStr">
        <is>
          <t>PROFORMA INVOICE</t>
        </is>
      </c>
      <c r="Y3" s="169" t="n"/>
      <c r="AG3" s="173" t="n"/>
    </row>
    <row r="4" ht="12" customFormat="1" customHeight="1" s="174">
      <c r="A4" s="175" t="inlineStr">
        <is>
          <t>Seller:</t>
        </is>
      </c>
      <c r="B4" s="176" t="inlineStr">
        <is>
          <t>PT. VERONIQUE INDONESIA</t>
        </is>
      </c>
      <c r="C4" s="176" t="n"/>
      <c r="D4" s="176" t="n"/>
      <c r="E4" s="176" t="n"/>
      <c r="F4" s="177" t="n"/>
      <c r="G4" s="177" t="n"/>
      <c r="H4" s="177" t="n"/>
      <c r="I4" s="177" t="n"/>
      <c r="J4" s="177" t="n"/>
      <c r="K4" s="178" t="n"/>
      <c r="L4" s="179" t="inlineStr">
        <is>
          <t>Invoice No. &amp; Date :</t>
        </is>
      </c>
      <c r="M4" s="180" t="n"/>
      <c r="N4" s="180" t="inlineStr">
        <is>
          <t>PI FCC250102RB-14K</t>
        </is>
      </c>
      <c r="O4" s="180" t="n"/>
      <c r="P4" s="180" t="n"/>
      <c r="Q4" s="180" t="n"/>
      <c r="R4" s="180" t="n"/>
      <c r="S4" s="180" t="n"/>
      <c r="T4" s="180" t="n"/>
      <c r="U4" s="180" t="n"/>
      <c r="V4" s="181" t="n"/>
      <c r="W4" s="180" t="n"/>
      <c r="X4" s="180" t="n"/>
      <c r="Y4" s="182" t="n"/>
      <c r="Z4" s="174" t="inlineStr">
        <is>
          <t>plating</t>
        </is>
      </c>
      <c r="AA4" s="174" t="n">
        <v>0.24</v>
      </c>
      <c r="AG4" s="183" t="n"/>
    </row>
    <row r="5" ht="12" customFormat="1" customHeight="1" s="174">
      <c r="A5" s="184" t="n">
        <v>20</v>
      </c>
      <c r="B5" s="185" t="inlineStr">
        <is>
          <t>Jl. Raya Purwonegoro, Rt. 007/003  Purwonegoro, Banjarnegara,</t>
        </is>
      </c>
      <c r="C5" s="185" t="n"/>
      <c r="D5" s="185" t="n"/>
      <c r="E5" s="185" t="n"/>
      <c r="F5" s="186" t="n"/>
      <c r="G5" s="186" t="n"/>
      <c r="H5" s="186" t="n"/>
      <c r="I5" s="186" t="n"/>
      <c r="J5" s="186" t="n"/>
      <c r="K5" s="187" t="n"/>
      <c r="L5" s="179" t="inlineStr">
        <is>
          <t>L/C No. &amp; Date :</t>
        </is>
      </c>
      <c r="M5" s="180" t="n"/>
      <c r="N5" s="180" t="n"/>
      <c r="O5" s="188" t="n"/>
      <c r="P5" s="188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9" t="n"/>
      <c r="AG5" s="183" t="n"/>
    </row>
    <row r="6" ht="12" customFormat="1" customHeight="1" s="174">
      <c r="A6" s="184" t="n">
        <v>20</v>
      </c>
      <c r="B6" s="185" t="inlineStr">
        <is>
          <t>Jawa Tengah  Zip Code : 53472   INDONESIA</t>
        </is>
      </c>
      <c r="C6" s="185" t="n"/>
      <c r="D6" s="185" t="n"/>
      <c r="E6" s="185" t="n"/>
      <c r="F6" s="186" t="n"/>
      <c r="G6" s="186" t="n"/>
      <c r="H6" s="186" t="n"/>
      <c r="I6" s="186" t="n"/>
      <c r="J6" s="186" t="n"/>
      <c r="K6" s="187" t="n"/>
      <c r="L6" s="175" t="inlineStr">
        <is>
          <t>(Buyer : if then Consignee):</t>
        </is>
      </c>
      <c r="M6" s="190" t="n"/>
      <c r="N6" s="191" t="n"/>
      <c r="O6" s="190" t="n"/>
      <c r="P6" s="190" t="n"/>
      <c r="Q6" s="190" t="n"/>
      <c r="R6" s="190" t="n"/>
      <c r="S6" s="190" t="n"/>
      <c r="T6" s="190" t="n"/>
      <c r="U6" s="190" t="n"/>
      <c r="V6" s="191" t="n"/>
      <c r="W6" s="191" t="n"/>
      <c r="X6" s="191" t="n"/>
      <c r="Y6" s="178" t="n"/>
      <c r="AG6" s="183" t="n"/>
    </row>
    <row r="7" ht="12" customFormat="1" customHeight="1" s="174">
      <c r="A7" s="192" t="n">
        <v>20</v>
      </c>
      <c r="B7" s="193" t="inlineStr">
        <is>
          <t>Tel : 62-286-598-8594   Fax : 62-286-598-8650</t>
        </is>
      </c>
      <c r="C7" s="193" t="n"/>
      <c r="D7" s="193" t="n"/>
      <c r="E7" s="193" t="n"/>
      <c r="F7" s="194" t="n"/>
      <c r="G7" s="194" t="n"/>
      <c r="H7" s="194" t="n"/>
      <c r="I7" s="194" t="n"/>
      <c r="J7" s="194" t="n"/>
      <c r="K7" s="195" t="n"/>
      <c r="L7" s="192" t="n"/>
      <c r="M7" s="193" t="n"/>
      <c r="N7" s="196" t="n"/>
      <c r="O7" s="193" t="n"/>
      <c r="P7" s="193" t="n"/>
      <c r="Q7" s="193" t="n"/>
      <c r="R7" s="193" t="n"/>
      <c r="S7" s="193" t="n"/>
      <c r="T7" s="193" t="n"/>
      <c r="U7" s="193" t="n"/>
      <c r="V7" s="196" t="n"/>
      <c r="W7" s="196" t="n"/>
      <c r="X7" s="196" t="n"/>
      <c r="Y7" s="195" t="n"/>
      <c r="AG7" s="183" t="n"/>
    </row>
    <row r="8" ht="12" customFormat="1" customHeight="1" s="174">
      <c r="A8" s="175" t="inlineStr">
        <is>
          <t>Consignee:</t>
        </is>
      </c>
      <c r="B8" s="176" t="inlineStr">
        <is>
          <t>FC Creations</t>
        </is>
      </c>
      <c r="C8" s="176" t="n"/>
      <c r="D8" s="176" t="n"/>
      <c r="E8" s="176" t="n"/>
      <c r="F8" s="176" t="n"/>
      <c r="G8" s="176" t="n"/>
      <c r="H8" s="176" t="n"/>
      <c r="I8" s="176" t="n"/>
      <c r="J8" s="176" t="n"/>
      <c r="K8" s="178" t="n"/>
      <c r="L8" s="179" t="inlineStr">
        <is>
          <t xml:space="preserve">"GSP eligible Article" </t>
        </is>
      </c>
      <c r="M8" s="197" t="n"/>
      <c r="N8" s="180" t="n"/>
      <c r="O8" s="197" t="n"/>
      <c r="P8" s="197" t="n"/>
      <c r="Q8" s="197" t="n"/>
      <c r="R8" s="197" t="n"/>
      <c r="S8" s="197" t="n"/>
      <c r="T8" s="197" t="n"/>
      <c r="U8" s="197" t="n"/>
      <c r="V8" s="180" t="n"/>
      <c r="W8" s="180" t="n"/>
      <c r="X8" s="180" t="n"/>
      <c r="Y8" s="189" t="n"/>
      <c r="AG8" s="183" t="n"/>
    </row>
    <row r="9" ht="12" customFormat="1" customHeight="1" s="174">
      <c r="A9" s="184" t="n">
        <v>20</v>
      </c>
      <c r="B9" s="185" t="inlineStr">
        <is>
          <t>to Veronique Oro Corp.</t>
        </is>
      </c>
      <c r="C9" s="185" t="n"/>
      <c r="D9" s="185" t="n"/>
      <c r="E9" s="185" t="n"/>
      <c r="F9" s="185" t="n"/>
      <c r="G9" s="185" t="n"/>
      <c r="H9" s="185" t="n"/>
      <c r="I9" s="185" t="n"/>
      <c r="J9" s="185" t="n"/>
      <c r="K9" s="187" t="n"/>
      <c r="L9" s="190" t="inlineStr">
        <is>
          <t>Country of Origin :</t>
        </is>
      </c>
      <c r="M9" s="190" t="n"/>
      <c r="N9" s="191" t="n"/>
      <c r="O9" s="191" t="inlineStr">
        <is>
          <t>INDONESIA</t>
        </is>
      </c>
      <c r="P9" s="191" t="n"/>
      <c r="Q9" s="190" t="n"/>
      <c r="R9" s="190" t="n"/>
      <c r="S9" s="190" t="n"/>
      <c r="T9" s="190" t="n"/>
      <c r="U9" s="190" t="n"/>
      <c r="V9" s="191" t="n"/>
      <c r="W9" s="191" t="n"/>
      <c r="X9" s="191" t="n"/>
      <c r="Y9" s="178" t="n"/>
      <c r="AG9" s="183" t="n"/>
    </row>
    <row r="10" ht="12" customFormat="1" customHeight="1" s="174">
      <c r="A10" s="184" t="n">
        <v>20</v>
      </c>
      <c r="B10" s="185" t="n"/>
      <c r="C10" s="185" t="n"/>
      <c r="D10" s="185" t="n"/>
      <c r="E10" s="185" t="n"/>
      <c r="F10" s="185" t="n"/>
      <c r="G10" s="185" t="n"/>
      <c r="H10" s="185" t="n"/>
      <c r="I10" s="185" t="n"/>
      <c r="J10" s="185" t="n"/>
      <c r="K10" s="187" t="n"/>
      <c r="L10" s="174" t="inlineStr">
        <is>
          <t xml:space="preserve">B/L No. : </t>
        </is>
      </c>
      <c r="Q10" s="198" t="n"/>
      <c r="R10" s="198" t="n"/>
      <c r="S10" s="198" t="n"/>
      <c r="T10" s="198" t="n"/>
      <c r="U10" s="198" t="n"/>
      <c r="V10" s="199" t="n"/>
      <c r="W10" s="200" t="n"/>
      <c r="Y10" s="187" t="n"/>
      <c r="AG10" s="183" t="n"/>
    </row>
    <row r="11" ht="12" customFormat="1" customHeight="1" s="174">
      <c r="A11" s="192" t="n">
        <v>20</v>
      </c>
      <c r="B11" s="193" t="n"/>
      <c r="C11" s="193" t="n"/>
      <c r="D11" s="193" t="n"/>
      <c r="E11" s="193" t="n"/>
      <c r="F11" s="193" t="n"/>
      <c r="G11" s="193" t="n"/>
      <c r="H11" s="193" t="n"/>
      <c r="I11" s="193" t="n"/>
      <c r="J11" s="193" t="n"/>
      <c r="K11" s="195" t="n"/>
      <c r="L11" s="174" t="inlineStr">
        <is>
          <t xml:space="preserve">A/C No. : </t>
        </is>
      </c>
      <c r="O11" s="201" t="n"/>
      <c r="P11" s="201" t="n"/>
      <c r="V11" s="200" t="n"/>
      <c r="W11" s="200" t="n"/>
      <c r="Y11" s="187" t="n"/>
      <c r="AG11" s="183" t="n"/>
    </row>
    <row r="12" ht="12" customFormat="1" customHeight="1" s="174">
      <c r="A12" s="202" t="n">
        <v>20</v>
      </c>
      <c r="B12" s="203" t="inlineStr">
        <is>
          <t xml:space="preserve">Departure Date :     </t>
        </is>
      </c>
      <c r="C12" s="204" t="n"/>
      <c r="D12" s="204" t="n"/>
      <c r="E12" s="204" t="n"/>
      <c r="F12" s="204" t="n"/>
      <c r="G12" s="179" t="n"/>
      <c r="H12" s="205" t="inlineStr">
        <is>
          <t xml:space="preserve">From :      </t>
        </is>
      </c>
      <c r="I12" s="180" t="inlineStr">
        <is>
          <t>INDONESIA</t>
        </is>
      </c>
      <c r="J12" s="180" t="n"/>
      <c r="K12" s="189" t="n"/>
      <c r="L12" s="196" t="inlineStr">
        <is>
          <t xml:space="preserve">C/T No. : </t>
        </is>
      </c>
      <c r="M12" s="196" t="n"/>
      <c r="N12" s="196" t="n"/>
      <c r="O12" s="196" t="n"/>
      <c r="P12" s="196" t="n"/>
      <c r="Q12" s="196" t="n"/>
      <c r="R12" s="196" t="n"/>
      <c r="S12" s="196" t="n"/>
      <c r="T12" s="196" t="n"/>
      <c r="U12" s="196" t="n"/>
      <c r="V12" s="206" t="n"/>
      <c r="W12" s="206" t="n"/>
      <c r="X12" s="196" t="n"/>
      <c r="Y12" s="195" t="n"/>
      <c r="AG12" s="183" t="n"/>
    </row>
    <row r="13" ht="12" customFormat="1" customHeight="1" s="174">
      <c r="A13" s="179" t="n">
        <v>20</v>
      </c>
      <c r="B13" s="207" t="inlineStr">
        <is>
          <t xml:space="preserve">Vessel/Flight :     </t>
        </is>
      </c>
      <c r="C13" s="180" t="n"/>
      <c r="D13" s="180" t="n"/>
      <c r="E13" s="180" t="n"/>
      <c r="F13" s="180" t="n"/>
      <c r="G13" s="179" t="n"/>
      <c r="H13" s="207" t="inlineStr">
        <is>
          <t xml:space="preserve">To :      </t>
        </is>
      </c>
      <c r="I13" s="180" t="inlineStr">
        <is>
          <t>U.S.A</t>
        </is>
      </c>
      <c r="J13" s="180" t="n"/>
      <c r="K13" s="189" t="n"/>
      <c r="L13" s="179" t="inlineStr">
        <is>
          <t>Terms of  Payment:</t>
        </is>
      </c>
      <c r="M13" s="180" t="n"/>
      <c r="N13" s="180" t="n"/>
      <c r="O13" s="197" t="n"/>
      <c r="P13" s="197" t="n"/>
      <c r="Q13" s="197" t="n"/>
      <c r="R13" s="197" t="n"/>
      <c r="S13" s="197" t="n"/>
      <c r="T13" s="197" t="n"/>
      <c r="U13" s="197" t="n"/>
      <c r="V13" s="180" t="n"/>
      <c r="W13" s="180" t="n"/>
      <c r="X13" s="180" t="n"/>
      <c r="Y13" s="189" t="n"/>
      <c r="AA13" s="174" t="inlineStr">
        <is>
          <t>gold price</t>
        </is>
      </c>
      <c r="AB13" s="174" t="n">
        <v>72</v>
      </c>
      <c r="AG13" s="183" t="n"/>
    </row>
    <row r="14" ht="15.75" customHeight="1" s="208">
      <c r="A14" s="209" t="inlineStr">
        <is>
          <t>Buyer Dia</t>
        </is>
      </c>
      <c r="K14" s="210" t="n"/>
      <c r="L14" s="210" t="n"/>
      <c r="M14" s="210" t="n"/>
      <c r="N14" s="210" t="n"/>
      <c r="W14" s="211" t="n"/>
      <c r="X14" s="212" t="inlineStr">
        <is>
          <t>2nd Jan London AM + 1%</t>
        </is>
      </c>
      <c r="Y14" s="213">
        <f>1.01*2644.6</f>
        <v/>
      </c>
      <c r="AA14" s="155" t="inlineStr">
        <is>
          <t>dia price</t>
        </is>
      </c>
      <c r="AB14" s="155" t="n">
        <v>191.8</v>
      </c>
    </row>
    <row r="15" ht="27" customFormat="1" customHeight="1" s="214">
      <c r="A15" s="215" t="inlineStr">
        <is>
          <t>PO#</t>
        </is>
      </c>
      <c r="B15" s="216" t="inlineStr">
        <is>
          <t>Item No.</t>
        </is>
      </c>
      <c r="C15" s="216" t="inlineStr">
        <is>
          <t>Buyer No.</t>
        </is>
      </c>
      <c r="D15" s="216" t="inlineStr">
        <is>
          <t>Buyer PO</t>
        </is>
      </c>
      <c r="E15" s="216" t="inlineStr">
        <is>
          <t>Cust. Ref No.</t>
        </is>
      </c>
      <c r="F15" s="216" t="inlineStr">
        <is>
          <t>Metal</t>
        </is>
      </c>
      <c r="G15" s="216" t="inlineStr">
        <is>
          <t>Q'ty</t>
        </is>
      </c>
      <c r="H15" s="217" t="inlineStr">
        <is>
          <t>Total w't</t>
        </is>
      </c>
      <c r="I15" s="217" t="inlineStr">
        <is>
          <t>Dia w't</t>
        </is>
      </c>
      <c r="J15" s="217" t="inlineStr">
        <is>
          <t>Wire w't</t>
        </is>
      </c>
      <c r="K15" s="218" t="inlineStr">
        <is>
          <t>Gold w't</t>
        </is>
      </c>
      <c r="L15" s="218" t="inlineStr">
        <is>
          <t>Stone</t>
        </is>
      </c>
      <c r="M15" s="218" t="inlineStr">
        <is>
          <t>Color</t>
        </is>
      </c>
      <c r="N15" s="218" t="inlineStr">
        <is>
          <t>Stone Q'ty</t>
        </is>
      </c>
      <c r="O15" s="219" t="inlineStr">
        <is>
          <t>Labor</t>
        </is>
      </c>
      <c r="P15" s="219" t="inlineStr">
        <is>
          <t>Dia Carat</t>
        </is>
      </c>
      <c r="Q15" s="220" t="inlineStr">
        <is>
          <t>Extra Cost</t>
        </is>
      </c>
      <c r="R15" s="220" t="inlineStr">
        <is>
          <t>Dia Packaging Cost</t>
        </is>
      </c>
      <c r="S15" s="220" t="inlineStr">
        <is>
          <t>Dia Handling Service Fee</t>
        </is>
      </c>
      <c r="T15" s="220" t="inlineStr">
        <is>
          <t>Wire
Cost</t>
        </is>
      </c>
      <c r="U15" s="220" t="inlineStr">
        <is>
          <t>Plating Cost</t>
        </is>
      </c>
      <c r="V15" s="220" t="inlineStr">
        <is>
          <t>Stone
Cost</t>
        </is>
      </c>
      <c r="W15" s="220" t="inlineStr">
        <is>
          <t>Setting
Cost</t>
        </is>
      </c>
      <c r="X15" s="221" t="inlineStr">
        <is>
          <t>Labor
Cost</t>
        </is>
      </c>
      <c r="Y15" s="221" t="inlineStr">
        <is>
          <t>Gold &amp; 5%
Cost</t>
        </is>
      </c>
      <c r="AA15" s="214" t="inlineStr">
        <is>
          <t>maklon</t>
        </is>
      </c>
      <c r="AB15" s="214" t="inlineStr">
        <is>
          <t>material cost</t>
        </is>
      </c>
      <c r="AC15" s="214" t="inlineStr">
        <is>
          <t>total</t>
        </is>
      </c>
      <c r="AD15" s="214" t="inlineStr">
        <is>
          <t>24K Payment</t>
        </is>
      </c>
      <c r="AE15" s="214" t="inlineStr">
        <is>
          <t>old labor</t>
        </is>
      </c>
      <c r="AF15" s="214" t="inlineStr">
        <is>
          <t>labor amount</t>
        </is>
      </c>
      <c r="AG15" s="222" t="n"/>
    </row>
    <row r="16" ht="27" customFormat="1" customHeight="1" s="223">
      <c r="A16" s="224" t="inlineStr">
        <is>
          <t>FCC250102RB-14K</t>
        </is>
      </c>
      <c r="B16" s="225" t="inlineStr">
        <is>
          <t>K0214TB20 C4 7.0"</t>
        </is>
      </c>
      <c r="C16" s="225" t="n"/>
      <c r="D16" s="225" t="n"/>
      <c r="E16" s="225" t="n"/>
      <c r="F16" s="226" t="inlineStr">
        <is>
          <t>14K WG</t>
        </is>
      </c>
      <c r="G16" s="227" t="n">
        <v>3</v>
      </c>
      <c r="H16" s="228" t="n">
        <v>19.67</v>
      </c>
      <c r="I16" s="228" t="n"/>
      <c r="J16" s="228" t="n"/>
      <c r="K16" s="229">
        <f>H16-I16-J16</f>
        <v/>
      </c>
      <c r="L16" s="230" t="n">
        <v>1.7</v>
      </c>
      <c r="M16" s="230" t="inlineStr">
        <is>
          <t>W</t>
        </is>
      </c>
      <c r="N16" s="231" t="n">
        <v>94</v>
      </c>
      <c r="O16" s="232" t="n">
        <v>8.25</v>
      </c>
      <c r="P16" s="233" t="n"/>
      <c r="Q16" s="234" t="n"/>
      <c r="R16" s="234" t="n"/>
      <c r="S16" s="234">
        <f>G16*0.035*N16</f>
        <v/>
      </c>
      <c r="T16" s="234" t="n"/>
      <c r="U16" s="234">
        <f>IF(RIGHT(F16,2)="WG",K16*$AA$4,IF(OR(RIGHT(F16,3)="WRG",RIGHT(F16,3)="WYG",RIGHT(F16,3)="WYR"),K16*$AA$4+3*G16,0))</f>
        <v/>
      </c>
      <c r="V16" s="234" t="n"/>
      <c r="W16" s="234">
        <f>G16*N16*0.3</f>
        <v/>
      </c>
      <c r="X16" s="234">
        <f>K16*O16</f>
        <v/>
      </c>
      <c r="Y16" s="235">
        <f>$Y$14/31.1035*K16*IF(LEFT(F16,3)="10K",0.417*1.07,IF(LEFT(F16,3)="14K",0.585*1.05,IF(LEFT(F16,3)="18K",0.75*1.05,0)))</f>
        <v/>
      </c>
      <c r="Z16" s="223">
        <f>2*K16</f>
        <v/>
      </c>
      <c r="AA16" s="236" t="n">
        <v>222.1283</v>
      </c>
      <c r="AB16" s="236" t="n">
        <v>869.92542</v>
      </c>
      <c r="AC16" s="236" t="n">
        <v>1092.05372</v>
      </c>
      <c r="AD16" s="223" t="n">
        <v>12.0822975</v>
      </c>
      <c r="AF16" s="237">
        <f>IF(AE16&gt;0,AE16*K16,X16)</f>
        <v/>
      </c>
      <c r="AG16" s="238" t="n"/>
    </row>
    <row r="17" ht="27.75" customFormat="1" customHeight="1" s="223">
      <c r="A17" s="239" t="n">
        <v>9</v>
      </c>
      <c r="B17" s="225" t="inlineStr">
        <is>
          <t>K0214TB20 C4 7.0"</t>
        </is>
      </c>
      <c r="C17" s="226" t="n"/>
      <c r="D17" s="226" t="n"/>
      <c r="E17" s="226" t="n"/>
      <c r="F17" s="226" t="inlineStr">
        <is>
          <t>14K YG</t>
        </is>
      </c>
      <c r="G17" s="240" t="n">
        <v>4</v>
      </c>
      <c r="H17" s="228" t="n">
        <v>26.97</v>
      </c>
      <c r="I17" s="241" t="n"/>
      <c r="J17" s="241" t="n"/>
      <c r="K17" s="229">
        <f>H17-I17-J17</f>
        <v/>
      </c>
      <c r="L17" s="230" t="n">
        <v>1.7</v>
      </c>
      <c r="M17" s="230" t="inlineStr">
        <is>
          <t>W</t>
        </is>
      </c>
      <c r="N17" s="231" t="n">
        <v>94</v>
      </c>
      <c r="O17" s="232" t="n">
        <v>8.25</v>
      </c>
      <c r="P17" s="233" t="n"/>
      <c r="Q17" s="234" t="n"/>
      <c r="R17" s="234" t="n"/>
      <c r="S17" s="234">
        <f>G17*0.035*N17</f>
        <v/>
      </c>
      <c r="T17" s="234" t="n"/>
      <c r="U17" s="234">
        <f>IF(RIGHT(F17,2)="WG",K17*$AA$4,IF(OR(RIGHT(F17,3)="WRG",RIGHT(F17,3)="WYG",RIGHT(F17,3)="WYR"),K17*$AA$4+3*G17,0))</f>
        <v/>
      </c>
      <c r="V17" s="234" t="n"/>
      <c r="W17" s="234">
        <f>G17*N17*0.3</f>
        <v/>
      </c>
      <c r="X17" s="234">
        <f>K17*O17</f>
        <v/>
      </c>
      <c r="Y17" s="235">
        <f>$Y$14/31.1035*K17*IF(LEFT(F17,3)="10K",0.417*1.07,IF(LEFT(F17,3)="14K",0.585*1.05,IF(LEFT(F17,3)="18K",0.75*1.05,0)))</f>
        <v/>
      </c>
      <c r="Z17" s="223">
        <f>2*K17</f>
        <v/>
      </c>
      <c r="AA17" s="236" t="n">
        <v>294.5225</v>
      </c>
      <c r="AB17" s="236" t="n">
        <v>1192.77522</v>
      </c>
      <c r="AC17" s="236" t="n">
        <v>1487.29772</v>
      </c>
      <c r="AD17" s="223" t="n">
        <v>16.5663225</v>
      </c>
      <c r="AF17" s="237">
        <f>IF(AE17&gt;0,AE17*K17,X17)</f>
        <v/>
      </c>
      <c r="AG17" s="238" t="n"/>
    </row>
    <row r="18" ht="15.75" customFormat="1" customHeight="1" s="242">
      <c r="A18" s="243" t="inlineStr">
        <is>
          <t>SUBTOTAL</t>
        </is>
      </c>
      <c r="B18" s="244" t="n"/>
      <c r="C18" s="244" t="n"/>
      <c r="D18" s="244" t="n"/>
      <c r="E18" s="244" t="n"/>
      <c r="F18" s="244" t="n"/>
      <c r="G18" s="245">
        <f>SUM(G16:G17)</f>
        <v/>
      </c>
      <c r="H18" s="246" t="n"/>
      <c r="I18" s="246" t="n"/>
      <c r="J18" s="246" t="n"/>
      <c r="K18" s="246">
        <f>SUM(K16:K17)</f>
        <v/>
      </c>
      <c r="L18" s="247" t="n"/>
      <c r="M18" s="247" t="n"/>
      <c r="N18" s="247" t="n"/>
      <c r="O18" s="248" t="n"/>
      <c r="P18" s="249">
        <f>SUM(P16:P17)</f>
        <v/>
      </c>
      <c r="Q18" s="250">
        <f>SUM(Q16:Q17)</f>
        <v/>
      </c>
      <c r="R18" s="250">
        <f>SUM(R16:R17)</f>
        <v/>
      </c>
      <c r="S18" s="250">
        <f>SUM(S16:S17)</f>
        <v/>
      </c>
      <c r="T18" s="250">
        <f>SUM(T16:T17)</f>
        <v/>
      </c>
      <c r="U18" s="250">
        <f>SUM(U16:U17)</f>
        <v/>
      </c>
      <c r="V18" s="250">
        <f>SUM(V16:V17)</f>
        <v/>
      </c>
      <c r="W18" s="250">
        <f>SUM(W16:W17)</f>
        <v/>
      </c>
      <c r="X18" s="250">
        <f>SUM(X16:X17)</f>
        <v/>
      </c>
      <c r="Y18" s="251">
        <f>SUM(Y16:Y17)</f>
        <v/>
      </c>
      <c r="AA18" s="252" t="n"/>
      <c r="AB18" s="252" t="n"/>
      <c r="AC18" s="252" t="n"/>
      <c r="AD18" s="252" t="n"/>
      <c r="AG18" s="161" t="n"/>
    </row>
    <row r="19" ht="15.75" customHeight="1" s="208">
      <c r="A19" s="209" t="inlineStr">
        <is>
          <t>Buyer Dia</t>
        </is>
      </c>
      <c r="K19" s="210" t="n"/>
      <c r="L19" s="210" t="n"/>
      <c r="M19" s="210" t="n"/>
      <c r="N19" s="210" t="n"/>
      <c r="W19" s="211" t="n"/>
      <c r="X19" s="212" t="inlineStr">
        <is>
          <t>22nd Jan London AM + 1%</t>
        </is>
      </c>
      <c r="Y19" s="213">
        <f>1.01*2760.15</f>
        <v/>
      </c>
    </row>
    <row r="20" ht="27" customFormat="1" customHeight="1" s="214">
      <c r="A20" s="215" t="inlineStr">
        <is>
          <t>PO#</t>
        </is>
      </c>
      <c r="B20" s="216" t="inlineStr">
        <is>
          <t>Item No.</t>
        </is>
      </c>
      <c r="C20" s="216" t="inlineStr">
        <is>
          <t>Buyer No.</t>
        </is>
      </c>
      <c r="D20" s="216" t="inlineStr">
        <is>
          <t>Buyer PO</t>
        </is>
      </c>
      <c r="E20" s="216" t="inlineStr">
        <is>
          <t>Cust. Ref No.</t>
        </is>
      </c>
      <c r="F20" s="216" t="inlineStr">
        <is>
          <t>Metal</t>
        </is>
      </c>
      <c r="G20" s="216" t="inlineStr">
        <is>
          <t>Q'ty</t>
        </is>
      </c>
      <c r="H20" s="217" t="inlineStr">
        <is>
          <t>Total w't</t>
        </is>
      </c>
      <c r="I20" s="217" t="inlineStr">
        <is>
          <t>Dia w't</t>
        </is>
      </c>
      <c r="J20" s="217" t="inlineStr">
        <is>
          <t>Wire w't</t>
        </is>
      </c>
      <c r="K20" s="218" t="inlineStr">
        <is>
          <t>Gold w't</t>
        </is>
      </c>
      <c r="L20" s="218" t="inlineStr">
        <is>
          <t>Stone</t>
        </is>
      </c>
      <c r="M20" s="218" t="inlineStr">
        <is>
          <t>Color</t>
        </is>
      </c>
      <c r="N20" s="218" t="inlineStr">
        <is>
          <t>Stone Q'ty</t>
        </is>
      </c>
      <c r="O20" s="219" t="inlineStr">
        <is>
          <t>Labor</t>
        </is>
      </c>
      <c r="P20" s="219" t="inlineStr">
        <is>
          <t>Dia Carat</t>
        </is>
      </c>
      <c r="Q20" s="220" t="inlineStr">
        <is>
          <t>Extra Cost</t>
        </is>
      </c>
      <c r="R20" s="220" t="inlineStr">
        <is>
          <t>Dia Packaging Cost</t>
        </is>
      </c>
      <c r="S20" s="220" t="inlineStr">
        <is>
          <t>Dia Handling Service Fee</t>
        </is>
      </c>
      <c r="T20" s="220" t="inlineStr">
        <is>
          <t>Wire
Cost</t>
        </is>
      </c>
      <c r="U20" s="220" t="inlineStr">
        <is>
          <t>Plating Cost</t>
        </is>
      </c>
      <c r="V20" s="220" t="inlineStr">
        <is>
          <t>Stone
Cost</t>
        </is>
      </c>
      <c r="W20" s="220" t="inlineStr">
        <is>
          <t>Setting
Cost</t>
        </is>
      </c>
      <c r="X20" s="221" t="inlineStr">
        <is>
          <t>Labor
Cost</t>
        </is>
      </c>
      <c r="Y20" s="221" t="inlineStr">
        <is>
          <t>Gold &amp; 5%
Cost</t>
        </is>
      </c>
      <c r="AG20" s="222" t="n"/>
    </row>
    <row r="21" ht="27.75" customFormat="1" customHeight="1" s="223">
      <c r="A21" s="224" t="inlineStr">
        <is>
          <t>FCC250122RB-14K</t>
        </is>
      </c>
      <c r="B21" s="226" t="inlineStr">
        <is>
          <t>K0214TB72 C4 7"</t>
        </is>
      </c>
      <c r="C21" s="226" t="n"/>
      <c r="D21" s="226" t="n"/>
      <c r="E21" s="226" t="n"/>
      <c r="F21" s="226" t="inlineStr">
        <is>
          <t>14K YG</t>
        </is>
      </c>
      <c r="G21" s="240" t="n">
        <v>3</v>
      </c>
      <c r="H21" s="253" t="n">
        <v>16.91</v>
      </c>
      <c r="I21" s="254" t="n">
        <v>0</v>
      </c>
      <c r="J21" s="254" t="n">
        <v>0</v>
      </c>
      <c r="K21" s="255">
        <f>H21-I21-J21</f>
        <v/>
      </c>
      <c r="L21" s="230" t="n">
        <v>1.4</v>
      </c>
      <c r="M21" s="230" t="inlineStr">
        <is>
          <t>W</t>
        </is>
      </c>
      <c r="N21" s="231" t="n">
        <v>103</v>
      </c>
      <c r="O21" s="232" t="n">
        <v>9.25</v>
      </c>
      <c r="P21" s="233" t="n"/>
      <c r="Q21" s="234" t="n"/>
      <c r="R21" s="234" t="n"/>
      <c r="S21" s="234">
        <f>G21*0.035*N21</f>
        <v/>
      </c>
      <c r="T21" s="234" t="n"/>
      <c r="U21" s="234">
        <f>IF(RIGHT(F21,2)="WG",K21*$AA$4,IF(OR(RIGHT(F21,3)="WRG",RIGHT(F21,3)="WYG",RIGHT(F21,3)="WYR"),K21*$AA$4+3*G21,0))</f>
        <v/>
      </c>
      <c r="V21" s="234" t="n"/>
      <c r="W21" s="234">
        <f>G21*N21*0.3</f>
        <v/>
      </c>
      <c r="X21" s="234">
        <f>K21*O21</f>
        <v/>
      </c>
      <c r="Y21" s="235">
        <f>$Y$14/31.1035*K21*IF(LEFT(F21,3)="10K",0.417*1.07,IF(LEFT(F21,3)="14K",0.585*1.05,IF(LEFT(F21,3)="18K",0.75*1.05,0)))</f>
        <v/>
      </c>
      <c r="Z21" s="223">
        <f>2*K21</f>
        <v/>
      </c>
      <c r="AA21" s="236" t="n">
        <v>226.1125</v>
      </c>
      <c r="AB21" s="236" t="n">
        <v>747.86166</v>
      </c>
      <c r="AC21" s="236" t="n">
        <v>973.97416</v>
      </c>
      <c r="AD21" s="223" t="n">
        <v>10.3869675</v>
      </c>
      <c r="AF21" s="237">
        <f>IF(AE21&gt;0,AE21*K21,X21)</f>
        <v/>
      </c>
      <c r="AG21" s="238" t="n"/>
    </row>
    <row r="22" ht="15.75" customFormat="1" customHeight="1" s="242">
      <c r="A22" s="243" t="inlineStr">
        <is>
          <t>SUBTOTAL</t>
        </is>
      </c>
      <c r="B22" s="244" t="n"/>
      <c r="C22" s="244" t="n"/>
      <c r="D22" s="244" t="n"/>
      <c r="E22" s="244" t="n"/>
      <c r="F22" s="244" t="n"/>
      <c r="G22" s="245">
        <f>SUM(G21)</f>
        <v/>
      </c>
      <c r="H22" s="256" t="n"/>
      <c r="I22" s="256" t="n"/>
      <c r="J22" s="256" t="n"/>
      <c r="K22" s="256">
        <f>SUM(K21)</f>
        <v/>
      </c>
      <c r="L22" s="247" t="n"/>
      <c r="M22" s="247" t="n"/>
      <c r="N22" s="247" t="n"/>
      <c r="O22" s="248" t="n"/>
      <c r="P22" s="249">
        <f>SUM(P21)</f>
        <v/>
      </c>
      <c r="Q22" s="250">
        <f>SUM(Q21)</f>
        <v/>
      </c>
      <c r="R22" s="250">
        <f>SUM(R21)</f>
        <v/>
      </c>
      <c r="S22" s="250">
        <f>SUM(S21)</f>
        <v/>
      </c>
      <c r="T22" s="250">
        <f>SUM(T21)</f>
        <v/>
      </c>
      <c r="U22" s="250">
        <f>SUM(U21)</f>
        <v/>
      </c>
      <c r="V22" s="250">
        <f>SUM(V21)</f>
        <v/>
      </c>
      <c r="W22" s="250">
        <f>SUM(W21)</f>
        <v/>
      </c>
      <c r="X22" s="250">
        <f>SUM(X21)</f>
        <v/>
      </c>
      <c r="Y22" s="251">
        <f>SUM(Y21)</f>
        <v/>
      </c>
      <c r="AA22" s="252" t="n"/>
      <c r="AB22" s="252" t="n"/>
      <c r="AC22" s="252" t="n"/>
      <c r="AD22" s="252" t="n"/>
      <c r="AG22" s="161" t="n"/>
    </row>
    <row r="23" ht="15.75" customHeight="1" s="208">
      <c r="A23" s="209" t="inlineStr">
        <is>
          <t>Buyer Dia</t>
        </is>
      </c>
      <c r="K23" s="210" t="n"/>
      <c r="L23" s="210" t="n"/>
      <c r="M23" s="210" t="n"/>
      <c r="N23" s="210" t="n"/>
      <c r="W23" s="211" t="n"/>
      <c r="X23" s="212" t="inlineStr">
        <is>
          <t>18th Feb London AM + 1%</t>
        </is>
      </c>
      <c r="Y23" s="213">
        <f>2908.85*1.01</f>
        <v/>
      </c>
    </row>
    <row r="24" ht="27" customFormat="1" customHeight="1" s="214">
      <c r="A24" s="215" t="inlineStr">
        <is>
          <t>PO#</t>
        </is>
      </c>
      <c r="B24" s="216" t="inlineStr">
        <is>
          <t>Item No.</t>
        </is>
      </c>
      <c r="C24" s="216" t="inlineStr">
        <is>
          <t>Buyer No.</t>
        </is>
      </c>
      <c r="D24" s="216" t="inlineStr">
        <is>
          <t>Buyer PO</t>
        </is>
      </c>
      <c r="E24" s="216" t="inlineStr">
        <is>
          <t>Cust. Ref No.</t>
        </is>
      </c>
      <c r="F24" s="216" t="inlineStr">
        <is>
          <t>Metal</t>
        </is>
      </c>
      <c r="G24" s="216" t="inlineStr">
        <is>
          <t>Q'ty</t>
        </is>
      </c>
      <c r="H24" s="217" t="inlineStr">
        <is>
          <t>Total w't</t>
        </is>
      </c>
      <c r="I24" s="217" t="inlineStr">
        <is>
          <t>Dia w't</t>
        </is>
      </c>
      <c r="J24" s="217" t="inlineStr">
        <is>
          <t>Wire w't</t>
        </is>
      </c>
      <c r="K24" s="218" t="inlineStr">
        <is>
          <t>Gold w't</t>
        </is>
      </c>
      <c r="L24" s="218" t="inlineStr">
        <is>
          <t>Stone</t>
        </is>
      </c>
      <c r="M24" s="218" t="inlineStr">
        <is>
          <t>Color</t>
        </is>
      </c>
      <c r="N24" s="218" t="inlineStr">
        <is>
          <t>Stone Q'ty</t>
        </is>
      </c>
      <c r="O24" s="219" t="inlineStr">
        <is>
          <t>Labor</t>
        </is>
      </c>
      <c r="P24" s="219" t="inlineStr">
        <is>
          <t>Dia Carat</t>
        </is>
      </c>
      <c r="Q24" s="220" t="inlineStr">
        <is>
          <t>Extra Cost</t>
        </is>
      </c>
      <c r="R24" s="220" t="inlineStr">
        <is>
          <t>Dia Packaging Cost</t>
        </is>
      </c>
      <c r="S24" s="220" t="inlineStr">
        <is>
          <t>Dia Handling Service Fee</t>
        </is>
      </c>
      <c r="T24" s="220" t="inlineStr">
        <is>
          <t>Wire
Cost</t>
        </is>
      </c>
      <c r="U24" s="220" t="inlineStr">
        <is>
          <t>Plating Cost</t>
        </is>
      </c>
      <c r="V24" s="220" t="inlineStr">
        <is>
          <t>Stone
Cost</t>
        </is>
      </c>
      <c r="W24" s="220" t="inlineStr">
        <is>
          <t>Setting
Cost</t>
        </is>
      </c>
      <c r="X24" s="221" t="inlineStr">
        <is>
          <t>Labor
Cost</t>
        </is>
      </c>
      <c r="Y24" s="221" t="inlineStr">
        <is>
          <t>Gold &amp; 5%
Cost</t>
        </is>
      </c>
      <c r="AG24" s="222" t="n"/>
    </row>
    <row r="25" ht="13.5" customFormat="1" customHeight="1" s="223">
      <c r="A25" s="224" t="inlineStr">
        <is>
          <t>FCC250213RB-14K-2</t>
        </is>
      </c>
      <c r="B25" s="226" t="inlineStr">
        <is>
          <t>K0582E01</t>
        </is>
      </c>
      <c r="C25" s="226" t="n"/>
      <c r="D25" s="226" t="n"/>
      <c r="E25" s="226" t="n"/>
      <c r="F25" s="225" t="inlineStr">
        <is>
          <t>14K WG</t>
        </is>
      </c>
      <c r="G25" s="240" t="n">
        <v>1</v>
      </c>
      <c r="H25" s="228" t="n">
        <v>1.36</v>
      </c>
      <c r="I25" s="241" t="n"/>
      <c r="J25" s="241" t="n"/>
      <c r="K25" s="229">
        <f>H25-I25-J25</f>
        <v/>
      </c>
      <c r="L25" s="230" t="n">
        <v>0.9</v>
      </c>
      <c r="M25" s="230" t="inlineStr">
        <is>
          <t>W</t>
        </is>
      </c>
      <c r="N25" s="231" t="n">
        <v>22</v>
      </c>
      <c r="O25" s="232" t="n">
        <v>9.75</v>
      </c>
      <c r="P25" s="233" t="n">
        <v>0</v>
      </c>
      <c r="Q25" s="234" t="n"/>
      <c r="R25" s="234" t="n"/>
      <c r="S25" s="234" t="n"/>
      <c r="T25" s="234" t="n"/>
      <c r="U25" s="234" t="n"/>
      <c r="V25" s="234" t="n"/>
      <c r="W25" s="234" t="n"/>
      <c r="X25" s="234">
        <f>K25*O25</f>
        <v/>
      </c>
      <c r="Y25" s="235">
        <f>$Y$14/31.1035*K25*IF(LEFT(F25,3)="10K",0.417*1.07,IF(LEFT(F25,3)="14K",0.585*1.05,IF(LEFT(F25,3)="18K",0.75*1.05,0)))</f>
        <v/>
      </c>
      <c r="Z25" s="223">
        <f>2*K25</f>
        <v/>
      </c>
      <c r="AA25" s="236" t="n">
        <v>10.54</v>
      </c>
      <c r="AB25" s="236" t="n">
        <v>60.14736</v>
      </c>
      <c r="AC25" s="236" t="n">
        <v>70.68736</v>
      </c>
      <c r="AD25" s="223" t="n">
        <v>0.83538</v>
      </c>
      <c r="AF25" s="237">
        <f>IF(AE25&gt;0,AE25*K25,X25)</f>
        <v/>
      </c>
      <c r="AG25" s="238" t="inlineStr">
        <is>
          <t>FULL MOUNTING</t>
        </is>
      </c>
    </row>
    <row r="26" ht="14.25" customFormat="1" customHeight="1" s="223">
      <c r="A26" s="239" t="n">
        <v>12</v>
      </c>
      <c r="B26" s="226" t="inlineStr">
        <is>
          <t>K0582E01</t>
        </is>
      </c>
      <c r="C26" s="226" t="n"/>
      <c r="D26" s="226" t="n"/>
      <c r="E26" s="226" t="n"/>
      <c r="F26" s="226" t="inlineStr">
        <is>
          <t>14K YG</t>
        </is>
      </c>
      <c r="G26" s="240" t="n">
        <v>1</v>
      </c>
      <c r="H26" s="228" t="n">
        <v>1.31</v>
      </c>
      <c r="I26" s="241" t="n">
        <v>0.02</v>
      </c>
      <c r="J26" s="241" t="n"/>
      <c r="K26" s="229">
        <f>H26-I26-J26</f>
        <v/>
      </c>
      <c r="L26" s="230" t="n">
        <v>0.9</v>
      </c>
      <c r="M26" s="230" t="inlineStr">
        <is>
          <t>W</t>
        </is>
      </c>
      <c r="N26" s="231" t="n">
        <v>22</v>
      </c>
      <c r="O26" s="232" t="n">
        <v>9.75</v>
      </c>
      <c r="P26" s="233" t="n">
        <v>0.1</v>
      </c>
      <c r="Q26" s="234" t="n"/>
      <c r="R26" s="234" t="n"/>
      <c r="S26" s="234">
        <f>G26*0.035*N26-0.035*2</f>
        <v/>
      </c>
      <c r="T26" s="234" t="n"/>
      <c r="U26" s="234">
        <f>IF(RIGHT(F26,2)="WG",K26*$AA$4,IF(OR(RIGHT(F26,3)="WRG",RIGHT(F26,3)="WYG",RIGHT(F26,3)="WYR"),K26*$AA$4+3*G26,0))</f>
        <v/>
      </c>
      <c r="V26" s="234" t="n"/>
      <c r="W26" s="234">
        <f>G26*N26*0.3-0.3*2</f>
        <v/>
      </c>
      <c r="X26" s="234">
        <f>K26*O26</f>
        <v/>
      </c>
      <c r="Y26" s="235">
        <f>$Y$14/31.1035*K26*IF(LEFT(F26,3)="10K",0.417*1.07,IF(LEFT(F26,3)="14K",0.585*1.05,IF(LEFT(F26,3)="18K",0.75*1.05,0)))</f>
        <v/>
      </c>
      <c r="Z26" s="223">
        <f>2*K26</f>
        <v/>
      </c>
      <c r="AA26" s="236" t="n">
        <v>16.6975</v>
      </c>
      <c r="AB26" s="236" t="n">
        <v>76.23154</v>
      </c>
      <c r="AC26" s="236" t="n">
        <v>92.92904</v>
      </c>
      <c r="AD26" s="223" t="n">
        <v>0.7923825</v>
      </c>
      <c r="AF26" s="237">
        <f>IF(AE26&gt;0,AE26*K26,X26)</f>
        <v/>
      </c>
      <c r="AG26" s="238" t="inlineStr">
        <is>
          <t>SM RD 0.90-2PCS</t>
        </is>
      </c>
    </row>
    <row r="27" ht="15.75" customFormat="1" customHeight="1" s="242">
      <c r="A27" s="243" t="inlineStr">
        <is>
          <t>SUBTOTAL</t>
        </is>
      </c>
      <c r="B27" s="244" t="n"/>
      <c r="C27" s="244" t="n"/>
      <c r="D27" s="244" t="n"/>
      <c r="E27" s="244" t="n"/>
      <c r="F27" s="244" t="n"/>
      <c r="G27" s="245">
        <f>SUM(G25:G26)</f>
        <v/>
      </c>
      <c r="H27" s="246" t="n"/>
      <c r="I27" s="246" t="n"/>
      <c r="J27" s="246" t="n"/>
      <c r="K27" s="246">
        <f>SUM(K25:K26)</f>
        <v/>
      </c>
      <c r="L27" s="247" t="n"/>
      <c r="M27" s="247" t="n"/>
      <c r="N27" s="247" t="n"/>
      <c r="O27" s="248" t="n"/>
      <c r="P27" s="249">
        <f>SUM(P25:P26)</f>
        <v/>
      </c>
      <c r="Q27" s="250">
        <f>SUM(Q25:Q26)</f>
        <v/>
      </c>
      <c r="R27" s="250">
        <f>SUM(R25:R26)</f>
        <v/>
      </c>
      <c r="S27" s="250">
        <f>SUM(S25:S26)</f>
        <v/>
      </c>
      <c r="T27" s="250">
        <f>SUM(T25:T26)</f>
        <v/>
      </c>
      <c r="U27" s="250">
        <f>SUM(U25:U26)</f>
        <v/>
      </c>
      <c r="V27" s="250">
        <f>SUM(V25:V26)</f>
        <v/>
      </c>
      <c r="W27" s="250">
        <f>SUM(W25:W26)</f>
        <v/>
      </c>
      <c r="X27" s="250">
        <f>SUM(X25:X26)</f>
        <v/>
      </c>
      <c r="Y27" s="251">
        <f>SUM(Y25:Y26)</f>
        <v/>
      </c>
      <c r="AA27" s="252" t="n"/>
      <c r="AB27" s="252" t="n"/>
      <c r="AC27" s="252" t="n"/>
      <c r="AD27" s="252" t="n"/>
      <c r="AG27" s="161" t="n"/>
    </row>
    <row r="28" ht="15.75" customHeight="1" s="208">
      <c r="A28" s="209" t="inlineStr">
        <is>
          <t>Buyer Dia</t>
        </is>
      </c>
      <c r="K28" s="210" t="n"/>
      <c r="L28" s="210" t="n"/>
      <c r="M28" s="210" t="n"/>
      <c r="N28" s="210" t="n"/>
      <c r="W28" s="211" t="n"/>
      <c r="X28" s="212" t="inlineStr">
        <is>
          <t xml:space="preserve"> 5th Mar London AM + 1%</t>
        </is>
      </c>
      <c r="Y28" s="213">
        <f>1.01*2917.7</f>
        <v/>
      </c>
    </row>
    <row r="29" ht="27" customFormat="1" customHeight="1" s="214">
      <c r="A29" s="215" t="inlineStr">
        <is>
          <t>PO#</t>
        </is>
      </c>
      <c r="B29" s="216" t="inlineStr">
        <is>
          <t>Item No.</t>
        </is>
      </c>
      <c r="C29" s="216" t="inlineStr">
        <is>
          <t>Buyer No.</t>
        </is>
      </c>
      <c r="D29" s="216" t="inlineStr">
        <is>
          <t>Buyer PO</t>
        </is>
      </c>
      <c r="E29" s="216" t="inlineStr">
        <is>
          <t>Cust. Ref No.</t>
        </is>
      </c>
      <c r="F29" s="216" t="inlineStr">
        <is>
          <t>Metal</t>
        </is>
      </c>
      <c r="G29" s="216" t="inlineStr">
        <is>
          <t>Q'ty</t>
        </is>
      </c>
      <c r="H29" s="217" t="inlineStr">
        <is>
          <t>Total w't</t>
        </is>
      </c>
      <c r="I29" s="217" t="inlineStr">
        <is>
          <t>Dia w't</t>
        </is>
      </c>
      <c r="J29" s="217" t="inlineStr">
        <is>
          <t>Wire w't</t>
        </is>
      </c>
      <c r="K29" s="218" t="inlineStr">
        <is>
          <t>Gold w't</t>
        </is>
      </c>
      <c r="L29" s="218" t="inlineStr">
        <is>
          <t>Stone</t>
        </is>
      </c>
      <c r="M29" s="218" t="inlineStr">
        <is>
          <t>Color</t>
        </is>
      </c>
      <c r="N29" s="218" t="inlineStr">
        <is>
          <t>Stone Q'ty</t>
        </is>
      </c>
      <c r="O29" s="219" t="inlineStr">
        <is>
          <t>Labor</t>
        </is>
      </c>
      <c r="P29" s="219" t="inlineStr">
        <is>
          <t>Dia Carat</t>
        </is>
      </c>
      <c r="Q29" s="220" t="inlineStr">
        <is>
          <t>Extra Cost</t>
        </is>
      </c>
      <c r="R29" s="220" t="inlineStr">
        <is>
          <t>Dia Packaging Cost</t>
        </is>
      </c>
      <c r="S29" s="220" t="inlineStr">
        <is>
          <t>Dia Handling Service Fee</t>
        </is>
      </c>
      <c r="T29" s="220" t="inlineStr">
        <is>
          <t>Wire
Cost</t>
        </is>
      </c>
      <c r="U29" s="220" t="inlineStr">
        <is>
          <t>Plating Cost</t>
        </is>
      </c>
      <c r="V29" s="220" t="inlineStr">
        <is>
          <t>Stone
Cost</t>
        </is>
      </c>
      <c r="W29" s="220" t="inlineStr">
        <is>
          <t>Setting
Cost</t>
        </is>
      </c>
      <c r="X29" s="221" t="inlineStr">
        <is>
          <t>Labor
Cost</t>
        </is>
      </c>
      <c r="Y29" s="221" t="inlineStr">
        <is>
          <t>Gold &amp; 5%
Cost</t>
        </is>
      </c>
      <c r="AG29" s="222" t="n"/>
    </row>
    <row r="30" ht="27.75" customFormat="1" customHeight="1" s="223">
      <c r="A30" s="224" t="inlineStr">
        <is>
          <t>FCC250305DB-14K</t>
        </is>
      </c>
      <c r="B30" s="225" t="inlineStr">
        <is>
          <t>K01678B76 8.25"</t>
        </is>
      </c>
      <c r="C30" s="225" t="n"/>
      <c r="D30" s="225" t="n"/>
      <c r="E30" s="225" t="n"/>
      <c r="F30" s="225" t="inlineStr">
        <is>
          <t>14K YG</t>
        </is>
      </c>
      <c r="G30" s="227" t="n">
        <v>1</v>
      </c>
      <c r="H30" s="253" t="n">
        <v>28.85</v>
      </c>
      <c r="I30" s="253" t="n">
        <v>0</v>
      </c>
      <c r="J30" s="253" t="n">
        <v>0</v>
      </c>
      <c r="K30" s="255">
        <f>H30-I30-J30</f>
        <v/>
      </c>
      <c r="L30" s="230" t="n">
        <v>2.7</v>
      </c>
      <c r="M30" s="230" t="inlineStr">
        <is>
          <t>W</t>
        </is>
      </c>
      <c r="N30" s="231" t="n">
        <v>75</v>
      </c>
      <c r="O30" s="232" t="n">
        <v>11.75</v>
      </c>
      <c r="P30" s="233" t="n"/>
      <c r="Q30" s="234" t="n">
        <v>300</v>
      </c>
      <c r="R30" s="234" t="n"/>
      <c r="S30" s="234">
        <f>G30*0.035*N30</f>
        <v/>
      </c>
      <c r="T30" s="234">
        <f>G30*8</f>
        <v/>
      </c>
      <c r="U30" s="234">
        <f>IF(RIGHT(F30,2)="WG",K30*$AA$4,IF(OR(RIGHT(F30,3)="WRG",RIGHT(F30,3)="WYG",RIGHT(F30,3)="WYR"),K30*$AA$4+3*G30,0))</f>
        <v/>
      </c>
      <c r="V30" s="234" t="n"/>
      <c r="W30" s="234">
        <f>G30*N30*0.5</f>
        <v/>
      </c>
      <c r="X30" s="234">
        <f>K30*O30</f>
        <v/>
      </c>
      <c r="Y30" s="235">
        <f>$Y$14/31.1035*K30*IF(LEFT(F30,3)="10K",0.417*1.07,IF(LEFT(F30,3)="14K",0.585*1.05,IF(LEFT(F30,3)="18K",0.75*1.05,0)))</f>
        <v/>
      </c>
      <c r="Z30" s="223">
        <f>2*K30</f>
        <v/>
      </c>
      <c r="AA30" s="236" t="n">
        <v>629.4125</v>
      </c>
      <c r="AB30" s="236" t="n">
        <v>1275.9201</v>
      </c>
      <c r="AC30" s="236" t="n">
        <v>1905.3326</v>
      </c>
      <c r="AD30" s="223" t="n">
        <v>17.7211125</v>
      </c>
      <c r="AF30" s="237">
        <f>IF(AE30&gt;0,AE30*K30,X30)</f>
        <v/>
      </c>
      <c r="AG30" s="238" t="n"/>
    </row>
    <row r="31" ht="15.75" customFormat="1" customHeight="1" s="242">
      <c r="A31" s="243" t="inlineStr">
        <is>
          <t>SUBTOTAL</t>
        </is>
      </c>
      <c r="B31" s="244" t="n"/>
      <c r="C31" s="244" t="n"/>
      <c r="D31" s="244" t="n"/>
      <c r="E31" s="244" t="n"/>
      <c r="F31" s="244" t="n"/>
      <c r="G31" s="245">
        <f>SUM(G30)</f>
        <v/>
      </c>
      <c r="H31" s="256" t="n"/>
      <c r="I31" s="256" t="n"/>
      <c r="J31" s="256" t="n"/>
      <c r="K31" s="256">
        <f>SUM(K30)</f>
        <v/>
      </c>
      <c r="L31" s="247" t="n"/>
      <c r="M31" s="247" t="n"/>
      <c r="N31" s="247" t="n"/>
      <c r="O31" s="248" t="n"/>
      <c r="P31" s="249">
        <f>SUM(P30)</f>
        <v/>
      </c>
      <c r="Q31" s="250">
        <f>SUM(Q30)</f>
        <v/>
      </c>
      <c r="R31" s="250">
        <f>SUM(R30)</f>
        <v/>
      </c>
      <c r="S31" s="250">
        <f>SUM(S30)</f>
        <v/>
      </c>
      <c r="T31" s="250">
        <f>SUM(T30)</f>
        <v/>
      </c>
      <c r="U31" s="250">
        <f>SUM(U30)</f>
        <v/>
      </c>
      <c r="V31" s="250">
        <f>SUM(V30)</f>
        <v/>
      </c>
      <c r="W31" s="250">
        <f>SUM(W30)</f>
        <v/>
      </c>
      <c r="X31" s="250">
        <f>SUM(X30)</f>
        <v/>
      </c>
      <c r="Y31" s="251">
        <f>SUM(Y30)</f>
        <v/>
      </c>
      <c r="AA31" s="252" t="n"/>
      <c r="AB31" s="252" t="n"/>
      <c r="AC31" s="252" t="n"/>
      <c r="AD31" s="252" t="n"/>
      <c r="AG31" s="161" t="n"/>
    </row>
    <row r="32" ht="15.75" customHeight="1" s="208">
      <c r="A32" s="209" t="inlineStr">
        <is>
          <t>Mounting</t>
        </is>
      </c>
      <c r="K32" s="210" t="n"/>
      <c r="L32" s="210" t="n"/>
      <c r="M32" s="210" t="n"/>
      <c r="N32" s="210" t="n"/>
      <c r="W32" s="211" t="n"/>
      <c r="X32" s="212" t="inlineStr">
        <is>
          <t>13th Mar London AM + 1%</t>
        </is>
      </c>
      <c r="Y32" s="213">
        <f>1.01*2944.65</f>
        <v/>
      </c>
    </row>
    <row r="33" ht="27" customFormat="1" customHeight="1" s="214">
      <c r="A33" s="215" t="inlineStr">
        <is>
          <t>PO#</t>
        </is>
      </c>
      <c r="B33" s="216" t="inlineStr">
        <is>
          <t>Item No.</t>
        </is>
      </c>
      <c r="C33" s="216" t="inlineStr">
        <is>
          <t>Buyer No.</t>
        </is>
      </c>
      <c r="D33" s="216" t="inlineStr">
        <is>
          <t>Buyer PO</t>
        </is>
      </c>
      <c r="E33" s="216" t="inlineStr">
        <is>
          <t>Cust. Ref No.</t>
        </is>
      </c>
      <c r="F33" s="216" t="inlineStr">
        <is>
          <t>Metal</t>
        </is>
      </c>
      <c r="G33" s="216" t="inlineStr">
        <is>
          <t>Q'ty</t>
        </is>
      </c>
      <c r="H33" s="217" t="inlineStr">
        <is>
          <t>Total w't</t>
        </is>
      </c>
      <c r="I33" s="217" t="inlineStr">
        <is>
          <t>Dia w't</t>
        </is>
      </c>
      <c r="J33" s="217" t="inlineStr">
        <is>
          <t>Wire w't</t>
        </is>
      </c>
      <c r="K33" s="218" t="inlineStr">
        <is>
          <t>Gold w't</t>
        </is>
      </c>
      <c r="L33" s="218" t="inlineStr">
        <is>
          <t>Stone</t>
        </is>
      </c>
      <c r="M33" s="218" t="inlineStr">
        <is>
          <t>Color</t>
        </is>
      </c>
      <c r="N33" s="218" t="inlineStr">
        <is>
          <t>Stone Q'ty</t>
        </is>
      </c>
      <c r="O33" s="219" t="inlineStr">
        <is>
          <t>Labor</t>
        </is>
      </c>
      <c r="P33" s="219" t="inlineStr">
        <is>
          <t>Dia Carat</t>
        </is>
      </c>
      <c r="Q33" s="220" t="inlineStr">
        <is>
          <t>Extra Cost</t>
        </is>
      </c>
      <c r="R33" s="220" t="inlineStr">
        <is>
          <t>Dia Packaging Cost</t>
        </is>
      </c>
      <c r="S33" s="220" t="inlineStr">
        <is>
          <t>Dia Handling Service Fee</t>
        </is>
      </c>
      <c r="T33" s="220" t="inlineStr">
        <is>
          <t>Wire
Cost</t>
        </is>
      </c>
      <c r="U33" s="220" t="inlineStr">
        <is>
          <t>Plating Cost</t>
        </is>
      </c>
      <c r="V33" s="220" t="inlineStr">
        <is>
          <t>Stone
Cost</t>
        </is>
      </c>
      <c r="W33" s="220" t="inlineStr">
        <is>
          <t>Setting
Cost</t>
        </is>
      </c>
      <c r="X33" s="221" t="inlineStr">
        <is>
          <t>Labor
Cost</t>
        </is>
      </c>
      <c r="Y33" s="221" t="inlineStr">
        <is>
          <t>Gold &amp; 5%
Cost</t>
        </is>
      </c>
      <c r="AG33" s="222" t="n"/>
    </row>
    <row r="34" ht="27" customFormat="1" customHeight="1" s="223">
      <c r="A34" s="224" t="inlineStr">
        <is>
          <t>FCC250313RM-14K</t>
        </is>
      </c>
      <c r="B34" s="225" t="inlineStr">
        <is>
          <t>K0098B133 6.50"</t>
        </is>
      </c>
      <c r="C34" s="225" t="n"/>
      <c r="D34" s="225" t="n"/>
      <c r="E34" s="225" t="n"/>
      <c r="F34" s="225" t="inlineStr">
        <is>
          <t>14K YG</t>
        </is>
      </c>
      <c r="G34" s="227" t="n">
        <v>10</v>
      </c>
      <c r="H34" s="253" t="n">
        <v>41.06</v>
      </c>
      <c r="I34" s="253" t="n">
        <v>0</v>
      </c>
      <c r="J34" s="253" t="n">
        <v>3.1</v>
      </c>
      <c r="K34" s="255">
        <f>H34-I34-J34</f>
        <v/>
      </c>
      <c r="L34" s="230" t="n"/>
      <c r="M34" s="230" t="n"/>
      <c r="N34" s="231" t="n"/>
      <c r="O34" s="232" t="n">
        <v>10</v>
      </c>
      <c r="P34" s="233" t="n"/>
      <c r="Q34" s="234" t="n"/>
      <c r="R34" s="234" t="n"/>
      <c r="S34" s="234" t="n"/>
      <c r="T34" s="234">
        <f>G34*2</f>
        <v/>
      </c>
      <c r="U34" s="234" t="n"/>
      <c r="V34" s="234" t="n"/>
      <c r="W34" s="234" t="n"/>
      <c r="X34" s="234">
        <f>K34*O34</f>
        <v/>
      </c>
      <c r="Y34" s="235">
        <f>$Y$14/31.1035*K34*IF(LEFT(F34,3)="10K",0.417*1.07,IF(LEFT(F34,3)="14K",0.585*1.05,IF(LEFT(F34,3)="18K",0.75*1.05,0)))</f>
        <v/>
      </c>
      <c r="Z34" s="223">
        <f>2*K34</f>
        <v/>
      </c>
      <c r="AA34" s="236" t="n">
        <v>323.68</v>
      </c>
      <c r="AB34" s="236" t="n">
        <v>1678.81896</v>
      </c>
      <c r="AC34" s="236" t="n">
        <v>2002.49896</v>
      </c>
      <c r="AD34" s="223" t="n">
        <v>23.31693</v>
      </c>
      <c r="AF34" s="237">
        <f>IF(AE34&gt;0,AE34*K34,X34)</f>
        <v/>
      </c>
      <c r="AG34" s="238" t="n"/>
    </row>
    <row r="35" ht="27.75" customFormat="1" customHeight="1" s="223">
      <c r="A35" s="239" t="n">
        <v>4</v>
      </c>
      <c r="B35" s="226" t="inlineStr">
        <is>
          <t>K0098B140 6.50"</t>
        </is>
      </c>
      <c r="C35" s="226" t="n"/>
      <c r="D35" s="226" t="n"/>
      <c r="E35" s="226" t="n"/>
      <c r="F35" s="225" t="inlineStr">
        <is>
          <t>14K YG</t>
        </is>
      </c>
      <c r="G35" s="240" t="n">
        <v>10</v>
      </c>
      <c r="H35" s="253" t="n">
        <v>46.25</v>
      </c>
      <c r="I35" s="254" t="n">
        <v>0</v>
      </c>
      <c r="J35" s="254" t="n">
        <v>3.1</v>
      </c>
      <c r="K35" s="255">
        <f>H35-I35-J35</f>
        <v/>
      </c>
      <c r="L35" s="230" t="n"/>
      <c r="M35" s="230" t="n"/>
      <c r="N35" s="231" t="n"/>
      <c r="O35" s="232" t="n">
        <v>10</v>
      </c>
      <c r="P35" s="233" t="n"/>
      <c r="Q35" s="234" t="n"/>
      <c r="R35" s="234" t="n"/>
      <c r="S35" s="234" t="n"/>
      <c r="T35" s="234">
        <f>G35*2</f>
        <v/>
      </c>
      <c r="U35" s="234" t="n"/>
      <c r="V35" s="234" t="n"/>
      <c r="W35" s="234" t="n"/>
      <c r="X35" s="234">
        <f>K35*O35</f>
        <v/>
      </c>
      <c r="Y35" s="235">
        <f>$Y$14/31.1035*K35*IF(LEFT(F35,3)="10K",0.417*1.07,IF(LEFT(F35,3)="14K",0.585*1.05,IF(LEFT(F35,3)="18K",0.75*1.05,0)))</f>
        <v/>
      </c>
      <c r="Z35" s="223">
        <f>2*K35</f>
        <v/>
      </c>
      <c r="AA35" s="236" t="n">
        <v>365.2</v>
      </c>
      <c r="AB35" s="236" t="n">
        <v>1908.3519</v>
      </c>
      <c r="AC35" s="236" t="n">
        <v>2273.5519</v>
      </c>
      <c r="AD35" s="223" t="n">
        <v>26.5048875</v>
      </c>
      <c r="AF35" s="237">
        <f>IF(AE35&gt;0,AE35*K35,X35)</f>
        <v/>
      </c>
      <c r="AG35" s="238" t="n"/>
    </row>
    <row r="36" ht="15.75" customFormat="1" customHeight="1" s="242">
      <c r="A36" s="243" t="inlineStr">
        <is>
          <t>SUBTOTAL</t>
        </is>
      </c>
      <c r="B36" s="244" t="n"/>
      <c r="C36" s="244" t="n"/>
      <c r="D36" s="244" t="n"/>
      <c r="E36" s="244" t="n"/>
      <c r="F36" s="244" t="n"/>
      <c r="G36" s="245">
        <f>SUM(G34:G35)</f>
        <v/>
      </c>
      <c r="H36" s="256" t="n"/>
      <c r="I36" s="256" t="n"/>
      <c r="J36" s="256" t="n"/>
      <c r="K36" s="256">
        <f>SUM(K34:K35)</f>
        <v/>
      </c>
      <c r="L36" s="247" t="n"/>
      <c r="M36" s="247" t="n"/>
      <c r="N36" s="247" t="n"/>
      <c r="O36" s="248" t="n"/>
      <c r="P36" s="249">
        <f>SUM(P34:P35)</f>
        <v/>
      </c>
      <c r="Q36" s="250">
        <f>SUM(Q34:Q35)</f>
        <v/>
      </c>
      <c r="R36" s="250">
        <f>SUM(R34:R35)</f>
        <v/>
      </c>
      <c r="S36" s="250">
        <f>SUM(S34:S35)</f>
        <v/>
      </c>
      <c r="T36" s="250">
        <f>SUM(T34:T35)</f>
        <v/>
      </c>
      <c r="U36" s="250">
        <f>SUM(U34:U35)</f>
        <v/>
      </c>
      <c r="V36" s="250">
        <f>SUM(V34:V35)</f>
        <v/>
      </c>
      <c r="W36" s="250">
        <f>SUM(W34:W35)</f>
        <v/>
      </c>
      <c r="X36" s="250">
        <f>SUM(X34:X35)</f>
        <v/>
      </c>
      <c r="Y36" s="251">
        <f>SUM(Y34:Y35)</f>
        <v/>
      </c>
      <c r="AA36" s="252" t="n"/>
      <c r="AB36" s="252" t="n"/>
      <c r="AC36" s="252" t="n"/>
      <c r="AD36" s="252" t="n"/>
      <c r="AG36" s="161" t="n"/>
    </row>
    <row r="37" ht="15.75" customHeight="1" s="208">
      <c r="A37" s="209" t="inlineStr">
        <is>
          <t>Buyer Dia</t>
        </is>
      </c>
      <c r="K37" s="210" t="n"/>
      <c r="L37" s="210" t="n"/>
      <c r="M37" s="210" t="n"/>
      <c r="N37" s="210" t="n"/>
      <c r="W37" s="211" t="n"/>
      <c r="X37" s="212" t="inlineStr">
        <is>
          <t>1st Apr London AM + 1%</t>
        </is>
      </c>
      <c r="Y37" s="213">
        <f>1.01*3131.5</f>
        <v/>
      </c>
    </row>
    <row r="38" ht="27" customFormat="1" customHeight="1" s="214">
      <c r="A38" s="215" t="inlineStr">
        <is>
          <t>PO#</t>
        </is>
      </c>
      <c r="B38" s="216" t="inlineStr">
        <is>
          <t>Item No.</t>
        </is>
      </c>
      <c r="C38" s="216" t="inlineStr">
        <is>
          <t>Buyer No.</t>
        </is>
      </c>
      <c r="D38" s="216" t="inlineStr">
        <is>
          <t>Buyer PO</t>
        </is>
      </c>
      <c r="E38" s="216" t="inlineStr">
        <is>
          <t>Cust. Ref No.</t>
        </is>
      </c>
      <c r="F38" s="216" t="inlineStr">
        <is>
          <t>Metal</t>
        </is>
      </c>
      <c r="G38" s="216" t="inlineStr">
        <is>
          <t>Q'ty</t>
        </is>
      </c>
      <c r="H38" s="217" t="inlineStr">
        <is>
          <t>Total w't</t>
        </is>
      </c>
      <c r="I38" s="217" t="inlineStr">
        <is>
          <t>Dia w't</t>
        </is>
      </c>
      <c r="J38" s="217" t="inlineStr">
        <is>
          <t>Wire w't</t>
        </is>
      </c>
      <c r="K38" s="218" t="inlineStr">
        <is>
          <t>Gold w't</t>
        </is>
      </c>
      <c r="L38" s="218" t="inlineStr">
        <is>
          <t>Stone</t>
        </is>
      </c>
      <c r="M38" s="218" t="inlineStr">
        <is>
          <t>Color</t>
        </is>
      </c>
      <c r="N38" s="218" t="inlineStr">
        <is>
          <t>Stone Q'ty</t>
        </is>
      </c>
      <c r="O38" s="219" t="inlineStr">
        <is>
          <t>Labor</t>
        </is>
      </c>
      <c r="P38" s="219" t="inlineStr">
        <is>
          <t>Dia Carat</t>
        </is>
      </c>
      <c r="Q38" s="220" t="inlineStr">
        <is>
          <t>Extra Cost</t>
        </is>
      </c>
      <c r="R38" s="220" t="inlineStr">
        <is>
          <t>Dia Packaging Cost</t>
        </is>
      </c>
      <c r="S38" s="220" t="inlineStr">
        <is>
          <t>Dia Handling Service Fee</t>
        </is>
      </c>
      <c r="T38" s="220" t="inlineStr">
        <is>
          <t>Wire
Cost</t>
        </is>
      </c>
      <c r="U38" s="220" t="inlineStr">
        <is>
          <t>Plating Cost</t>
        </is>
      </c>
      <c r="V38" s="220" t="inlineStr">
        <is>
          <t>Stone
Cost</t>
        </is>
      </c>
      <c r="W38" s="220" t="inlineStr">
        <is>
          <t>Setting
Cost</t>
        </is>
      </c>
      <c r="X38" s="221" t="inlineStr">
        <is>
          <t>Labor
Cost</t>
        </is>
      </c>
      <c r="Y38" s="221" t="inlineStr">
        <is>
          <t>Gold &amp; 5%
Cost</t>
        </is>
      </c>
      <c r="AG38" s="222" t="n"/>
    </row>
    <row r="39" ht="27" customFormat="1" customHeight="1" s="223">
      <c r="A39" s="224" t="inlineStr">
        <is>
          <t>FCC250326RB-14K</t>
        </is>
      </c>
      <c r="B39" s="226" t="inlineStr">
        <is>
          <t>K0098B33 6.50"</t>
        </is>
      </c>
      <c r="C39" s="226" t="n"/>
      <c r="D39" s="226" t="n"/>
      <c r="E39" s="226" t="n"/>
      <c r="F39" s="225" t="inlineStr">
        <is>
          <t>14K WG</t>
        </is>
      </c>
      <c r="G39" s="240" t="n">
        <v>2</v>
      </c>
      <c r="H39" s="253" t="n">
        <v>10.24</v>
      </c>
      <c r="I39" s="254" t="n">
        <v>0.13</v>
      </c>
      <c r="J39" s="254" t="n">
        <v>0.86</v>
      </c>
      <c r="K39" s="255">
        <f>H39-I39-J39</f>
        <v/>
      </c>
      <c r="L39" s="230" t="inlineStr">
        <is>
          <t>1.50mm
1.60mm</t>
        </is>
      </c>
      <c r="M39" s="230" t="inlineStr">
        <is>
          <t>W
W</t>
        </is>
      </c>
      <c r="N39" s="231" t="inlineStr">
        <is>
          <t>8pcs
12pcs</t>
        </is>
      </c>
      <c r="O39" s="232" t="n">
        <v>9.5</v>
      </c>
      <c r="P39" s="233" t="n">
        <v>0.65</v>
      </c>
      <c r="Q39" s="234" t="n"/>
      <c r="R39" s="234" t="n"/>
      <c r="S39" s="234">
        <f>G39*0.035*(8+12)</f>
        <v/>
      </c>
      <c r="T39" s="234">
        <f>G39*2</f>
        <v/>
      </c>
      <c r="U39" s="234">
        <f>IF(RIGHT(F39,2)="WG",K39*$AA$4,IF(OR(RIGHT(F39,3)="WRG",RIGHT(F39,3)="WYG",RIGHT(F39,3)="WYR"),K39*$AA$4+3*G39,0))</f>
        <v/>
      </c>
      <c r="V39" s="234" t="n"/>
      <c r="W39" s="234">
        <f>G39*(8+12)*0.6</f>
        <v/>
      </c>
      <c r="X39" s="234">
        <f>K39*O39</f>
        <v/>
      </c>
      <c r="Y39" s="235">
        <f>$Y$14/31.1035*K39*IF(LEFT(F39,3)="10K",0.417*1.07,IF(LEFT(F39,3)="14K",0.585*1.05,IF(LEFT(F39,3)="18K",0.75*1.05,0)))</f>
        <v/>
      </c>
      <c r="Z39" s="223">
        <f>2*K39</f>
        <v/>
      </c>
      <c r="AA39" s="236" t="n">
        <v>100.995</v>
      </c>
      <c r="AB39" s="236" t="n">
        <v>533.7605</v>
      </c>
      <c r="AC39" s="236" t="n">
        <v>634.7555</v>
      </c>
      <c r="AD39" s="223" t="n">
        <v>5.6818125</v>
      </c>
      <c r="AF39" s="237">
        <f>IF(AE39&gt;0,AE39*K39,X39)</f>
        <v/>
      </c>
      <c r="AG39" s="238" t="n"/>
    </row>
    <row r="40" ht="151.5" customFormat="1" customHeight="1" s="223">
      <c r="A40" s="239" t="n">
        <v>3</v>
      </c>
      <c r="B40" s="226" t="inlineStr">
        <is>
          <t>K0060B11 6.50"</t>
        </is>
      </c>
      <c r="C40" s="226" t="n"/>
      <c r="D40" s="226" t="n"/>
      <c r="E40" s="226" t="n"/>
      <c r="F40" s="225" t="inlineStr">
        <is>
          <t>14K WG</t>
        </is>
      </c>
      <c r="G40" s="240" t="n">
        <v>2</v>
      </c>
      <c r="H40" s="253" t="n">
        <v>7.82</v>
      </c>
      <c r="I40" s="254" t="n">
        <v>0.23</v>
      </c>
      <c r="J40" s="254" t="n">
        <v>0.9399999999999999</v>
      </c>
      <c r="K40" s="255">
        <f>H40-I40-J40</f>
        <v/>
      </c>
      <c r="L40" s="230" t="inlineStr">
        <is>
          <t>1.30mm
1.40mm
1.50mm
1.60mm
1.70mm
1.80mm
1.90mm
2.00mm
2.10mm
2.20mm
2.30mm</t>
        </is>
      </c>
      <c r="M40" s="230" t="inlineStr">
        <is>
          <t>W
W
W
W
W
W
W
W
W
W
W</t>
        </is>
      </c>
      <c r="N40" s="231" t="inlineStr">
        <is>
          <t>2pcs
2pcs
2pcs
2pcs
2pcs
2pcs
2pcs
2pcs
2pcs
2pcs
2pcs</t>
        </is>
      </c>
      <c r="O40" s="232" t="n">
        <v>9</v>
      </c>
      <c r="P40" s="233" t="n">
        <v>1.14</v>
      </c>
      <c r="Q40" s="234" t="n"/>
      <c r="R40" s="234" t="n"/>
      <c r="S40" s="234">
        <f>G40*0.035*(2+2+2+2+2+2+2+2+2+2+2)</f>
        <v/>
      </c>
      <c r="T40" s="234">
        <f>G40*2</f>
        <v/>
      </c>
      <c r="U40" s="234">
        <f>IF(RIGHT(F40,2)="WG",K40*$AA$4,IF(OR(RIGHT(F40,3)="WRG",RIGHT(F40,3)="WYG",RIGHT(F40,3)="WYR"),K40*$AA$4+3*G40,0))</f>
        <v/>
      </c>
      <c r="V40" s="234" t="n"/>
      <c r="W40" s="234">
        <f>G40*(2+2+2+2+2+2+2+2+2+2+2)*0.3</f>
        <v/>
      </c>
      <c r="X40" s="234">
        <f>K40*O40</f>
        <v/>
      </c>
      <c r="Y40" s="235">
        <f>$Y$14/31.1035*K40*IF(LEFT(F40,3)="10K",0.417*1.07,IF(LEFT(F40,3)="14K",0.585*1.05,IF(LEFT(F40,3)="18K",0.75*1.05,0)))</f>
        <v/>
      </c>
      <c r="Z40" s="223">
        <f>2*K40</f>
        <v/>
      </c>
      <c r="AA40" s="236" t="n">
        <v>66.886</v>
      </c>
      <c r="AB40" s="236" t="n">
        <v>512.7549</v>
      </c>
      <c r="AC40" s="236" t="n">
        <v>579.6409</v>
      </c>
      <c r="AD40" s="223" t="n">
        <v>4.0847625</v>
      </c>
      <c r="AF40" s="237">
        <f>IF(AE40&gt;0,AE40*K40,X40)</f>
        <v/>
      </c>
      <c r="AG40" s="238" t="n"/>
    </row>
    <row r="41" ht="151.5" customFormat="1" customHeight="1" s="223">
      <c r="A41" s="224" t="n">
        <v>3</v>
      </c>
      <c r="B41" s="226" t="inlineStr">
        <is>
          <t>K0060B11 6.50"</t>
        </is>
      </c>
      <c r="C41" s="225" t="n"/>
      <c r="D41" s="225" t="n"/>
      <c r="E41" s="225" t="n"/>
      <c r="F41" s="226" t="inlineStr">
        <is>
          <t>14K YG</t>
        </is>
      </c>
      <c r="G41" s="227" t="n">
        <v>2</v>
      </c>
      <c r="H41" s="253" t="n">
        <v>7.79</v>
      </c>
      <c r="I41" s="253" t="n">
        <v>0.23</v>
      </c>
      <c r="J41" s="253" t="n">
        <v>0.9399999999999999</v>
      </c>
      <c r="K41" s="255">
        <f>H41-I41-J41</f>
        <v/>
      </c>
      <c r="L41" s="230" t="inlineStr">
        <is>
          <t>1.30mm
1.40mm
1.50mm
1.60mm
1.70mm
1.80mm
1.90mm
2.00mm
2.10mm
2.20mm
2.30mm</t>
        </is>
      </c>
      <c r="M41" s="230" t="inlineStr">
        <is>
          <t>W
W
W
W
W
W
W
W
W
W
W</t>
        </is>
      </c>
      <c r="N41" s="231" t="inlineStr">
        <is>
          <t>2pcs
2pcs
2pcs
2pcs
2pcs
2pcs
2pcs
2pcs
2pcs
2pcs
2pcs</t>
        </is>
      </c>
      <c r="O41" s="232" t="n">
        <v>9</v>
      </c>
      <c r="P41" s="233" t="n">
        <v>1.12</v>
      </c>
      <c r="Q41" s="234" t="n"/>
      <c r="R41" s="234" t="n"/>
      <c r="S41" s="234">
        <f>G41*0.035*(2+2+2+2+2+2+2+2+2+2+2)</f>
        <v/>
      </c>
      <c r="T41" s="234">
        <f>G41*2</f>
        <v/>
      </c>
      <c r="U41" s="234">
        <f>IF(RIGHT(F41,2)="WG",K41*$AA$4,IF(OR(RIGHT(F41,3)="WRG",RIGHT(F41,3)="WYG",RIGHT(F41,3)="WYR"),K41*$AA$4+3*G41,0))</f>
        <v/>
      </c>
      <c r="V41" s="234" t="n"/>
      <c r="W41" s="234">
        <f>G41*(2+2+2+2+2+2+2+2+2+2+2)*0.3</f>
        <v/>
      </c>
      <c r="X41" s="234">
        <f>K41*O41</f>
        <v/>
      </c>
      <c r="Y41" s="235">
        <f>$Y$14/31.1035*K41*IF(LEFT(F41,3)="10K",0.417*1.07,IF(LEFT(F41,3)="14K",0.585*1.05,IF(LEFT(F41,3)="18K",0.75*1.05,0)))</f>
        <v/>
      </c>
      <c r="Z41" s="223">
        <f>2*K41</f>
        <v/>
      </c>
      <c r="AA41" s="236" t="n">
        <v>65.08</v>
      </c>
      <c r="AB41" s="236" t="n">
        <v>507.59212</v>
      </c>
      <c r="AC41" s="236" t="n">
        <v>572.6721199999999</v>
      </c>
      <c r="AD41" s="223" t="n">
        <v>4.066335</v>
      </c>
      <c r="AF41" s="237">
        <f>IF(AE41&gt;0,AE41*K41,X41)</f>
        <v/>
      </c>
      <c r="AG41" s="238" t="n"/>
    </row>
    <row r="42" ht="54.75" customFormat="1" customHeight="1" s="223">
      <c r="A42" s="239" t="n">
        <v>5</v>
      </c>
      <c r="B42" s="226" t="inlineStr">
        <is>
          <t>K0098B215 6.50"</t>
        </is>
      </c>
      <c r="C42" s="226" t="n"/>
      <c r="D42" s="226" t="n"/>
      <c r="E42" s="226" t="n"/>
      <c r="F42" s="226" t="inlineStr">
        <is>
          <t>14K WG</t>
        </is>
      </c>
      <c r="G42" s="240" t="n">
        <v>5</v>
      </c>
      <c r="H42" s="253" t="n">
        <v>29.8</v>
      </c>
      <c r="I42" s="254" t="n">
        <v>0.5</v>
      </c>
      <c r="J42" s="254" t="n">
        <v>4.85</v>
      </c>
      <c r="K42" s="255">
        <f>H42-I42-J42</f>
        <v/>
      </c>
      <c r="L42" s="230" t="inlineStr">
        <is>
          <t>0.90mm
1.10mm
1.20mm
1.30mm</t>
        </is>
      </c>
      <c r="M42" s="230" t="inlineStr">
        <is>
          <t>W
W
W
W</t>
        </is>
      </c>
      <c r="N42" s="231" t="inlineStr">
        <is>
          <t>10pcs
8pcs
16pcs
34pcs</t>
        </is>
      </c>
      <c r="O42" s="232" t="n">
        <v>10</v>
      </c>
      <c r="P42" s="233" t="n">
        <v>2.56</v>
      </c>
      <c r="Q42" s="234" t="n"/>
      <c r="R42" s="234" t="n"/>
      <c r="S42" s="234">
        <f>G42*0.035*(10+8+16+34)</f>
        <v/>
      </c>
      <c r="T42" s="234">
        <f>G42*2</f>
        <v/>
      </c>
      <c r="U42" s="234">
        <f>IF(RIGHT(F42,2)="WG",K42*$AA$4,IF(OR(RIGHT(F42,3)="WRG",RIGHT(F42,3)="WYG",RIGHT(F42,3)="WYR"),K42*$AA$4+3*G42,0))</f>
        <v/>
      </c>
      <c r="V42" s="234" t="n"/>
      <c r="W42" s="234">
        <f>G42*(10+8+16+34)*0.3</f>
        <v/>
      </c>
      <c r="X42" s="234">
        <f>K42*O42</f>
        <v/>
      </c>
      <c r="Y42" s="235">
        <f>$Y$14/31.1035*K42*IF(LEFT(F42,3)="10K",0.417*1.07,IF(LEFT(F42,3)="14K",0.585*1.05,IF(LEFT(F42,3)="18K",0.75*1.05,0)))</f>
        <v/>
      </c>
      <c r="Z42" s="223">
        <f>2*K42</f>
        <v/>
      </c>
      <c r="AA42" s="236" t="n">
        <v>325.368</v>
      </c>
      <c r="AB42" s="236" t="n">
        <v>1572.3337</v>
      </c>
      <c r="AC42" s="236" t="n">
        <v>1897.7017</v>
      </c>
      <c r="AD42" s="223" t="n">
        <v>15.0184125</v>
      </c>
      <c r="AF42" s="237">
        <f>IF(AE42&gt;0,AE42*K42,X42)</f>
        <v/>
      </c>
      <c r="AG42" s="238" t="n"/>
    </row>
    <row r="43" ht="54.75" customFormat="1" customHeight="1" s="223">
      <c r="A43" s="239" t="n">
        <v>5</v>
      </c>
      <c r="B43" s="226" t="inlineStr">
        <is>
          <t>K0098B215 6.50"</t>
        </is>
      </c>
      <c r="C43" s="226" t="n"/>
      <c r="D43" s="226" t="n"/>
      <c r="E43" s="226" t="n"/>
      <c r="F43" s="226" t="inlineStr">
        <is>
          <t>14K YG</t>
        </is>
      </c>
      <c r="G43" s="240" t="n">
        <v>8</v>
      </c>
      <c r="H43" s="253" t="n">
        <v>46.78</v>
      </c>
      <c r="I43" s="254" t="n">
        <v>0.8</v>
      </c>
      <c r="J43" s="254" t="n">
        <v>7.76</v>
      </c>
      <c r="K43" s="255">
        <f>H43-I43-J43</f>
        <v/>
      </c>
      <c r="L43" s="230" t="inlineStr">
        <is>
          <t>0.90mm
1.10mm
1.20mm
1.30mm</t>
        </is>
      </c>
      <c r="M43" s="230" t="inlineStr">
        <is>
          <t>W
W
W
W</t>
        </is>
      </c>
      <c r="N43" s="231" t="inlineStr">
        <is>
          <t>10pcs
8pcs
16pcs
34pcs</t>
        </is>
      </c>
      <c r="O43" s="232" t="n">
        <v>10</v>
      </c>
      <c r="P43" s="233" t="n">
        <v>4.09</v>
      </c>
      <c r="Q43" s="234" t="n"/>
      <c r="R43" s="234" t="n"/>
      <c r="S43" s="234">
        <f>G43*0.035*(10+8+16+34)</f>
        <v/>
      </c>
      <c r="T43" s="234">
        <f>G43*2</f>
        <v/>
      </c>
      <c r="U43" s="234">
        <f>IF(RIGHT(F43,2)="WG",K43*$AA$4,IF(OR(RIGHT(F43,3)="WRG",RIGHT(F43,3)="WYG",RIGHT(F43,3)="WYR"),K43*$AA$4+3*G43,0))</f>
        <v/>
      </c>
      <c r="V43" s="234" t="n"/>
      <c r="W43" s="234">
        <f>G43*(10+8+16+34)*0.3</f>
        <v/>
      </c>
      <c r="X43" s="234">
        <f>K43*O43</f>
        <v/>
      </c>
      <c r="Y43" s="235">
        <f>$Y$14/31.1035*K43*IF(LEFT(F43,3)="10K",0.417*1.07,IF(LEFT(F43,3)="14K",0.585*1.05,IF(LEFT(F43,3)="18K",0.75*1.05,0)))</f>
        <v/>
      </c>
      <c r="Z43" s="223">
        <f>2*K43</f>
        <v/>
      </c>
      <c r="AA43" s="236" t="n">
        <v>504</v>
      </c>
      <c r="AB43" s="236" t="n">
        <v>2474.77972</v>
      </c>
      <c r="AC43" s="236" t="n">
        <v>2978.77972</v>
      </c>
      <c r="AD43" s="223" t="n">
        <v>23.476635</v>
      </c>
      <c r="AF43" s="237">
        <f>IF(AE43&gt;0,AE43*K43,X43)</f>
        <v/>
      </c>
      <c r="AG43" s="238" t="n"/>
    </row>
    <row r="44" ht="27" customFormat="1" customHeight="1" s="223">
      <c r="A44" s="239" t="n">
        <v>6</v>
      </c>
      <c r="B44" s="226" t="inlineStr">
        <is>
          <t>K01093B01 6.50"</t>
        </is>
      </c>
      <c r="C44" s="226" t="n"/>
      <c r="D44" s="226" t="n"/>
      <c r="E44" s="226" t="n"/>
      <c r="F44" s="226" t="inlineStr">
        <is>
          <t>14K YG</t>
        </is>
      </c>
      <c r="G44" s="240" t="n">
        <v>1</v>
      </c>
      <c r="H44" s="253" t="n">
        <v>4.46</v>
      </c>
      <c r="I44" s="254" t="n">
        <v>0.04</v>
      </c>
      <c r="J44" s="254" t="n">
        <v>0.31</v>
      </c>
      <c r="K44" s="255">
        <f>H44-I44-J44</f>
        <v/>
      </c>
      <c r="L44" s="230" t="inlineStr">
        <is>
          <t>2.00mm
2.30mm</t>
        </is>
      </c>
      <c r="M44" s="230" t="inlineStr">
        <is>
          <t>W
W</t>
        </is>
      </c>
      <c r="N44" s="231" t="inlineStr">
        <is>
          <t>4pcs
1pcs</t>
        </is>
      </c>
      <c r="O44" s="232" t="n">
        <v>10</v>
      </c>
      <c r="P44" s="233" t="n">
        <v>0.185</v>
      </c>
      <c r="Q44" s="234" t="n"/>
      <c r="R44" s="234" t="n"/>
      <c r="S44" s="234">
        <f>G44*0.035*(4+1)</f>
        <v/>
      </c>
      <c r="T44" s="234">
        <f>G44*2</f>
        <v/>
      </c>
      <c r="U44" s="234">
        <f>IF(RIGHT(F44,2)="WG",K44*$AA$4,IF(OR(RIGHT(F44,3)="WRG",RIGHT(F44,3)="WYG",RIGHT(F44,3)="WYR"),K44*$AA$4+3*G44,0))</f>
        <v/>
      </c>
      <c r="V44" s="234" t="n"/>
      <c r="W44" s="234">
        <f>G44*(4+1)*0.6</f>
        <v/>
      </c>
      <c r="X44" s="234">
        <f>K44*O44</f>
        <v/>
      </c>
      <c r="Y44" s="235">
        <f>$Y$14/31.1035*K44*IF(LEFT(F44,3)="10K",0.417*1.07,IF(LEFT(F44,3)="14K",0.585*1.05,IF(LEFT(F44,3)="18K",0.75*1.05,0)))</f>
        <v/>
      </c>
      <c r="Z44" s="223">
        <f>2*K44</f>
        <v/>
      </c>
      <c r="AA44" s="236" t="n">
        <v>38.055</v>
      </c>
      <c r="AB44" s="236" t="n">
        <v>217.25186</v>
      </c>
      <c r="AC44" s="236" t="n">
        <v>255.30686</v>
      </c>
      <c r="AD44" s="223" t="n">
        <v>2.5245675</v>
      </c>
      <c r="AF44" s="237">
        <f>IF(AE44&gt;0,AE44*K44,X44)</f>
        <v/>
      </c>
      <c r="AG44" s="238" t="n"/>
    </row>
    <row r="45" ht="27" customFormat="1" customHeight="1" s="223">
      <c r="A45" s="239" t="n">
        <v>7</v>
      </c>
      <c r="B45" s="226" t="inlineStr">
        <is>
          <t>K0098B167 6.50"</t>
        </is>
      </c>
      <c r="C45" s="226" t="n"/>
      <c r="D45" s="226" t="n"/>
      <c r="E45" s="226" t="n"/>
      <c r="F45" s="226" t="inlineStr">
        <is>
          <t>14K WG</t>
        </is>
      </c>
      <c r="G45" s="240" t="n">
        <v>2</v>
      </c>
      <c r="H45" s="253" t="n">
        <v>12.64</v>
      </c>
      <c r="I45" s="254" t="n">
        <v>0.26</v>
      </c>
      <c r="J45" s="254" t="n">
        <v>0.62</v>
      </c>
      <c r="K45" s="255">
        <f>H45-I45-J45</f>
        <v/>
      </c>
      <c r="L45" s="230" t="n">
        <v>1.2</v>
      </c>
      <c r="M45" s="230" t="inlineStr">
        <is>
          <t>W</t>
        </is>
      </c>
      <c r="N45" s="231" t="n">
        <v>87</v>
      </c>
      <c r="O45" s="232" t="n">
        <v>10</v>
      </c>
      <c r="P45" s="233" t="n">
        <v>1.3</v>
      </c>
      <c r="Q45" s="234" t="n"/>
      <c r="R45" s="234" t="n"/>
      <c r="S45" s="234">
        <f>G45*0.035*N45</f>
        <v/>
      </c>
      <c r="T45" s="234">
        <f>G45*2</f>
        <v/>
      </c>
      <c r="U45" s="234">
        <f>IF(RIGHT(F45,2)="WG",K45*$AA$4,IF(OR(RIGHT(F45,3)="WRG",RIGHT(F45,3)="WYG",RIGHT(F45,3)="WYR"),K45*$AA$4+3*G45,0))</f>
        <v/>
      </c>
      <c r="V45" s="234" t="n"/>
      <c r="W45" s="234">
        <f>G45*N45*0.3</f>
        <v/>
      </c>
      <c r="X45" s="234">
        <f>K45*O45</f>
        <v/>
      </c>
      <c r="Y45" s="235">
        <f>$Y$14/31.1035*K45*IF(LEFT(F45,3)="10K",0.417*1.07,IF(LEFT(F45,3)="14K",0.585*1.05,IF(LEFT(F45,3)="18K",0.75*1.05,0)))</f>
        <v/>
      </c>
      <c r="Z45" s="223">
        <f>2*K45</f>
        <v/>
      </c>
      <c r="AA45" s="236" t="n">
        <v>159.1924</v>
      </c>
      <c r="AB45" s="236" t="n">
        <v>769.43776</v>
      </c>
      <c r="AC45" s="236" t="n">
        <v>928.63016</v>
      </c>
      <c r="AD45" s="223" t="n">
        <v>7.22358</v>
      </c>
      <c r="AF45" s="237">
        <f>IF(AE45&gt;0,AE45*K45,X45)</f>
        <v/>
      </c>
      <c r="AG45" s="238" t="n"/>
    </row>
    <row r="46" ht="27" customFormat="1" customHeight="1" s="223">
      <c r="A46" s="239" t="n">
        <v>7</v>
      </c>
      <c r="B46" s="226" t="inlineStr">
        <is>
          <t>K0098B167 6.50"</t>
        </is>
      </c>
      <c r="C46" s="226" t="n"/>
      <c r="D46" s="226" t="n"/>
      <c r="E46" s="226" t="n"/>
      <c r="F46" s="226" t="inlineStr">
        <is>
          <t>14K YG</t>
        </is>
      </c>
      <c r="G46" s="240" t="n">
        <v>1</v>
      </c>
      <c r="H46" s="253" t="n">
        <v>6.06</v>
      </c>
      <c r="I46" s="254" t="n">
        <v>0.13</v>
      </c>
      <c r="J46" s="254" t="n">
        <v>0.31</v>
      </c>
      <c r="K46" s="255">
        <f>H46-I46-J46</f>
        <v/>
      </c>
      <c r="L46" s="230" t="n">
        <v>1.2</v>
      </c>
      <c r="M46" s="230" t="inlineStr">
        <is>
          <t>W</t>
        </is>
      </c>
      <c r="N46" s="231" t="n">
        <v>87</v>
      </c>
      <c r="O46" s="232" t="n">
        <v>10</v>
      </c>
      <c r="P46" s="233" t="n">
        <v>0.65</v>
      </c>
      <c r="Q46" s="234" t="n"/>
      <c r="R46" s="234" t="n"/>
      <c r="S46" s="234">
        <f>G46*0.035*N46</f>
        <v/>
      </c>
      <c r="T46" s="234">
        <f>G46*2</f>
        <v/>
      </c>
      <c r="U46" s="234">
        <f>IF(RIGHT(F46,2)="WG",K46*$AA$4,IF(OR(RIGHT(F46,3)="WRG",RIGHT(F46,3)="WYG",RIGHT(F46,3)="WYR"),K46*$AA$4+3*G46,0))</f>
        <v/>
      </c>
      <c r="V46" s="234" t="n"/>
      <c r="W46" s="234">
        <f>G46*N46*0.3</f>
        <v/>
      </c>
      <c r="X46" s="234">
        <f>K46*O46</f>
        <v/>
      </c>
      <c r="Y46" s="235">
        <f>$Y$14/31.1035*K46*IF(LEFT(F46,3)="10K",0.417*1.07,IF(LEFT(F46,3)="14K",0.585*1.05,IF(LEFT(F46,3)="18K",0.75*1.05,0)))</f>
        <v/>
      </c>
      <c r="Z46" s="223">
        <f>2*K46</f>
        <v/>
      </c>
      <c r="AA46" s="236" t="n">
        <v>76.105</v>
      </c>
      <c r="AB46" s="236" t="n">
        <v>373.22012</v>
      </c>
      <c r="AC46" s="236" t="n">
        <v>449.32512</v>
      </c>
      <c r="AD46" s="223" t="n">
        <v>3.452085</v>
      </c>
      <c r="AF46" s="237">
        <f>IF(AE46&gt;0,AE46*K46,X46)</f>
        <v/>
      </c>
      <c r="AG46" s="238" t="n"/>
    </row>
    <row r="47" ht="27" customFormat="1" customHeight="1" s="223">
      <c r="A47" s="239" t="n">
        <v>8</v>
      </c>
      <c r="B47" s="226" t="inlineStr">
        <is>
          <t>K0344R02 #M #5.5-7</t>
        </is>
      </c>
      <c r="C47" s="226" t="n"/>
      <c r="D47" s="226" t="n"/>
      <c r="E47" s="226" t="n"/>
      <c r="F47" s="226" t="inlineStr">
        <is>
          <t>14K WG</t>
        </is>
      </c>
      <c r="G47" s="240" t="n">
        <v>3</v>
      </c>
      <c r="H47" s="253" t="n">
        <v>10.49</v>
      </c>
      <c r="I47" s="254" t="n">
        <v>0.65</v>
      </c>
      <c r="J47" s="254" t="n">
        <v>0.54</v>
      </c>
      <c r="K47" s="255">
        <f>H47-I47-J47</f>
        <v/>
      </c>
      <c r="L47" s="230" t="inlineStr">
        <is>
          <t>1.30mm
1.90mm</t>
        </is>
      </c>
      <c r="M47" s="230" t="inlineStr">
        <is>
          <t>W
W</t>
        </is>
      </c>
      <c r="N47" s="231" t="inlineStr">
        <is>
          <t>30pcs
27pcs</t>
        </is>
      </c>
      <c r="O47" s="232" t="n">
        <v>10.5</v>
      </c>
      <c r="P47" s="233" t="n">
        <v>3.215</v>
      </c>
      <c r="Q47" s="234" t="n"/>
      <c r="R47" s="234" t="n"/>
      <c r="S47" s="234">
        <f>G47*0.035*(30+27)</f>
        <v/>
      </c>
      <c r="T47" s="234">
        <f>G47*2</f>
        <v/>
      </c>
      <c r="U47" s="234">
        <f>IF(RIGHT(F47,2)="WG",K47*$AA$4,IF(OR(RIGHT(F47,3)="WRG",RIGHT(F47,3)="WYG",RIGHT(F47,3)="WYR"),K47*$AA$4+3*G47,0))</f>
        <v/>
      </c>
      <c r="V47" s="234" t="n"/>
      <c r="W47" s="234">
        <f>G47*(30+27)*0.3</f>
        <v/>
      </c>
      <c r="X47" s="234">
        <f>K47*O47</f>
        <v/>
      </c>
      <c r="Y47" s="235">
        <f>$Y$14/31.1035*K47*IF(LEFT(F47,3)="10K",0.417*1.07,IF(LEFT(F47,3)="14K",0.585*1.05,IF(LEFT(F47,3)="18K",0.75*1.05,0)))</f>
        <v/>
      </c>
      <c r="Z47" s="223">
        <f>2*K47</f>
        <v/>
      </c>
      <c r="AA47" s="236" t="n">
        <v>144.567</v>
      </c>
      <c r="AB47" s="236" t="n">
        <v>1027.9388</v>
      </c>
      <c r="AC47" s="236" t="n">
        <v>1172.5058</v>
      </c>
      <c r="AD47" s="223" t="n">
        <v>5.712525</v>
      </c>
      <c r="AF47" s="237">
        <f>IF(AE47&gt;0,AE47*K47,X47)</f>
        <v/>
      </c>
      <c r="AG47" s="238" t="n"/>
    </row>
    <row r="48" ht="27" customFormat="1" customHeight="1" s="223">
      <c r="A48" s="239" t="n">
        <v>8</v>
      </c>
      <c r="B48" s="226" t="inlineStr">
        <is>
          <t>K0344R02 #M #5.5-7</t>
        </is>
      </c>
      <c r="C48" s="226" t="n"/>
      <c r="D48" s="226" t="n"/>
      <c r="E48" s="226" t="n"/>
      <c r="F48" s="226" t="inlineStr">
        <is>
          <t>14K YG</t>
        </is>
      </c>
      <c r="G48" s="240" t="n">
        <v>4</v>
      </c>
      <c r="H48" s="253" t="n">
        <v>13.47</v>
      </c>
      <c r="I48" s="254" t="n">
        <v>0.84</v>
      </c>
      <c r="J48" s="254" t="n">
        <v>0.72</v>
      </c>
      <c r="K48" s="255">
        <f>H48-I48-J48</f>
        <v/>
      </c>
      <c r="L48" s="230" t="inlineStr">
        <is>
          <t>1.30mm
1.90mm</t>
        </is>
      </c>
      <c r="M48" s="230" t="inlineStr">
        <is>
          <t>W
W</t>
        </is>
      </c>
      <c r="N48" s="231" t="inlineStr">
        <is>
          <t>30pcs
27pcs</t>
        </is>
      </c>
      <c r="O48" s="232" t="n">
        <v>10.5</v>
      </c>
      <c r="P48" s="233" t="n">
        <v>4.245</v>
      </c>
      <c r="Q48" s="234" t="n"/>
      <c r="R48" s="234" t="n"/>
      <c r="S48" s="234">
        <f>G48*0.035*(30+27)</f>
        <v/>
      </c>
      <c r="T48" s="234">
        <f>G48*2</f>
        <v/>
      </c>
      <c r="U48" s="234">
        <f>IF(RIGHT(F48,2)="WG",K48*$AA$4,IF(OR(RIGHT(F48,3)="WRG",RIGHT(F48,3)="WYG",RIGHT(F48,3)="WYR"),K48*$AA$4+3*G48,0))</f>
        <v/>
      </c>
      <c r="V48" s="234" t="n"/>
      <c r="W48" s="234">
        <f>G48*(30+27)*0.3</f>
        <v/>
      </c>
      <c r="X48" s="234">
        <f>K48*O48</f>
        <v/>
      </c>
      <c r="Y48" s="235">
        <f>$Y$14/31.1035*K48*IF(LEFT(F48,3)="10K",0.417*1.07,IF(LEFT(F48,3)="14K",0.585*1.05,IF(LEFT(F48,3)="18K",0.75*1.05,0)))</f>
        <v/>
      </c>
      <c r="Z48" s="223">
        <f>2*K48</f>
        <v/>
      </c>
      <c r="AA48" s="236" t="n">
        <v>185.615</v>
      </c>
      <c r="AB48" s="236" t="n">
        <v>1340.92266</v>
      </c>
      <c r="AC48" s="236" t="n">
        <v>1526.53766</v>
      </c>
      <c r="AD48" s="223" t="n">
        <v>7.3157175</v>
      </c>
      <c r="AF48" s="237">
        <f>IF(AE48&gt;0,AE48*K48,X48)</f>
        <v/>
      </c>
      <c r="AG48" s="238" t="n"/>
    </row>
    <row r="49" ht="41.25" customFormat="1" customHeight="1" s="223">
      <c r="A49" s="224" t="n">
        <v>9</v>
      </c>
      <c r="B49" s="225" t="inlineStr">
        <is>
          <t>K0132R06 #M #6.5</t>
        </is>
      </c>
      <c r="C49" s="225" t="n"/>
      <c r="D49" s="225" t="n"/>
      <c r="E49" s="225" t="n"/>
      <c r="F49" s="226" t="inlineStr">
        <is>
          <t>14K WG</t>
        </is>
      </c>
      <c r="G49" s="227" t="n">
        <v>2</v>
      </c>
      <c r="H49" s="253" t="n">
        <v>7.14</v>
      </c>
      <c r="I49" s="253" t="n">
        <v>0.34</v>
      </c>
      <c r="J49" s="253" t="n">
        <v>0.36</v>
      </c>
      <c r="K49" s="255">
        <f>H49-I49-J49</f>
        <v/>
      </c>
      <c r="L49" s="230" t="inlineStr">
        <is>
          <t>1.40mm
OV 6.0*4.0</t>
        </is>
      </c>
      <c r="M49" s="230" t="inlineStr">
        <is>
          <t>W
Semi mounting</t>
        </is>
      </c>
      <c r="N49" s="231" t="inlineStr">
        <is>
          <t>76pcs
2pcs</t>
        </is>
      </c>
      <c r="O49" s="232" t="n">
        <v>10.5</v>
      </c>
      <c r="P49" s="233" t="n">
        <v>1.7</v>
      </c>
      <c r="Q49" s="234" t="n"/>
      <c r="R49" s="234" t="n"/>
      <c r="S49" s="234">
        <f>G49*0.035*76</f>
        <v/>
      </c>
      <c r="T49" s="234">
        <f>G49*2</f>
        <v/>
      </c>
      <c r="U49" s="234">
        <f>IF(RIGHT(F49,2)="WG",K49*$AA$4,IF(OR(RIGHT(F49,3)="WRG",RIGHT(F49,3)="WYG",RIGHT(F49,3)="WYR"),K49*$AA$4+3*G49,0))</f>
        <v/>
      </c>
      <c r="V49" s="234" t="n"/>
      <c r="W49" s="234">
        <f>G49*76*0.3</f>
        <v/>
      </c>
      <c r="X49" s="234">
        <f>K49*O49</f>
        <v/>
      </c>
      <c r="Y49" s="235">
        <f>$Y$14/31.1035*K49*IF(LEFT(F49,3)="10K",0.417*1.07,IF(LEFT(F49,3)="14K",0.585*1.05,IF(LEFT(F49,3)="18K",0.75*1.05,0)))</f>
        <v/>
      </c>
      <c r="Z49" s="223">
        <f>2*K49</f>
        <v/>
      </c>
      <c r="AA49" s="236" t="n">
        <v>111.2056</v>
      </c>
      <c r="AB49" s="236" t="n">
        <v>610.87544</v>
      </c>
      <c r="AC49" s="236" t="n">
        <v>722.08104</v>
      </c>
      <c r="AD49" s="223" t="n">
        <v>3.95577</v>
      </c>
      <c r="AF49" s="237">
        <f>IF(AE49&gt;0,AE49*K49,X49)</f>
        <v/>
      </c>
      <c r="AG49" s="238" t="n"/>
    </row>
    <row r="50" ht="41.25" customFormat="1" customHeight="1" s="223">
      <c r="A50" s="239" t="n">
        <v>9</v>
      </c>
      <c r="B50" s="225" t="inlineStr">
        <is>
          <t>K0132R06 #M #6.5</t>
        </is>
      </c>
      <c r="C50" s="226" t="n"/>
      <c r="D50" s="226" t="n"/>
      <c r="E50" s="226" t="n"/>
      <c r="F50" s="226" t="inlineStr">
        <is>
          <t>14K YG</t>
        </is>
      </c>
      <c r="G50" s="240" t="n">
        <v>4</v>
      </c>
      <c r="H50" s="253" t="n">
        <v>14.73</v>
      </c>
      <c r="I50" s="254" t="n">
        <v>0.68</v>
      </c>
      <c r="J50" s="254" t="n">
        <v>0.72</v>
      </c>
      <c r="K50" s="255">
        <f>H50-I50-J50</f>
        <v/>
      </c>
      <c r="L50" s="230" t="inlineStr">
        <is>
          <t>1.40mm
OV 6.0*4.0</t>
        </is>
      </c>
      <c r="M50" s="230" t="inlineStr">
        <is>
          <t>W
Semi mounting</t>
        </is>
      </c>
      <c r="N50" s="231" t="inlineStr">
        <is>
          <t>76pcs
2pcs</t>
        </is>
      </c>
      <c r="O50" s="232" t="n">
        <v>10.5</v>
      </c>
      <c r="P50" s="233" t="n">
        <v>3.4</v>
      </c>
      <c r="Q50" s="234" t="n"/>
      <c r="R50" s="234" t="n"/>
      <c r="S50" s="234">
        <f>G50*0.035*76</f>
        <v/>
      </c>
      <c r="T50" s="234">
        <f>G50*2</f>
        <v/>
      </c>
      <c r="U50" s="234">
        <f>IF(RIGHT(F50,2)="WG",K50*$AA$4,IF(OR(RIGHT(F50,3)="WRG",RIGHT(F50,3)="WYG",RIGHT(F50,3)="WYR"),K50*$AA$4+3*G50,0))</f>
        <v/>
      </c>
      <c r="V50" s="234" t="n"/>
      <c r="W50" s="234">
        <f>G50*76*0.3</f>
        <v/>
      </c>
      <c r="X50" s="234">
        <f>K50*O50</f>
        <v/>
      </c>
      <c r="Y50" s="235">
        <f>$Y$14/31.1035*K50*IF(LEFT(F50,3)="10K",0.417*1.07,IF(LEFT(F50,3)="14K",0.585*1.05,IF(LEFT(F50,3)="18K",0.75*1.05,0)))</f>
        <v/>
      </c>
      <c r="Z50" s="223">
        <f>2*K50</f>
        <v/>
      </c>
      <c r="AA50" s="236" t="n">
        <v>223.145</v>
      </c>
      <c r="AB50" s="236" t="n">
        <v>1241.65258</v>
      </c>
      <c r="AC50" s="236" t="n">
        <v>1464.79758</v>
      </c>
      <c r="AD50" s="223" t="n">
        <v>8.1879525</v>
      </c>
      <c r="AF50" s="237">
        <f>IF(AE50&gt;0,AE50*K50,X50)</f>
        <v/>
      </c>
      <c r="AG50" s="238" t="n"/>
    </row>
    <row r="51" ht="27" customFormat="1" customHeight="1" s="223">
      <c r="A51" s="239" t="n">
        <v>10</v>
      </c>
      <c r="B51" s="226" t="inlineStr">
        <is>
          <t>K5025E07 OV 0.51"</t>
        </is>
      </c>
      <c r="C51" s="226" t="n"/>
      <c r="D51" s="226" t="n"/>
      <c r="E51" s="226" t="n"/>
      <c r="F51" s="226" t="inlineStr">
        <is>
          <t>14K WG</t>
        </is>
      </c>
      <c r="G51" s="240" t="n">
        <v>5</v>
      </c>
      <c r="H51" s="253" t="n">
        <v>17.93</v>
      </c>
      <c r="I51" s="254" t="n">
        <v>0.85</v>
      </c>
      <c r="J51" s="254" t="n">
        <v>0</v>
      </c>
      <c r="K51" s="255">
        <f>H51-I51-J51</f>
        <v/>
      </c>
      <c r="L51" s="230" t="inlineStr">
        <is>
          <t>1.95mm
2.05mm</t>
        </is>
      </c>
      <c r="M51" s="230" t="inlineStr">
        <is>
          <t>W
W</t>
        </is>
      </c>
      <c r="N51" s="231" t="inlineStr">
        <is>
          <t>8pcs
18pcs</t>
        </is>
      </c>
      <c r="O51" s="232" t="n">
        <v>8.75</v>
      </c>
      <c r="P51" s="233" t="n">
        <v>4.245</v>
      </c>
      <c r="Q51" s="234" t="n"/>
      <c r="R51" s="234" t="n"/>
      <c r="S51" s="234">
        <f>G51*0.035*(8+18)</f>
        <v/>
      </c>
      <c r="T51" s="234" t="n"/>
      <c r="U51" s="234">
        <f>IF(RIGHT(F51,2)="WG",K51*$AA$4,IF(OR(RIGHT(F51,3)="WRG",RIGHT(F51,3)="WYG",RIGHT(F51,3)="WYR"),K51*$AA$4+3*G51,0))</f>
        <v/>
      </c>
      <c r="V51" s="234" t="n"/>
      <c r="W51" s="234">
        <f>G51*(8+18)*0.3</f>
        <v/>
      </c>
      <c r="X51" s="234">
        <f>K51*O51</f>
        <v/>
      </c>
      <c r="Y51" s="235">
        <f>$Y$14/31.1035*K51*IF(LEFT(F51,3)="10K",0.417*1.07,IF(LEFT(F51,3)="14K",0.585*1.05,IF(LEFT(F51,3)="18K",0.75*1.05,0)))</f>
        <v/>
      </c>
      <c r="Z51" s="223">
        <f>2*K51</f>
        <v/>
      </c>
      <c r="AA51" s="236" t="n">
        <v>162.9392</v>
      </c>
      <c r="AB51" s="236" t="n">
        <v>1569.57108</v>
      </c>
      <c r="AC51" s="236" t="n">
        <v>1732.51028</v>
      </c>
      <c r="AD51" s="223" t="n">
        <v>10.49139</v>
      </c>
      <c r="AF51" s="237">
        <f>IF(AE51&gt;0,AE51*K51,X51)</f>
        <v/>
      </c>
      <c r="AG51" s="238" t="n"/>
    </row>
    <row r="52" ht="27.75" customFormat="1" customHeight="1" s="223">
      <c r="A52" s="239" t="n">
        <v>10</v>
      </c>
      <c r="B52" s="226" t="inlineStr">
        <is>
          <t>K5025E07 OV 0.51"</t>
        </is>
      </c>
      <c r="C52" s="226" t="n"/>
      <c r="D52" s="226" t="n"/>
      <c r="E52" s="226" t="n"/>
      <c r="F52" s="226" t="inlineStr">
        <is>
          <t>14K YG</t>
        </is>
      </c>
      <c r="G52" s="240" t="n">
        <v>4</v>
      </c>
      <c r="H52" s="253" t="n">
        <v>14.21</v>
      </c>
      <c r="I52" s="254" t="n">
        <v>0.68</v>
      </c>
      <c r="J52" s="254" t="n">
        <v>0</v>
      </c>
      <c r="K52" s="255">
        <f>H52-I52-J52</f>
        <v/>
      </c>
      <c r="L52" s="230" t="inlineStr">
        <is>
          <t>1.95mm
2.05mm</t>
        </is>
      </c>
      <c r="M52" s="230" t="inlineStr">
        <is>
          <t>W
W</t>
        </is>
      </c>
      <c r="N52" s="231" t="inlineStr">
        <is>
          <t>8pcs
18pcs</t>
        </is>
      </c>
      <c r="O52" s="232" t="n">
        <v>8.75</v>
      </c>
      <c r="P52" s="233" t="n">
        <v>3.41</v>
      </c>
      <c r="Q52" s="234" t="n"/>
      <c r="R52" s="234" t="n"/>
      <c r="S52" s="234">
        <f>G52*0.035*(8+18)</f>
        <v/>
      </c>
      <c r="T52" s="234" t="n"/>
      <c r="U52" s="234">
        <f>IF(RIGHT(F52,2)="WG",K52*$AA$4,IF(OR(RIGHT(F52,3)="WRG",RIGHT(F52,3)="WYG",RIGHT(F52,3)="WYR"),K52*$AA$4+3*G52,0))</f>
        <v/>
      </c>
      <c r="V52" s="234" t="n"/>
      <c r="W52" s="234">
        <f>G52*(8+18)*0.3</f>
        <v/>
      </c>
      <c r="X52" s="234">
        <f>K52*O52</f>
        <v/>
      </c>
      <c r="Y52" s="235">
        <f>$Y$14/31.1035*K52*IF(LEFT(F52,3)="10K",0.417*1.07,IF(LEFT(F52,3)="14K",0.585*1.05,IF(LEFT(F52,3)="18K",0.75*1.05,0)))</f>
        <v/>
      </c>
      <c r="Z52" s="223">
        <f>2*K52</f>
        <v/>
      </c>
      <c r="AA52" s="236" t="n">
        <v>126.1675</v>
      </c>
      <c r="AB52" s="236" t="n">
        <v>1252.41578</v>
      </c>
      <c r="AC52" s="236" t="n">
        <v>1378.58328</v>
      </c>
      <c r="AD52" s="223" t="n">
        <v>8.310802499999999</v>
      </c>
      <c r="AF52" s="237">
        <f>IF(AE52&gt;0,AE52*K52,X52)</f>
        <v/>
      </c>
      <c r="AG52" s="238" t="n"/>
    </row>
    <row r="53" ht="15.75" customFormat="1" customHeight="1" s="242">
      <c r="A53" s="243" t="inlineStr">
        <is>
          <t>SUBTOTAL</t>
        </is>
      </c>
      <c r="B53" s="244" t="n"/>
      <c r="C53" s="244" t="n"/>
      <c r="D53" s="244" t="n"/>
      <c r="E53" s="244" t="n"/>
      <c r="F53" s="244" t="n"/>
      <c r="G53" s="245">
        <f>SUM(G39:G52)</f>
        <v/>
      </c>
      <c r="H53" s="256" t="n"/>
      <c r="I53" s="256" t="n"/>
      <c r="J53" s="256" t="n"/>
      <c r="K53" s="256">
        <f>SUM(K39:K52)</f>
        <v/>
      </c>
      <c r="L53" s="247" t="n"/>
      <c r="M53" s="247" t="n"/>
      <c r="N53" s="247" t="n"/>
      <c r="O53" s="248" t="n"/>
      <c r="P53" s="249">
        <f>SUM(P39:P52)</f>
        <v/>
      </c>
      <c r="Q53" s="250">
        <f>SUM(Q39:Q52)</f>
        <v/>
      </c>
      <c r="R53" s="250">
        <f>SUM(R39:R52)</f>
        <v/>
      </c>
      <c r="S53" s="250">
        <f>SUM(S39:S52)</f>
        <v/>
      </c>
      <c r="T53" s="250">
        <f>SUM(T39:T52)</f>
        <v/>
      </c>
      <c r="U53" s="250">
        <f>SUM(U39:U52)</f>
        <v/>
      </c>
      <c r="V53" s="250">
        <f>SUM(V39:V52)</f>
        <v/>
      </c>
      <c r="W53" s="250">
        <f>SUM(W39:W52)</f>
        <v/>
      </c>
      <c r="X53" s="250">
        <f>SUM(X39:X52)</f>
        <v/>
      </c>
      <c r="Y53" s="251">
        <f>SUM(Y39:Y52)</f>
        <v/>
      </c>
      <c r="AA53" s="252" t="n"/>
      <c r="AB53" s="252" t="n"/>
      <c r="AC53" s="252" t="n"/>
      <c r="AD53" s="252" t="n"/>
      <c r="AG53" s="161" t="n"/>
    </row>
    <row r="54" ht="15.75" customHeight="1" s="208">
      <c r="A54" s="209" t="inlineStr">
        <is>
          <t>Buyer Dia</t>
        </is>
      </c>
      <c r="K54" s="210" t="n"/>
      <c r="L54" s="210" t="n"/>
      <c r="M54" s="210" t="n"/>
      <c r="N54" s="210" t="n"/>
      <c r="W54" s="211" t="n"/>
      <c r="X54" s="212" t="inlineStr">
        <is>
          <t>13 Mar London AM + 1%</t>
        </is>
      </c>
      <c r="Y54" s="213">
        <f>1.01*2944.65</f>
        <v/>
      </c>
    </row>
    <row r="55" ht="27" customFormat="1" customHeight="1" s="214">
      <c r="A55" s="215" t="inlineStr">
        <is>
          <t>PO#</t>
        </is>
      </c>
      <c r="B55" s="216" t="inlineStr">
        <is>
          <t>Item No.</t>
        </is>
      </c>
      <c r="C55" s="216" t="inlineStr">
        <is>
          <t>Buyer No.</t>
        </is>
      </c>
      <c r="D55" s="216" t="inlineStr">
        <is>
          <t>Buyer PO</t>
        </is>
      </c>
      <c r="E55" s="216" t="inlineStr">
        <is>
          <t>Cust. Ref No.</t>
        </is>
      </c>
      <c r="F55" s="216" t="inlineStr">
        <is>
          <t>Metal</t>
        </is>
      </c>
      <c r="G55" s="216" t="inlineStr">
        <is>
          <t>Q'ty</t>
        </is>
      </c>
      <c r="H55" s="217" t="inlineStr">
        <is>
          <t>Total w't</t>
        </is>
      </c>
      <c r="I55" s="217" t="inlineStr">
        <is>
          <t>Dia w't</t>
        </is>
      </c>
      <c r="J55" s="217" t="inlineStr">
        <is>
          <t>Wire w't</t>
        </is>
      </c>
      <c r="K55" s="218" t="inlineStr">
        <is>
          <t>Gold w't</t>
        </is>
      </c>
      <c r="L55" s="218" t="inlineStr">
        <is>
          <t>Stone</t>
        </is>
      </c>
      <c r="M55" s="218" t="inlineStr">
        <is>
          <t>Color</t>
        </is>
      </c>
      <c r="N55" s="218" t="inlineStr">
        <is>
          <t>Stone Q'ty</t>
        </is>
      </c>
      <c r="O55" s="219" t="inlineStr">
        <is>
          <t>Labor</t>
        </is>
      </c>
      <c r="P55" s="219" t="inlineStr">
        <is>
          <t>Dia Carat</t>
        </is>
      </c>
      <c r="Q55" s="220" t="inlineStr">
        <is>
          <t>Extra Cost</t>
        </is>
      </c>
      <c r="R55" s="220" t="inlineStr">
        <is>
          <t>Dia Packaging Cost</t>
        </is>
      </c>
      <c r="S55" s="220" t="inlineStr">
        <is>
          <t>Dia Handling Service Fee</t>
        </is>
      </c>
      <c r="T55" s="220" t="inlineStr">
        <is>
          <t>Wire
Cost</t>
        </is>
      </c>
      <c r="U55" s="220" t="inlineStr">
        <is>
          <t>Plating Cost</t>
        </is>
      </c>
      <c r="V55" s="220" t="inlineStr">
        <is>
          <t>Stone
Cost</t>
        </is>
      </c>
      <c r="W55" s="220" t="inlineStr">
        <is>
          <t>Setting
Cost</t>
        </is>
      </c>
      <c r="X55" s="221" t="inlineStr">
        <is>
          <t>Labor
Cost</t>
        </is>
      </c>
      <c r="Y55" s="221" t="inlineStr">
        <is>
          <t>Gold &amp; 5%
Cost</t>
        </is>
      </c>
      <c r="AG55" s="222" t="n"/>
    </row>
    <row r="56" ht="27" customFormat="1" customHeight="1" s="223">
      <c r="A56" s="224" t="inlineStr">
        <is>
          <t>FCC250313RB-14K</t>
        </is>
      </c>
      <c r="B56" s="225" t="inlineStr">
        <is>
          <t>H0212B01 6.50"</t>
        </is>
      </c>
      <c r="C56" s="225" t="n"/>
      <c r="D56" s="225" t="n"/>
      <c r="E56" s="225" t="n"/>
      <c r="F56" s="225" t="inlineStr">
        <is>
          <t>14K YG</t>
        </is>
      </c>
      <c r="G56" s="227" t="n">
        <v>2</v>
      </c>
      <c r="H56" s="253" t="n">
        <v>19.67</v>
      </c>
      <c r="I56" s="253" t="n">
        <v>0.08</v>
      </c>
      <c r="J56" s="253" t="n">
        <v>1.32</v>
      </c>
      <c r="K56" s="255">
        <f>H56-I56-J56</f>
        <v/>
      </c>
      <c r="L56" s="230" t="n">
        <v>1.3</v>
      </c>
      <c r="M56" s="230" t="inlineStr">
        <is>
          <t>W</t>
        </is>
      </c>
      <c r="N56" s="231" t="n">
        <v>20</v>
      </c>
      <c r="O56" s="232" t="n">
        <v>10.25</v>
      </c>
      <c r="P56" s="233" t="n">
        <v>0.41</v>
      </c>
      <c r="Q56" s="234" t="n"/>
      <c r="R56" s="234" t="n"/>
      <c r="S56" s="234">
        <f>0.035*N56*G56</f>
        <v/>
      </c>
      <c r="T56" s="234">
        <f>G56*3</f>
        <v/>
      </c>
      <c r="U56" s="234">
        <f>IF(RIGHT(F56,2)="WG",K56*$AA$4,IF(OR(RIGHT(F56,3)="WRG",RIGHT(F56,3)="WYG",RIGHT(F56,3)="WYR"),K56*$AA$4+3*G56,0))</f>
        <v/>
      </c>
      <c r="V56" s="234" t="n"/>
      <c r="W56" s="234">
        <f>G56*N56*0.6</f>
        <v/>
      </c>
      <c r="X56" s="234">
        <f>K56*O56</f>
        <v/>
      </c>
      <c r="Y56" s="235">
        <f>$Y$14/31.1035*K56*IF(LEFT(F56,3)="10K",0.417*1.07,IF(LEFT(F56,3)="14K",0.585*1.05,IF(LEFT(F56,3)="18K",0.75*1.05,0)))</f>
        <v/>
      </c>
      <c r="Z56" s="223">
        <f>2*K56</f>
        <v/>
      </c>
      <c r="AA56" s="236" t="n">
        <v>182.1275</v>
      </c>
      <c r="AB56" s="236" t="n">
        <v>886.64702</v>
      </c>
      <c r="AC56" s="236" t="n">
        <v>1068.77452</v>
      </c>
      <c r="AD56" s="223" t="n">
        <v>11.2223475</v>
      </c>
      <c r="AF56" s="237">
        <f>IF(AE56&gt;0,AE56*K56,X56)</f>
        <v/>
      </c>
      <c r="AG56" s="238" t="n"/>
    </row>
    <row r="57" ht="41.25" customFormat="1" customHeight="1" s="223">
      <c r="A57" s="239" t="n">
        <v>2</v>
      </c>
      <c r="B57" s="226" t="inlineStr">
        <is>
          <t>H0199B01 6.50"</t>
        </is>
      </c>
      <c r="C57" s="226" t="n"/>
      <c r="D57" s="226" t="n"/>
      <c r="E57" s="226" t="n"/>
      <c r="F57" s="226" t="inlineStr">
        <is>
          <t>14K YG</t>
        </is>
      </c>
      <c r="G57" s="240" t="n">
        <v>4</v>
      </c>
      <c r="H57" s="253" t="n">
        <v>14.99</v>
      </c>
      <c r="I57" s="254" t="n">
        <v>0.04</v>
      </c>
      <c r="J57" s="254" t="n">
        <v>2.88</v>
      </c>
      <c r="K57" s="255">
        <f>H57-I57-J57</f>
        <v/>
      </c>
      <c r="L57" s="230" t="inlineStr">
        <is>
          <t>1.40mm
1.50mm
1.60mm</t>
        </is>
      </c>
      <c r="M57" s="230" t="inlineStr">
        <is>
          <t>W
W
W</t>
        </is>
      </c>
      <c r="N57" s="231" t="inlineStr">
        <is>
          <t>2pcs
2pcs
1pcs</t>
        </is>
      </c>
      <c r="O57" s="232" t="n">
        <v>9</v>
      </c>
      <c r="P57" s="233" t="n">
        <v>0.27</v>
      </c>
      <c r="Q57" s="234" t="n"/>
      <c r="R57" s="234" t="n"/>
      <c r="S57" s="234">
        <f>0.035*(2+2+1)*G57</f>
        <v/>
      </c>
      <c r="T57" s="234">
        <f>G57*2</f>
        <v/>
      </c>
      <c r="U57" s="234">
        <f>IF(RIGHT(F57,2)="WG",K57*$AA$4,IF(OR(RIGHT(F57,3)="WRG",RIGHT(F57,3)="WYG",RIGHT(F57,3)="WYR"),K57*$AA$4+3*G57,0))</f>
        <v/>
      </c>
      <c r="V57" s="234" t="n"/>
      <c r="W57" s="234">
        <f>G57*(2+2+1)*0.3</f>
        <v/>
      </c>
      <c r="X57" s="234">
        <f>K57*O57</f>
        <v/>
      </c>
      <c r="Y57" s="235">
        <f>$Y$14/31.1035*K57*IF(LEFT(F57,3)="10K",0.417*1.07,IF(LEFT(F57,3)="14K",0.585*1.05,IF(LEFT(F57,3)="18K",0.75*1.05,0)))</f>
        <v/>
      </c>
      <c r="Z57" s="223">
        <f>2*K57</f>
        <v/>
      </c>
      <c r="AA57" s="236" t="n">
        <v>99.19</v>
      </c>
      <c r="AB57" s="236" t="n">
        <v>585.5938200000001</v>
      </c>
      <c r="AC57" s="236" t="n">
        <v>684.78382</v>
      </c>
      <c r="AD57" s="223" t="n">
        <v>7.4139975</v>
      </c>
      <c r="AF57" s="237">
        <f>IF(AE57&gt;0,AE57*K57,X57)</f>
        <v/>
      </c>
      <c r="AG57" s="238" t="n"/>
    </row>
    <row r="58" ht="27" customFormat="1" customHeight="1" s="223">
      <c r="A58" s="239" t="n">
        <v>5</v>
      </c>
      <c r="B58" s="226" t="inlineStr">
        <is>
          <t>K0038B531 OV H 6.50"</t>
        </is>
      </c>
      <c r="C58" s="226" t="n"/>
      <c r="D58" s="226" t="n"/>
      <c r="E58" s="226" t="n"/>
      <c r="F58" s="226" t="inlineStr">
        <is>
          <t>14K YG</t>
        </is>
      </c>
      <c r="G58" s="240" t="n">
        <v>4</v>
      </c>
      <c r="H58" s="253" t="n">
        <v>24.8</v>
      </c>
      <c r="I58" s="254" t="n">
        <v>1.16</v>
      </c>
      <c r="J58" s="254" t="n">
        <v>1.24</v>
      </c>
      <c r="K58" s="255">
        <f>H58-I58-J58</f>
        <v/>
      </c>
      <c r="L58" s="230" t="n">
        <v>2</v>
      </c>
      <c r="M58" s="230" t="inlineStr">
        <is>
          <t>W</t>
        </is>
      </c>
      <c r="N58" s="231" t="n">
        <v>42</v>
      </c>
      <c r="O58" s="232" t="n">
        <v>9</v>
      </c>
      <c r="P58" s="233" t="n">
        <v>5.825</v>
      </c>
      <c r="Q58" s="234" t="n"/>
      <c r="R58" s="234" t="n"/>
      <c r="S58" s="234">
        <f>0.035*N58*G58</f>
        <v/>
      </c>
      <c r="T58" s="234">
        <f>G58*2</f>
        <v/>
      </c>
      <c r="U58" s="234">
        <f>IF(RIGHT(F58,2)="WG",K58*$AA$4,IF(OR(RIGHT(F58,3)="WRG",RIGHT(F58,3)="WYG",RIGHT(F58,3)="WYR"),K58*$AA$4+3*G58,0))</f>
        <v/>
      </c>
      <c r="V58" s="234" t="n"/>
      <c r="W58" s="234">
        <f>G58*N58*0.3</f>
        <v/>
      </c>
      <c r="X58" s="234">
        <f>K58*O58</f>
        <v/>
      </c>
      <c r="Y58" s="235">
        <f>$Y$14/31.1035*K58*IF(LEFT(F58,3)="10K",0.417*1.07,IF(LEFT(F58,3)="14K",0.585*1.05,IF(LEFT(F58,3)="18K",0.75*1.05,0)))</f>
        <v/>
      </c>
      <c r="Z58" s="223">
        <f>2*K58</f>
        <v/>
      </c>
      <c r="AA58" s="236" t="n">
        <v>221.08</v>
      </c>
      <c r="AB58" s="236" t="n">
        <v>2107.8974</v>
      </c>
      <c r="AC58" s="236" t="n">
        <v>2328.9774</v>
      </c>
      <c r="AD58" s="223" t="n">
        <v>13.7592</v>
      </c>
      <c r="AF58" s="237">
        <f>IF(AE58&gt;0,AE58*K58,X58)</f>
        <v/>
      </c>
      <c r="AG58" s="238" t="n"/>
    </row>
    <row r="59" ht="27.75" customFormat="1" customHeight="1" s="223">
      <c r="A59" s="239" t="n">
        <v>6</v>
      </c>
      <c r="B59" s="226" t="inlineStr">
        <is>
          <t>K0038B523 OV F 6.50"</t>
        </is>
      </c>
      <c r="C59" s="226" t="n"/>
      <c r="D59" s="226" t="n"/>
      <c r="E59" s="226" t="n"/>
      <c r="F59" s="226" t="inlineStr">
        <is>
          <t>14K YG</t>
        </is>
      </c>
      <c r="G59" s="240" t="n">
        <v>2</v>
      </c>
      <c r="H59" s="253" t="n">
        <v>14.03</v>
      </c>
      <c r="I59" s="254" t="n">
        <v>0.98</v>
      </c>
      <c r="J59" s="254" t="n">
        <v>0.62</v>
      </c>
      <c r="K59" s="255">
        <f>H59-I59-J59</f>
        <v/>
      </c>
      <c r="L59" s="230" t="n">
        <v>2.25</v>
      </c>
      <c r="M59" s="230" t="inlineStr">
        <is>
          <t>W</t>
        </is>
      </c>
      <c r="N59" s="231" t="n">
        <v>57</v>
      </c>
      <c r="O59" s="232" t="n">
        <v>9</v>
      </c>
      <c r="P59" s="233" t="n">
        <v>4.925</v>
      </c>
      <c r="Q59" s="234" t="n"/>
      <c r="R59" s="234" t="n"/>
      <c r="S59" s="234">
        <f>0.035*N59*G59</f>
        <v/>
      </c>
      <c r="T59" s="234">
        <f>G59*2</f>
        <v/>
      </c>
      <c r="U59" s="234">
        <f>IF(RIGHT(F59,2)="WG",K59*$AA$4,IF(OR(RIGHT(F59,3)="WRG",RIGHT(F59,3)="WYG",RIGHT(F59,3)="WYR"),K59*$AA$4+3*G59,0))</f>
        <v/>
      </c>
      <c r="V59" s="234" t="n"/>
      <c r="W59" s="234">
        <f>G59*N59*0.3</f>
        <v/>
      </c>
      <c r="X59" s="234">
        <f>K59*O59</f>
        <v/>
      </c>
      <c r="Y59" s="235">
        <f>$Y$14/31.1035*K59*IF(LEFT(F59,3)="10K",0.417*1.07,IF(LEFT(F59,3)="14K",0.585*1.05,IF(LEFT(F59,3)="18K",0.75*1.05,0)))</f>
        <v/>
      </c>
      <c r="Z59" s="223">
        <f>2*K59</f>
        <v/>
      </c>
      <c r="AA59" s="236" t="n">
        <v>129.2</v>
      </c>
      <c r="AB59" s="236" t="n">
        <v>1494.34418</v>
      </c>
      <c r="AC59" s="236" t="n">
        <v>1623.54418</v>
      </c>
      <c r="AD59" s="223" t="n">
        <v>7.6351275</v>
      </c>
      <c r="AF59" s="237">
        <f>IF(AE59&gt;0,AE59*K59,X59)</f>
        <v/>
      </c>
      <c r="AG59" s="238" t="n"/>
    </row>
    <row r="60" ht="15.75" customFormat="1" customHeight="1" s="242">
      <c r="A60" s="243" t="inlineStr">
        <is>
          <t>SUBTOTAL</t>
        </is>
      </c>
      <c r="B60" s="244" t="n"/>
      <c r="C60" s="244" t="n"/>
      <c r="D60" s="244" t="n"/>
      <c r="E60" s="244" t="n"/>
      <c r="F60" s="244" t="n"/>
      <c r="G60" s="245">
        <f>SUM(G56:G59)</f>
        <v/>
      </c>
      <c r="H60" s="256" t="n"/>
      <c r="I60" s="256" t="n"/>
      <c r="J60" s="256" t="n"/>
      <c r="K60" s="256">
        <f>SUM(K56:K59)</f>
        <v/>
      </c>
      <c r="L60" s="247" t="n"/>
      <c r="M60" s="247" t="n"/>
      <c r="N60" s="247" t="n"/>
      <c r="O60" s="248" t="n"/>
      <c r="P60" s="249">
        <f>SUM(P56:P59)</f>
        <v/>
      </c>
      <c r="Q60" s="250">
        <f>SUM(Q56:Q59)</f>
        <v/>
      </c>
      <c r="R60" s="250">
        <f>SUM(R56:R59)</f>
        <v/>
      </c>
      <c r="S60" s="250">
        <f>SUM(S56:S59)</f>
        <v/>
      </c>
      <c r="T60" s="250">
        <f>SUM(T56:T59)</f>
        <v/>
      </c>
      <c r="U60" s="250">
        <f>SUM(U56:U59)</f>
        <v/>
      </c>
      <c r="V60" s="250">
        <f>SUM(V56:V59)</f>
        <v/>
      </c>
      <c r="W60" s="250">
        <f>SUM(W56:W59)</f>
        <v/>
      </c>
      <c r="X60" s="250">
        <f>SUM(X56:X59)</f>
        <v/>
      </c>
      <c r="Y60" s="251">
        <f>SUM(Y56:Y59)</f>
        <v/>
      </c>
      <c r="AA60" s="252" t="n"/>
      <c r="AB60" s="252" t="n"/>
      <c r="AC60" s="252" t="n"/>
      <c r="AD60" s="252" t="n"/>
      <c r="AG60" s="161" t="n"/>
    </row>
    <row r="61" ht="15.75" customHeight="1" s="208">
      <c r="A61" s="209" t="inlineStr">
        <is>
          <t>Buyer Dia</t>
        </is>
      </c>
      <c r="K61" s="210" t="n"/>
      <c r="L61" s="210" t="n"/>
      <c r="M61" s="210" t="n"/>
      <c r="N61" s="210" t="n"/>
      <c r="W61" s="211" t="n"/>
      <c r="X61" s="212" t="inlineStr">
        <is>
          <t>24 Apr London AM + 1%</t>
        </is>
      </c>
      <c r="Y61" s="213">
        <f>1.01*3331.05</f>
        <v/>
      </c>
    </row>
    <row r="62" ht="27" customFormat="1" customHeight="1" s="214">
      <c r="A62" s="215" t="inlineStr">
        <is>
          <t>PO#</t>
        </is>
      </c>
      <c r="B62" s="216" t="inlineStr">
        <is>
          <t>Item No.</t>
        </is>
      </c>
      <c r="C62" s="216" t="inlineStr">
        <is>
          <t>Buyer No.</t>
        </is>
      </c>
      <c r="D62" s="216" t="inlineStr">
        <is>
          <t>Buyer PO</t>
        </is>
      </c>
      <c r="E62" s="216" t="inlineStr">
        <is>
          <t>Cust. Ref No.</t>
        </is>
      </c>
      <c r="F62" s="216" t="inlineStr">
        <is>
          <t>Metal</t>
        </is>
      </c>
      <c r="G62" s="216" t="inlineStr">
        <is>
          <t>Q'ty</t>
        </is>
      </c>
      <c r="H62" s="217" t="inlineStr">
        <is>
          <t>Total w't</t>
        </is>
      </c>
      <c r="I62" s="217" t="inlineStr">
        <is>
          <t>Dia w't</t>
        </is>
      </c>
      <c r="J62" s="217" t="inlineStr">
        <is>
          <t>Wire w't</t>
        </is>
      </c>
      <c r="K62" s="218" t="inlineStr">
        <is>
          <t>Gold w't</t>
        </is>
      </c>
      <c r="L62" s="218" t="inlineStr">
        <is>
          <t>Stone</t>
        </is>
      </c>
      <c r="M62" s="218" t="inlineStr">
        <is>
          <t>Color</t>
        </is>
      </c>
      <c r="N62" s="218" t="inlineStr">
        <is>
          <t>Stone Q'ty</t>
        </is>
      </c>
      <c r="O62" s="219" t="inlineStr">
        <is>
          <t>Labor</t>
        </is>
      </c>
      <c r="P62" s="219" t="inlineStr">
        <is>
          <t>Dia Carat</t>
        </is>
      </c>
      <c r="Q62" s="220" t="inlineStr">
        <is>
          <t>Extra Cost</t>
        </is>
      </c>
      <c r="R62" s="220" t="inlineStr">
        <is>
          <t>Dia Packaging Cost</t>
        </is>
      </c>
      <c r="S62" s="220" t="inlineStr">
        <is>
          <t>Dia Handling Service Fee</t>
        </is>
      </c>
      <c r="T62" s="220" t="inlineStr">
        <is>
          <t>Wire
Cost</t>
        </is>
      </c>
      <c r="U62" s="220" t="inlineStr">
        <is>
          <t>Plating Cost</t>
        </is>
      </c>
      <c r="V62" s="220" t="inlineStr">
        <is>
          <t>Stone
Cost</t>
        </is>
      </c>
      <c r="W62" s="220" t="inlineStr">
        <is>
          <t>Setting
Cost</t>
        </is>
      </c>
      <c r="X62" s="221" t="inlineStr">
        <is>
          <t>Labor
Cost</t>
        </is>
      </c>
      <c r="Y62" s="221" t="inlineStr">
        <is>
          <t>Gold &amp; 5%
Cost</t>
        </is>
      </c>
      <c r="AG62" s="222" t="n"/>
    </row>
    <row r="63" ht="27.75" customFormat="1" customHeight="1" s="223">
      <c r="A63" s="239" t="inlineStr">
        <is>
          <t>FCC250424RB-2-14K</t>
        </is>
      </c>
      <c r="B63" s="226" t="inlineStr">
        <is>
          <t>K0676TN15 C4 16"</t>
        </is>
      </c>
      <c r="C63" s="226" t="n"/>
      <c r="D63" s="226" t="n"/>
      <c r="E63" s="226" t="n"/>
      <c r="F63" s="226" t="inlineStr">
        <is>
          <t>14K YG</t>
        </is>
      </c>
      <c r="G63" s="240" t="n">
        <v>1</v>
      </c>
      <c r="H63" s="253" t="n">
        <v>13.2</v>
      </c>
      <c r="I63" s="254" t="n">
        <v>0</v>
      </c>
      <c r="J63" s="254" t="n">
        <v>0</v>
      </c>
      <c r="K63" s="255">
        <f>H63-I63-J63</f>
        <v/>
      </c>
      <c r="L63" s="230" t="n">
        <v>1.6</v>
      </c>
      <c r="M63" s="230" t="inlineStr">
        <is>
          <t>W</t>
        </is>
      </c>
      <c r="N63" s="231" t="n">
        <v>164</v>
      </c>
      <c r="O63" s="232" t="n">
        <v>8.25</v>
      </c>
      <c r="P63" s="233" t="n"/>
      <c r="Q63" s="234" t="n"/>
      <c r="R63" s="234" t="n"/>
      <c r="S63" s="234">
        <f>G63*N63*0.035</f>
        <v/>
      </c>
      <c r="T63" s="234" t="n"/>
      <c r="U63" s="234">
        <f>IF(RIGHT(F63,2)="WG",K63*$AA$4,IF(OR(RIGHT(F63,3)="WRG",RIGHT(F63,3)="WYG",RIGHT(F63,3)="WYR"),K63*$AA$4+3*G63,0))</f>
        <v/>
      </c>
      <c r="V63" s="234" t="n"/>
      <c r="W63" s="234">
        <f>G63*N63*1</f>
        <v/>
      </c>
      <c r="X63" s="234">
        <f>K63*O63</f>
        <v/>
      </c>
      <c r="Y63" s="235">
        <f>$Y$14/31.1035*K63*IF(LEFT(F63,3)="10K",0.417*1.07,IF(LEFT(F63,3)="14K",0.585*1.05,IF(LEFT(F63,3)="18K",0.75*1.05,0)))</f>
        <v/>
      </c>
      <c r="Z63" s="223">
        <f>2*K63</f>
        <v/>
      </c>
      <c r="AA63" s="236" t="n">
        <v>252.24</v>
      </c>
      <c r="AB63" s="236" t="n">
        <v>583.7832</v>
      </c>
      <c r="AC63" s="236" t="n">
        <v>836.0232</v>
      </c>
      <c r="AD63" s="223" t="n">
        <v>8.1081</v>
      </c>
      <c r="AF63" s="237">
        <f>IF(AE63&gt;0,AE63*K63,X63)</f>
        <v/>
      </c>
      <c r="AG63" s="238" t="n"/>
    </row>
    <row r="64" ht="15.75" customFormat="1" customHeight="1" s="242">
      <c r="A64" s="243" t="inlineStr">
        <is>
          <t>SUBTOTAL</t>
        </is>
      </c>
      <c r="B64" s="244" t="n"/>
      <c r="C64" s="244" t="n"/>
      <c r="D64" s="244" t="n"/>
      <c r="E64" s="244" t="n"/>
      <c r="F64" s="244" t="n"/>
      <c r="G64" s="245">
        <f>SUM(G63)</f>
        <v/>
      </c>
      <c r="H64" s="256" t="n"/>
      <c r="I64" s="256" t="n"/>
      <c r="J64" s="256" t="n"/>
      <c r="K64" s="256">
        <f>SUM(K63)</f>
        <v/>
      </c>
      <c r="L64" s="247" t="n"/>
      <c r="M64" s="247" t="n"/>
      <c r="N64" s="247" t="n"/>
      <c r="O64" s="248" t="n"/>
      <c r="P64" s="249">
        <f>SUM(P63)</f>
        <v/>
      </c>
      <c r="Q64" s="250">
        <f>SUM(Q63)</f>
        <v/>
      </c>
      <c r="R64" s="250">
        <f>SUM(R63)</f>
        <v/>
      </c>
      <c r="S64" s="250">
        <f>SUM(S63)</f>
        <v/>
      </c>
      <c r="T64" s="250">
        <f>SUM(T63)</f>
        <v/>
      </c>
      <c r="U64" s="250">
        <f>SUM(U63)</f>
        <v/>
      </c>
      <c r="V64" s="250">
        <f>SUM(V63)</f>
        <v/>
      </c>
      <c r="W64" s="250">
        <f>SUM(W63)</f>
        <v/>
      </c>
      <c r="X64" s="250">
        <f>SUM(X63)</f>
        <v/>
      </c>
      <c r="Y64" s="251">
        <f>SUM(Y63)</f>
        <v/>
      </c>
      <c r="AA64" s="252" t="n">
        <v>5261.4515</v>
      </c>
      <c r="AB64" s="252" t="n">
        <v>27472.8048</v>
      </c>
      <c r="AC64" s="252" t="n">
        <v>32734.2563</v>
      </c>
      <c r="AD64" s="252" t="n">
        <v>265.8474</v>
      </c>
      <c r="AF64" s="257">
        <f>SUM(AF16:AF63)</f>
        <v/>
      </c>
      <c r="AG64" s="161" t="n"/>
    </row>
    <row r="65" ht="15.75" customFormat="1" customHeight="1" s="242">
      <c r="A65" s="258" t="inlineStr">
        <is>
          <t>TOTAL</t>
        </is>
      </c>
      <c r="B65" s="154" t="n"/>
      <c r="C65" s="154" t="n"/>
      <c r="D65" s="154" t="n"/>
      <c r="E65" s="154" t="n"/>
      <c r="F65" s="154" t="n"/>
      <c r="G65" s="259">
        <f>SUM(G64,G60,G53,G36,G31,G27,G22,G18)</f>
        <v/>
      </c>
      <c r="H65" s="260" t="n"/>
      <c r="I65" s="260" t="n"/>
      <c r="J65" s="260" t="n"/>
      <c r="K65" s="260">
        <f>SUM(K64,K60,K53,K36,K31,K27,K22,K18)</f>
        <v/>
      </c>
      <c r="L65" s="261" t="n"/>
      <c r="M65" s="261" t="n"/>
      <c r="N65" s="261" t="n"/>
      <c r="O65" s="262" t="n"/>
      <c r="P65" s="263">
        <f>SUM(P64,P60,P53,P36,P31,P27,P22,P18)</f>
        <v/>
      </c>
      <c r="Q65" s="264">
        <f>SUM(Q64,Q60,Q53,Q36,Q31,Q27,Q22,Q18)</f>
        <v/>
      </c>
      <c r="R65" s="264">
        <f>SUM(R64,R60,R53,R36,R31,R27,R22,R18)</f>
        <v/>
      </c>
      <c r="S65" s="264">
        <f>SUM(S64,S60,S53,S36,S31,S27,S22,S18)</f>
        <v/>
      </c>
      <c r="T65" s="264">
        <f>SUM(T64,T60,T53,T36,T31,T27,T22,T18)</f>
        <v/>
      </c>
      <c r="U65" s="264">
        <f>SUM(U64,U60,U53,U36,U31,U27,U22,U18)</f>
        <v/>
      </c>
      <c r="V65" s="264">
        <f>SUM(V64,V60,V53,V36,V31,V27,V22,V18)</f>
        <v/>
      </c>
      <c r="W65" s="264">
        <f>SUM(W64,W60,W53,W36,W31,W27,W22,W18)</f>
        <v/>
      </c>
      <c r="X65" s="264">
        <f>SUM(X64,X60,X53,X36,X31,X27,X22,X18)</f>
        <v/>
      </c>
      <c r="Y65" s="265">
        <f>SUM(Y64,Y60,Y53,Y36,Y31,Y27,Y22,Y18)</f>
        <v/>
      </c>
      <c r="AA65" s="252" t="n"/>
      <c r="AB65" s="252" t="n"/>
      <c r="AC65" s="252" t="n"/>
      <c r="AD65" s="252" t="n"/>
      <c r="AG65" s="161" t="n"/>
    </row>
    <row r="66" ht="15.75" customFormat="1" customHeight="1" s="242">
      <c r="A66" s="266" t="n">
        <v>20</v>
      </c>
      <c r="B66" s="267" t="n"/>
      <c r="C66" s="267" t="n"/>
      <c r="D66" s="267" t="n"/>
      <c r="E66" s="267" t="n"/>
      <c r="F66" s="267" t="n"/>
      <c r="G66" s="267" t="n"/>
      <c r="H66" s="267" t="n"/>
      <c r="I66" s="267" t="n"/>
      <c r="J66" s="268" t="n"/>
      <c r="K66" s="269" t="n"/>
      <c r="L66" s="269" t="n"/>
      <c r="M66" s="269" t="n"/>
      <c r="N66" s="269" t="n"/>
      <c r="O66" s="270" t="n"/>
      <c r="P66" s="270" t="n"/>
      <c r="Q66" s="271" t="n"/>
      <c r="R66" s="271" t="n"/>
      <c r="S66" s="271" t="n"/>
      <c r="T66" s="271" t="n"/>
      <c r="U66" s="271" t="n"/>
      <c r="V66" s="272" t="n"/>
      <c r="W66" s="273" t="inlineStr">
        <is>
          <t>FREIGHT CHARGE</t>
        </is>
      </c>
      <c r="X66" s="272" t="n"/>
      <c r="Y66" s="274" t="n"/>
      <c r="AG66" s="161" t="n"/>
    </row>
    <row r="67" ht="18" customFormat="1" customHeight="1" s="242">
      <c r="A67" s="275" t="n">
        <v>20</v>
      </c>
      <c r="B67" s="276" t="n"/>
      <c r="C67" s="277" t="n"/>
      <c r="D67" s="277" t="n"/>
      <c r="E67" s="277" t="n"/>
      <c r="F67" s="277" t="n"/>
      <c r="G67" s="277" t="n"/>
      <c r="H67" s="277" t="n"/>
      <c r="I67" s="156" t="n"/>
      <c r="J67" s="278" t="n"/>
      <c r="K67" s="158" t="n"/>
      <c r="L67" s="158" t="n"/>
      <c r="M67" s="158" t="n"/>
      <c r="N67" s="158" t="n"/>
      <c r="O67" s="159" t="n"/>
      <c r="P67" s="159" t="n"/>
      <c r="Q67" s="279" t="n"/>
      <c r="R67" s="279" t="n"/>
      <c r="S67" s="279" t="n"/>
      <c r="T67" s="279" t="n"/>
      <c r="U67" s="279" t="n"/>
      <c r="W67" s="280" t="inlineStr">
        <is>
          <t>Total Amount</t>
        </is>
      </c>
      <c r="X67" s="281">
        <f>SUM(Q65:Y65)</f>
        <v/>
      </c>
      <c r="Y67" s="282" t="n"/>
      <c r="AG67" s="161" t="n"/>
    </row>
    <row r="68" ht="18" customFormat="1" customHeight="1" s="242">
      <c r="A68" s="283" t="inlineStr">
        <is>
          <t xml:space="preserve">All unpaid balance will be charged 1.5% per month. </t>
        </is>
      </c>
      <c r="B68" s="284" t="n"/>
      <c r="C68" s="284" t="n"/>
      <c r="D68" s="284" t="n"/>
      <c r="E68" s="284" t="n"/>
      <c r="F68" s="285" t="n"/>
      <c r="G68" s="285" t="n"/>
      <c r="H68" s="285" t="n"/>
      <c r="I68" s="156" t="n"/>
      <c r="J68" s="278" t="n"/>
      <c r="K68" s="158" t="n"/>
      <c r="L68" s="158" t="n"/>
      <c r="M68" s="158" t="n"/>
      <c r="N68" s="158" t="n"/>
      <c r="O68" s="159" t="n"/>
      <c r="P68" s="159" t="n"/>
      <c r="Q68" s="279" t="n"/>
      <c r="R68" s="279" t="n"/>
      <c r="S68" s="279" t="n"/>
      <c r="T68" s="279" t="n"/>
      <c r="U68" s="279" t="n"/>
      <c r="W68" s="280" t="inlineStr">
        <is>
          <t>Deposit</t>
        </is>
      </c>
      <c r="X68" s="286" t="n"/>
      <c r="Y68" s="169" t="n"/>
      <c r="AG68" s="161" t="n"/>
    </row>
    <row r="69" ht="15" customHeight="1" s="208">
      <c r="A69" s="275" t="n"/>
      <c r="B69" s="287" t="n"/>
      <c r="C69" s="287" t="n"/>
      <c r="D69" s="287" t="n"/>
      <c r="E69" s="287" t="n"/>
      <c r="G69" s="155" t="n"/>
      <c r="H69" s="156" t="n"/>
      <c r="J69" s="278" t="n"/>
      <c r="K69" s="158" t="n"/>
      <c r="L69" s="158" t="n"/>
      <c r="M69" s="158" t="n"/>
      <c r="N69" s="158" t="n"/>
      <c r="O69" s="159" t="n"/>
      <c r="P69" s="159" t="n"/>
      <c r="V69" s="155" t="n"/>
      <c r="W69" s="280" t="inlineStr">
        <is>
          <t>Balance</t>
        </is>
      </c>
      <c r="X69" s="286">
        <f>X67-X68</f>
        <v/>
      </c>
      <c r="Y69" s="169" t="n"/>
      <c r="AC69" s="288" t="n"/>
    </row>
    <row r="70" ht="20.25" customHeight="1" s="208">
      <c r="A70" s="209" t="n"/>
      <c r="G70" s="155" t="n"/>
      <c r="H70" s="156" t="n"/>
      <c r="J70" s="278" t="n"/>
      <c r="K70" s="158" t="n"/>
      <c r="L70" s="158" t="n"/>
      <c r="M70" s="158" t="n"/>
      <c r="N70" s="158" t="n"/>
      <c r="O70" s="159" t="n"/>
      <c r="P70" s="159" t="n"/>
      <c r="V70" s="289" t="n"/>
      <c r="W70" s="289" t="n"/>
      <c r="X70" s="290" t="n"/>
      <c r="Y70" s="169" t="n"/>
    </row>
    <row r="71" ht="22.5" customHeight="1" s="208">
      <c r="A71" s="209" t="n"/>
      <c r="B71" s="291" t="n"/>
      <c r="C71" s="291" t="n"/>
      <c r="D71" s="291" t="n"/>
      <c r="E71" s="291" t="n"/>
      <c r="G71" s="155" t="n"/>
      <c r="H71" s="156" t="n"/>
      <c r="J71" s="278" t="n"/>
      <c r="K71" s="158" t="n"/>
      <c r="L71" s="158" t="n"/>
      <c r="M71" s="158" t="n"/>
      <c r="N71" s="158" t="n"/>
      <c r="O71" s="159" t="n"/>
      <c r="P71" s="159" t="n"/>
      <c r="V71" s="289" t="n"/>
      <c r="W71" s="289" t="n"/>
      <c r="X71" s="292" t="n"/>
      <c r="Y71" s="293" t="n"/>
    </row>
    <row r="72" ht="15.75" customHeight="1" s="208">
      <c r="A72" s="294" t="n"/>
      <c r="B72" s="291" t="n"/>
      <c r="C72" s="291" t="n"/>
      <c r="D72" s="291" t="n"/>
      <c r="E72" s="291" t="n"/>
      <c r="F72" s="295" t="n"/>
      <c r="G72" s="295" t="n"/>
      <c r="H72" s="295" t="n"/>
      <c r="I72" s="295" t="n"/>
      <c r="J72" s="296" t="n"/>
      <c r="K72" s="295" t="n"/>
      <c r="L72" s="295" t="n"/>
      <c r="M72" s="295" t="n"/>
      <c r="N72" s="295" t="n"/>
      <c r="O72" s="297" t="n"/>
      <c r="P72" s="297" t="n"/>
      <c r="Q72" s="297" t="n"/>
      <c r="R72" s="297" t="n"/>
      <c r="S72" s="297" t="n"/>
      <c r="T72" s="297" t="n"/>
      <c r="U72" s="297" t="n"/>
      <c r="V72" s="155" t="n"/>
      <c r="W72" s="298" t="n"/>
      <c r="X72" s="299" t="n"/>
      <c r="Y72" s="300" t="n"/>
    </row>
    <row r="73" ht="15.75" customHeight="1" s="208">
      <c r="A73" s="294" t="n"/>
      <c r="B73" s="291" t="n"/>
      <c r="C73" s="291" t="n"/>
      <c r="D73" s="291" t="n"/>
      <c r="E73" s="291" t="n"/>
      <c r="F73" s="295" t="n"/>
      <c r="G73" s="295" t="n"/>
      <c r="H73" s="295" t="n"/>
      <c r="I73" s="295" t="n"/>
      <c r="J73" s="295" t="n"/>
      <c r="K73" s="295" t="n"/>
      <c r="L73" s="295" t="n"/>
      <c r="M73" s="295" t="n"/>
      <c r="N73" s="295" t="n"/>
      <c r="O73" s="297" t="n"/>
      <c r="P73" s="297" t="n"/>
      <c r="Q73" s="297" t="n"/>
      <c r="R73" s="297" t="n"/>
      <c r="S73" s="297" t="n"/>
      <c r="T73" s="297" t="n"/>
      <c r="U73" s="297" t="n"/>
      <c r="V73" s="301" t="n"/>
      <c r="W73" s="301" t="n"/>
      <c r="X73" s="295" t="n"/>
      <c r="Y73" s="302" t="n"/>
    </row>
    <row r="74" ht="13.5" customHeight="1" s="208">
      <c r="A74" s="303" t="n"/>
      <c r="B74" s="291" t="n"/>
      <c r="C74" s="291" t="n"/>
      <c r="D74" s="291" t="n"/>
      <c r="E74" s="291" t="n"/>
      <c r="F74" s="295" t="n"/>
      <c r="G74" s="295" t="n"/>
      <c r="H74" s="295" t="n"/>
      <c r="I74" s="295" t="n"/>
      <c r="J74" s="295" t="n"/>
      <c r="K74" s="295" t="n"/>
      <c r="L74" s="295" t="n"/>
      <c r="M74" s="295" t="n"/>
      <c r="N74" s="295" t="n"/>
      <c r="O74" s="295" t="n"/>
      <c r="P74" s="295" t="n"/>
      <c r="Q74" s="295" t="n"/>
      <c r="R74" s="295" t="n"/>
      <c r="S74" s="295" t="n"/>
      <c r="T74" s="295" t="n"/>
      <c r="U74" s="295" t="n"/>
      <c r="V74" s="304" t="inlineStr">
        <is>
          <t>SIGNED BY</t>
        </is>
      </c>
      <c r="W74" s="301" t="n"/>
      <c r="X74" s="305" t="inlineStr">
        <is>
          <t>PRESIDENT     J.E. PARK</t>
        </is>
      </c>
      <c r="Y74" s="302" t="n"/>
    </row>
    <row r="75" ht="12.75" customFormat="1" customHeight="1" s="295">
      <c r="A75" s="306" t="n"/>
      <c r="B75" s="307" t="n"/>
      <c r="C75" s="307" t="n"/>
      <c r="D75" s="307" t="n"/>
      <c r="E75" s="307" t="n"/>
      <c r="F75" s="308" t="n"/>
      <c r="G75" s="308" t="n"/>
      <c r="H75" s="308" t="n"/>
      <c r="I75" s="308" t="n"/>
      <c r="J75" s="308" t="n"/>
      <c r="K75" s="308" t="n"/>
      <c r="L75" s="308" t="n"/>
      <c r="M75" s="308" t="n"/>
      <c r="N75" s="308" t="n"/>
      <c r="O75" s="308" t="n"/>
      <c r="P75" s="308" t="n"/>
      <c r="Q75" s="308" t="n"/>
      <c r="R75" s="308" t="n"/>
      <c r="S75" s="308" t="n"/>
      <c r="T75" s="308" t="n"/>
      <c r="U75" s="308" t="n"/>
      <c r="V75" s="309" t="n"/>
      <c r="W75" s="309" t="n"/>
      <c r="X75" s="308" t="n"/>
      <c r="Y75" s="310" t="n"/>
      <c r="AG75" s="311" t="n"/>
    </row>
    <row r="76" ht="12.75" customFormat="1" customHeight="1" s="299">
      <c r="A76" s="154" t="n"/>
      <c r="B76" s="154" t="n"/>
      <c r="C76" s="154" t="n"/>
      <c r="D76" s="154" t="n"/>
      <c r="E76" s="154" t="n"/>
      <c r="F76" s="154" t="n"/>
      <c r="G76" s="154" t="n"/>
      <c r="H76" s="155" t="n"/>
      <c r="I76" s="156" t="n"/>
      <c r="J76" s="156" t="n"/>
      <c r="K76" s="157" t="n"/>
      <c r="L76" s="157" t="n"/>
      <c r="M76" s="157" t="n"/>
      <c r="N76" s="157" t="n"/>
      <c r="O76" s="158" t="n"/>
      <c r="P76" s="158" t="n"/>
      <c r="Q76" s="159" t="n"/>
      <c r="R76" s="159" t="n"/>
      <c r="S76" s="159" t="n"/>
      <c r="T76" s="159" t="n"/>
      <c r="U76" s="159" t="n"/>
      <c r="V76" s="159" t="n"/>
      <c r="W76" s="159" t="n"/>
      <c r="X76" s="160" t="n"/>
      <c r="Y76" s="155" t="n"/>
      <c r="AG76" s="312" t="n"/>
    </row>
    <row r="77" ht="12.75" customFormat="1" customHeight="1" s="295">
      <c r="A77" s="154" t="n"/>
      <c r="B77" s="154" t="n"/>
      <c r="C77" s="154" t="n"/>
      <c r="D77" s="154" t="n"/>
      <c r="E77" s="154" t="n"/>
      <c r="F77" s="154" t="n"/>
      <c r="G77" s="154" t="n"/>
      <c r="H77" s="155" t="n"/>
      <c r="I77" s="156" t="n"/>
      <c r="J77" s="156" t="n"/>
      <c r="K77" s="157" t="n"/>
      <c r="L77" s="157" t="n"/>
      <c r="M77" s="157" t="n"/>
      <c r="N77" s="157" t="n"/>
      <c r="O77" s="158" t="n"/>
      <c r="P77" s="158" t="n"/>
      <c r="Q77" s="159" t="n"/>
      <c r="R77" s="159" t="n"/>
      <c r="S77" s="159" t="n"/>
      <c r="T77" s="159" t="n"/>
      <c r="U77" s="159" t="n"/>
      <c r="V77" s="159" t="n"/>
      <c r="W77" s="159" t="n"/>
      <c r="X77" s="160" t="n"/>
      <c r="Y77" s="155" t="n"/>
      <c r="AG77" s="311" t="n"/>
    </row>
    <row r="78" ht="12.75" customFormat="1" customHeight="1" s="295">
      <c r="A78" s="154" t="n"/>
      <c r="B78" s="154" t="n"/>
      <c r="C78" s="154" t="n"/>
      <c r="D78" s="154" t="n"/>
      <c r="E78" s="154" t="n"/>
      <c r="F78" s="154" t="n"/>
      <c r="G78" s="154" t="n"/>
      <c r="H78" s="155" t="n"/>
      <c r="I78" s="156" t="n"/>
      <c r="J78" s="156" t="n"/>
      <c r="K78" s="157" t="n"/>
      <c r="L78" s="157" t="n"/>
      <c r="M78" s="157" t="n"/>
      <c r="N78" s="157" t="n"/>
      <c r="O78" s="158" t="n"/>
      <c r="P78" s="158" t="n"/>
      <c r="Q78" s="159" t="n"/>
      <c r="R78" s="159" t="n"/>
      <c r="S78" s="159" t="n"/>
      <c r="T78" s="159" t="n"/>
      <c r="U78" s="159" t="n"/>
      <c r="V78" s="159" t="n"/>
      <c r="W78" s="159" t="n"/>
      <c r="X78" s="160" t="n"/>
      <c r="Y78" s="155" t="n"/>
      <c r="AG78" s="311" t="n"/>
    </row>
    <row r="79" ht="12.75" customFormat="1" customHeight="1" s="295">
      <c r="A79" s="154" t="n"/>
      <c r="B79" s="154" t="n"/>
      <c r="C79" s="154" t="n"/>
      <c r="D79" s="154" t="n"/>
      <c r="E79" s="154" t="n"/>
      <c r="F79" s="154" t="n"/>
      <c r="G79" s="154" t="n"/>
      <c r="H79" s="155" t="n"/>
      <c r="I79" s="156" t="n"/>
      <c r="J79" s="156" t="n"/>
      <c r="K79" s="157" t="n"/>
      <c r="L79" s="157" t="n"/>
      <c r="M79" s="157" t="n"/>
      <c r="N79" s="157" t="n"/>
      <c r="O79" s="158" t="n"/>
      <c r="P79" s="158" t="n"/>
      <c r="Q79" s="159" t="n"/>
      <c r="R79" s="159" t="n"/>
      <c r="S79" s="159" t="n"/>
      <c r="T79" s="159" t="n"/>
      <c r="U79" s="159" t="n"/>
      <c r="V79" s="159" t="n"/>
      <c r="W79" s="159" t="n"/>
      <c r="X79" s="160" t="n"/>
      <c r="Y79" s="155" t="n"/>
      <c r="AG79" s="311" t="n"/>
    </row>
  </sheetData>
  <mergeCells count="8">
    <mergeCell ref="X70:Y70"/>
    <mergeCell ref="X68:Y68"/>
    <mergeCell ref="X69:Y69"/>
    <mergeCell ref="A2:Y2"/>
    <mergeCell ref="A1:Y1"/>
    <mergeCell ref="X67:Y67"/>
    <mergeCell ref="A3:Y3"/>
    <mergeCell ref="B67:H67"/>
  </mergeCells>
  <conditionalFormatting sqref="F57:F59">
    <cfRule type="containsText" rank="0" priority="2" equalAverage="0" operator="containsText" aboveAverage="0" dxfId="0" text="18K" percent="0" bottom="0">
      <formula>NOT(ISERROR(SEARCH("18K",F57)))</formula>
    </cfRule>
  </conditionalFormatting>
  <conditionalFormatting sqref="F56">
    <cfRule type="containsText" rank="0" priority="3" equalAverage="0" operator="containsText" aboveAverage="0" dxfId="0" text="18K" percent="0" bottom="0">
      <formula>NOT(ISERROR(SEARCH("18K",F56)))</formula>
    </cfRule>
  </conditionalFormatting>
  <conditionalFormatting sqref="F34:F35">
    <cfRule type="containsText" rank="0" priority="4" equalAverage="0" operator="containsText" aboveAverage="0" dxfId="0" text="18K" percent="0" bottom="0">
      <formula>NOT(ISERROR(SEARCH("18K",F34)))</formula>
    </cfRule>
  </conditionalFormatting>
  <conditionalFormatting sqref="F30">
    <cfRule type="containsText" rank="0" priority="5" equalAverage="0" operator="containsText" aboveAverage="0" dxfId="0" text="18K" percent="0" bottom="0">
      <formula>NOT(ISERROR(SEARCH("18K",F30)))</formula>
    </cfRule>
  </conditionalFormatting>
  <conditionalFormatting sqref="F21">
    <cfRule type="containsText" rank="0" priority="6" equalAverage="0" operator="containsText" aboveAverage="0" dxfId="0" text="18K" percent="0" bottom="0">
      <formula>NOT(ISERROR(SEARCH("18K",F21)))</formula>
    </cfRule>
  </conditionalFormatting>
  <conditionalFormatting sqref="F16:F17">
    <cfRule type="containsText" rank="0" priority="7" equalAverage="0" operator="containsText" aboveAverage="0" dxfId="0" text="18K" percent="0" bottom="0">
      <formula>NOT(ISERROR(SEARCH("18K",F16)))</formula>
    </cfRule>
  </conditionalFormatting>
  <conditionalFormatting sqref="F25:F26 F39:F52 F63">
    <cfRule type="containsText" rank="0" priority="8" equalAverage="0" operator="containsText" aboveAverage="0" dxfId="0" text="18K" percent="0" bottom="0">
      <formula>NOT(ISERROR(SEARCH("18K",F25)))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2025-05-15T13:52:59Z</dcterms:modified>
  <cp:revision>1</cp:revision>
  <cp:lastPrinted>2018-08-29T01:12:30Z</cp:lastPrinted>
</cp:coreProperties>
</file>