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I" sheetId="1" state="visible" r:id="rId1"/>
  </sheets>
  <definedNames>
    <definedName name="GOLD" hidden="0" function="0" vbProcedure="0">pi!#ref!</definedName>
    <definedName name="GOLD_1102" hidden="0" function="0" vbProcedure="0">pi!#ref!</definedName>
    <definedName name="LABOR" hidden="0" function="0" vbProcedure="0">#REF!</definedName>
    <definedName name="LABOR1" hidden="0" function="0" vbProcedure="0">pi!#ref!</definedName>
    <definedName name="SETTING" hidden="0" function="0" vbProcedure="0">pi!#ref!</definedName>
    <definedName name="SETTING1" hidden="0" function="0" vbProcedure="0">#REF!</definedName>
    <definedName name="SILVER" hidden="0" function="0" vbProcedure="0">pi!#ref!</definedName>
    <definedName name="_xlnm.Print_Titles" localSheetId="0">'PI'!$1:$13</definedName>
    <definedName name="_xlnm.Print_Area" localSheetId="0">'PI'!$A$1:$Z$298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3">
    <numFmt numFmtId="164" formatCode="0.00&quot; g&quot;"/>
    <numFmt numFmtId="165" formatCode="0.000&quot; cts&quot;"/>
    <numFmt numFmtId="166" formatCode="\$0.00&quot;/g&quot;"/>
    <numFmt numFmtId="167" formatCode="0&quot; pcs&quot;"/>
    <numFmt numFmtId="168" formatCode="&quot;$ &quot;0.00"/>
    <numFmt numFmtId="169" formatCode="m/d/yyyy"/>
    <numFmt numFmtId="170" formatCode="[$-409]d\-mmm\-yy;@"/>
    <numFmt numFmtId="171" formatCode="&quot;$ &quot;#,#00.00&quot; /oz&quot;"/>
    <numFmt numFmtId="172" formatCode="0.00&quot; gr&quot;"/>
    <numFmt numFmtId="173" formatCode="0.00&quot;mm&quot;"/>
    <numFmt numFmtId="174" formatCode="#,##0.000&quot; ct&quot;"/>
    <numFmt numFmtId="175" formatCode="\$#,##0.00"/>
    <numFmt numFmtId="176" formatCode="#,#00.00&quot; gr&quot;"/>
  </numFmts>
  <fonts count="33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29"/>
      <family val="3"/>
      <sz val="12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i val="1"/>
      <sz val="20"/>
    </font>
    <font>
      <name val="Times New Roman"/>
      <charset val="1"/>
      <family val="1"/>
      <i val="1"/>
      <sz val="12"/>
    </font>
    <font>
      <name val="Times New Roman"/>
      <charset val="1"/>
      <family val="1"/>
      <sz val="10"/>
    </font>
    <font>
      <name val="Times New Roman"/>
      <charset val="1"/>
      <family val="1"/>
      <sz val="12"/>
    </font>
    <font>
      <name val="Times New Roman"/>
      <charset val="1"/>
      <family val="1"/>
      <b val="1"/>
      <sz val="16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b val="1"/>
      <color rgb="FFFF0000"/>
      <sz val="12"/>
    </font>
    <font>
      <name val="Comic Sans MS"/>
      <charset val="1"/>
      <family val="4"/>
      <color rgb="FF222222"/>
      <sz val="8"/>
    </font>
    <font>
      <name val="Times New Roman"/>
      <charset val="1"/>
      <family val="1"/>
      <sz val="11"/>
    </font>
    <font>
      <name val="Times New Roman"/>
      <charset val="1"/>
      <family val="1"/>
      <color rgb="FFFF0000"/>
      <sz val="11"/>
    </font>
    <font>
      <name val="Times New Roman"/>
      <charset val="1"/>
      <family val="1"/>
      <b val="1"/>
      <color rgb="FFFF0000"/>
      <sz val="11"/>
    </font>
    <font>
      <name val="Times New Roman"/>
      <charset val="1"/>
      <family val="1"/>
      <color theme="0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b val="1"/>
      <color theme="1"/>
      <sz val="11"/>
    </font>
    <font>
      <name val="Times New Roman"/>
      <charset val="1"/>
      <family val="1"/>
      <color rgb="FFFF0000"/>
      <sz val="14"/>
      <u val="single"/>
    </font>
    <font>
      <name val="Times New Roman"/>
      <charset val="1"/>
      <family val="1"/>
      <color theme="1"/>
      <sz val="14"/>
    </font>
    <font>
      <name val="Times New Roman"/>
      <charset val="1"/>
      <family val="1"/>
      <b val="1"/>
      <color theme="1"/>
      <sz val="12"/>
      <u val="single"/>
    </font>
    <font>
      <name val="Times New Roman"/>
      <charset val="1"/>
      <family val="1"/>
      <i val="1"/>
      <color theme="1"/>
      <sz val="14"/>
      <u val="single"/>
    </font>
    <font>
      <name val="Times New Roman"/>
      <charset val="1"/>
      <family val="1"/>
      <color theme="1"/>
      <sz val="14"/>
      <u val="single"/>
    </font>
    <font>
      <name val="Calibri"/>
      <charset val="1"/>
      <family val="2"/>
      <color theme="1"/>
      <sz val="12"/>
    </font>
    <font>
      <name val="Times New Roman"/>
      <charset val="1"/>
      <family val="1"/>
      <b val="1"/>
      <color theme="1"/>
      <sz val="16"/>
      <u val="single"/>
    </font>
    <font>
      <name val="Times New Roman"/>
      <charset val="1"/>
      <family val="1"/>
      <b val="1"/>
      <color theme="1" tint="0.4999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b val="1"/>
      <color theme="0" tint="-0.5"/>
      <sz val="10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1"/>
        <bgColor rgb="FF222222"/>
      </patternFill>
    </fill>
    <fill>
      <patternFill patternType="solid">
        <fgColor theme="0" tint="-0.5"/>
        <bgColor rgb="FF7F7F7F"/>
      </patternFill>
    </fill>
    <fill>
      <patternFill patternType="solid">
        <fgColor rgb="FFFFFF00"/>
        <bgColor rgb="FFFFFF00"/>
      </patternFill>
    </fill>
  </fills>
  <borders count="2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hair"/>
      <diagonal/>
    </border>
    <border>
      <left/>
      <right/>
      <top/>
      <bottom style="hair"/>
      <diagonal/>
    </border>
    <border>
      <left/>
      <right style="thin"/>
      <top/>
      <bottom style="hair"/>
      <diagonal/>
    </border>
    <border>
      <left style="thin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thin"/>
      <top style="hair"/>
      <bottom style="hair"/>
      <diagonal/>
    </border>
    <border>
      <left style="thin"/>
      <right/>
      <top style="medium"/>
      <bottom style="hair"/>
      <diagonal/>
    </border>
    <border>
      <left/>
      <right/>
      <top style="medium"/>
      <bottom style="hair"/>
      <diagonal/>
    </border>
    <border>
      <left/>
      <right style="thin"/>
      <top style="medium"/>
      <bottom style="hair"/>
      <diagonal/>
    </border>
    <border>
      <left style="thin"/>
      <right/>
      <top style="hair"/>
      <bottom style="thick"/>
      <diagonal/>
    </border>
    <border>
      <left/>
      <right/>
      <top style="hair"/>
      <bottom style="thick"/>
      <diagonal/>
    </border>
    <border>
      <left/>
      <right style="thin"/>
      <top style="hair"/>
      <bottom style="thick"/>
      <diagonal/>
    </border>
    <border>
      <left/>
      <right/>
      <top style="thick"/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</cellStyleXfs>
  <cellXfs count="34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left" vertical="center"/>
    </xf>
    <xf numFmtId="166" fontId="5" fillId="0" borderId="0" applyAlignment="1" pivotButton="0" quotePrefix="0" xfId="0">
      <alignment horizontal="general" vertical="center"/>
    </xf>
    <xf numFmtId="167" fontId="5" fillId="0" borderId="0" applyAlignment="1" pivotButton="0" quotePrefix="0" xfId="0">
      <alignment horizontal="general" vertical="center"/>
    </xf>
    <xf numFmtId="165" fontId="5" fillId="0" borderId="0" applyAlignment="1" pivotButton="0" quotePrefix="0" xfId="0">
      <alignment horizontal="general" vertical="center"/>
    </xf>
    <xf numFmtId="168" fontId="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6" fillId="0" borderId="1" applyAlignment="1" pivotButton="0" quotePrefix="0" xfId="21">
      <alignment horizontal="center" vertical="center"/>
    </xf>
    <xf numFmtId="0" fontId="7" fillId="0" borderId="0" applyAlignment="1" pivotButton="0" quotePrefix="0" xfId="21">
      <alignment horizontal="general" vertical="center"/>
    </xf>
    <xf numFmtId="0" fontId="8" fillId="0" borderId="1" applyAlignment="1" pivotButton="0" quotePrefix="0" xfId="21">
      <alignment horizontal="center" vertical="center"/>
    </xf>
    <xf numFmtId="0" fontId="9" fillId="0" borderId="0" applyAlignment="1" pivotButton="0" quotePrefix="0" xfId="21">
      <alignment horizontal="general" vertical="center"/>
    </xf>
    <xf numFmtId="0" fontId="10" fillId="0" borderId="1" applyAlignment="1" pivotButton="0" quotePrefix="0" xfId="21">
      <alignment horizontal="center" vertical="center"/>
    </xf>
    <xf numFmtId="0" fontId="11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general" vertical="center"/>
    </xf>
    <xf numFmtId="0" fontId="12" fillId="0" borderId="3" applyAlignment="1" pivotButton="0" quotePrefix="0" xfId="21">
      <alignment horizontal="left" vertical="center"/>
    </xf>
    <xf numFmtId="0" fontId="0" fillId="0" borderId="3" applyAlignment="1" pivotButton="0" quotePrefix="0" xfId="0">
      <alignment horizontal="general" vertical="center"/>
    </xf>
    <xf numFmtId="164" fontId="0" fillId="0" borderId="3" applyAlignment="1" pivotButton="0" quotePrefix="0" xfId="0">
      <alignment horizontal="general" vertical="center"/>
    </xf>
    <xf numFmtId="164" fontId="8" fillId="0" borderId="4" applyAlignment="1" pivotButton="0" quotePrefix="0" xfId="21">
      <alignment horizontal="general" vertical="center"/>
    </xf>
    <xf numFmtId="0" fontId="8" fillId="0" borderId="5" applyAlignment="1" pivotButton="0" quotePrefix="0" xfId="21">
      <alignment horizontal="general" vertical="center"/>
    </xf>
    <xf numFmtId="0" fontId="8" fillId="0" borderId="6" applyAlignment="1" pivotButton="0" quotePrefix="0" xfId="21">
      <alignment horizontal="general" vertical="center"/>
    </xf>
    <xf numFmtId="166" fontId="8" fillId="0" borderId="6" applyAlignment="1" pivotButton="0" quotePrefix="0" xfId="21">
      <alignment horizontal="general" vertical="center"/>
    </xf>
    <xf numFmtId="169" fontId="8" fillId="0" borderId="6" applyAlignment="1" pivotButton="0" quotePrefix="0" xfId="21">
      <alignment horizontal="general" vertical="center"/>
    </xf>
    <xf numFmtId="170" fontId="8" fillId="0" borderId="7" applyAlignment="1" pivotButton="0" quotePrefix="0" xfId="21">
      <alignment horizontal="general" vertical="center"/>
    </xf>
    <xf numFmtId="0" fontId="8" fillId="0" borderId="0" applyAlignment="1" pivotButton="0" quotePrefix="0" xfId="21">
      <alignment horizontal="general" vertical="center"/>
    </xf>
    <xf numFmtId="0" fontId="8" fillId="0" borderId="1" applyAlignment="1" pivotButton="0" quotePrefix="0" xfId="21">
      <alignment horizontal="general" vertical="center"/>
    </xf>
    <xf numFmtId="0" fontId="8" fillId="0" borderId="0" applyAlignment="1" pivotButton="0" quotePrefix="0" xfId="21">
      <alignment horizontal="left" vertical="center"/>
    </xf>
    <xf numFmtId="0" fontId="0" fillId="0" borderId="0" applyAlignment="1" pivotButton="0" quotePrefix="0" xfId="0">
      <alignment horizontal="general" vertical="center"/>
    </xf>
    <xf numFmtId="164" fontId="0" fillId="0" borderId="0" applyAlignment="1" pivotButton="0" quotePrefix="0" xfId="0">
      <alignment horizontal="general" vertical="center"/>
    </xf>
    <xf numFmtId="164" fontId="8" fillId="0" borderId="8" applyAlignment="1" pivotButton="0" quotePrefix="0" xfId="21">
      <alignment horizontal="general" vertical="center"/>
    </xf>
    <xf numFmtId="166" fontId="13" fillId="0" borderId="6" applyAlignment="1" pivotButton="0" quotePrefix="0" xfId="21">
      <alignment horizontal="general" vertical="center"/>
    </xf>
    <xf numFmtId="0" fontId="13" fillId="0" borderId="6" applyAlignment="1" pivotButton="0" quotePrefix="0" xfId="21">
      <alignment horizontal="general" vertical="center"/>
    </xf>
    <xf numFmtId="0" fontId="8" fillId="0" borderId="7" applyAlignment="1" pivotButton="0" quotePrefix="0" xfId="21">
      <alignment horizontal="general" vertical="center"/>
    </xf>
    <xf numFmtId="0" fontId="8" fillId="0" borderId="3" applyAlignment="1" pivotButton="0" quotePrefix="0" xfId="21">
      <alignment horizontal="left" vertical="center"/>
    </xf>
    <xf numFmtId="0" fontId="8" fillId="0" borderId="3" applyAlignment="1" pivotButton="0" quotePrefix="0" xfId="21">
      <alignment horizontal="general" vertical="center"/>
    </xf>
    <xf numFmtId="166" fontId="8" fillId="0" borderId="3" applyAlignment="1" pivotButton="0" quotePrefix="0" xfId="21">
      <alignment horizontal="left" vertical="center"/>
    </xf>
    <xf numFmtId="0" fontId="8" fillId="0" borderId="4" applyAlignment="1" pivotButton="0" quotePrefix="0" xfId="21">
      <alignment horizontal="general" vertical="center"/>
    </xf>
    <xf numFmtId="0" fontId="8" fillId="0" borderId="9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left" vertical="center"/>
    </xf>
    <xf numFmtId="0" fontId="0" fillId="0" borderId="10" applyAlignment="1" pivotButton="0" quotePrefix="0" xfId="0">
      <alignment horizontal="general" vertical="center"/>
    </xf>
    <xf numFmtId="164" fontId="0" fillId="0" borderId="10" applyAlignment="1" pivotButton="0" quotePrefix="0" xfId="0">
      <alignment horizontal="general" vertical="center"/>
    </xf>
    <xf numFmtId="164" fontId="8" fillId="0" borderId="11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general" vertical="center"/>
    </xf>
    <xf numFmtId="166" fontId="8" fillId="0" borderId="10" applyAlignment="1" pivotButton="0" quotePrefix="0" xfId="21">
      <alignment horizontal="left" vertical="center"/>
    </xf>
    <xf numFmtId="0" fontId="8" fillId="0" borderId="11" applyAlignment="1" pivotButton="0" quotePrefix="0" xfId="21">
      <alignment horizontal="general" vertical="center"/>
    </xf>
    <xf numFmtId="164" fontId="12" fillId="0" borderId="3" applyAlignment="1" pivotButton="0" quotePrefix="0" xfId="21">
      <alignment horizontal="left" vertical="center"/>
    </xf>
    <xf numFmtId="0" fontId="8" fillId="0" borderId="6" applyAlignment="1" pivotButton="0" quotePrefix="0" xfId="21">
      <alignment horizontal="left" vertical="center"/>
    </xf>
    <xf numFmtId="166" fontId="8" fillId="0" borderId="6" applyAlignment="1" pivotButton="0" quotePrefix="0" xfId="21">
      <alignment horizontal="left" vertical="center"/>
    </xf>
    <xf numFmtId="164" fontId="8" fillId="0" borderId="0" applyAlignment="1" pivotButton="0" quotePrefix="0" xfId="21">
      <alignment horizontal="left" vertical="center"/>
    </xf>
    <xf numFmtId="166" fontId="8" fillId="0" borderId="3" applyAlignment="1" pivotButton="0" quotePrefix="0" xfId="21">
      <alignment horizontal="general" vertical="center"/>
    </xf>
    <xf numFmtId="166" fontId="8" fillId="0" borderId="0" applyAlignment="1" pivotButton="0" quotePrefix="0" xfId="21">
      <alignment horizontal="general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21">
      <alignment horizontal="center" vertical="center"/>
    </xf>
    <xf numFmtId="0" fontId="8" fillId="0" borderId="8" applyAlignment="1" pivotButton="0" quotePrefix="0" xfId="21">
      <alignment horizontal="general" vertical="center"/>
    </xf>
    <xf numFmtId="164" fontId="8" fillId="0" borderId="10" applyAlignment="1" pivotButton="0" quotePrefix="0" xfId="21">
      <alignment horizontal="left" vertical="center"/>
    </xf>
    <xf numFmtId="166" fontId="13" fillId="0" borderId="0" applyAlignment="1" pivotButton="0" quotePrefix="0" xfId="21">
      <alignment horizontal="general" vertical="center"/>
    </xf>
    <xf numFmtId="0" fontId="13" fillId="0" borderId="0" applyAlignment="1" pivotButton="0" quotePrefix="0" xfId="21">
      <alignment horizontal="general" vertical="center"/>
    </xf>
    <xf numFmtId="0" fontId="8" fillId="0" borderId="5" applyAlignment="1" pivotButton="0" quotePrefix="0" xfId="21">
      <alignment horizontal="left" vertical="center"/>
    </xf>
    <xf numFmtId="170" fontId="8" fillId="0" borderId="6" applyAlignment="1" pivotButton="0" quotePrefix="0" xfId="21">
      <alignment horizontal="right" vertical="center"/>
    </xf>
    <xf numFmtId="170" fontId="8" fillId="0" borderId="6" applyAlignment="1" pivotButton="0" quotePrefix="0" xfId="21">
      <alignment horizontal="left" vertical="center"/>
    </xf>
    <xf numFmtId="164" fontId="8" fillId="0" borderId="6" applyAlignment="1" pivotButton="0" quotePrefix="0" xfId="21">
      <alignment horizontal="right" vertical="center"/>
    </xf>
    <xf numFmtId="164" fontId="8" fillId="0" borderId="6" applyAlignment="1" pivotButton="0" quotePrefix="0" xfId="21">
      <alignment horizontal="general" vertical="center"/>
    </xf>
    <xf numFmtId="164" fontId="8" fillId="0" borderId="7" applyAlignment="1" pivotButton="0" quotePrefix="0" xfId="21">
      <alignment horizontal="general" vertical="center"/>
    </xf>
    <xf numFmtId="166" fontId="8" fillId="0" borderId="10" applyAlignment="1" pivotButton="0" quotePrefix="0" xfId="21">
      <alignment horizontal="general" vertical="center"/>
    </xf>
    <xf numFmtId="0" fontId="16" fillId="0" borderId="10" applyAlignment="1" pivotButton="0" quotePrefix="0" xfId="21">
      <alignment horizontal="center" vertical="center"/>
    </xf>
    <xf numFmtId="0" fontId="8" fillId="0" borderId="6" applyAlignment="1" pivotButton="0" quotePrefix="0" xfId="21">
      <alignment horizontal="right" vertical="center"/>
    </xf>
    <xf numFmtId="0" fontId="5" fillId="0" borderId="1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17" fillId="0" borderId="0" applyAlignment="1" pivotButton="0" quotePrefix="0" xfId="0">
      <alignment horizontal="general" vertical="center"/>
    </xf>
    <xf numFmtId="165" fontId="17" fillId="0" borderId="0" applyAlignment="1" pivotButton="0" quotePrefix="0" xfId="0">
      <alignment horizontal="right" vertical="center"/>
    </xf>
    <xf numFmtId="171" fontId="18" fillId="0" borderId="0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 wrapText="1"/>
    </xf>
    <xf numFmtId="0" fontId="19" fillId="2" borderId="13" applyAlignment="1" pivotButton="0" quotePrefix="0" xfId="0">
      <alignment horizontal="center" vertical="center" wrapText="1"/>
    </xf>
    <xf numFmtId="164" fontId="19" fillId="2" borderId="13" applyAlignment="1" pivotButton="0" quotePrefix="0" xfId="0">
      <alignment horizontal="center" vertical="center" wrapText="1"/>
    </xf>
    <xf numFmtId="172" fontId="19" fillId="2" borderId="13" applyAlignment="1" pivotButton="0" quotePrefix="0" xfId="0">
      <alignment horizontal="center" vertical="center" wrapText="1"/>
    </xf>
    <xf numFmtId="166" fontId="19" fillId="2" borderId="13" applyAlignment="1" pivotButton="0" quotePrefix="0" xfId="0">
      <alignment horizontal="center" vertical="center" wrapText="1"/>
    </xf>
    <xf numFmtId="165" fontId="19" fillId="2" borderId="13" applyAlignment="1" pivotButton="0" quotePrefix="0" xfId="0">
      <alignment horizontal="center" vertical="center" wrapText="1"/>
    </xf>
    <xf numFmtId="165" fontId="19" fillId="3" borderId="13" applyAlignment="1" pivotButton="0" quotePrefix="0" xfId="0">
      <alignment horizontal="center" vertical="center" wrapText="1"/>
    </xf>
    <xf numFmtId="0" fontId="19" fillId="3" borderId="14" applyAlignment="1" pivotButton="0" quotePrefix="0" xfId="0">
      <alignment horizontal="center" vertical="center" wrapText="1"/>
    </xf>
    <xf numFmtId="0" fontId="19" fillId="3" borderId="13" applyAlignment="1" pivotButton="0" quotePrefix="0" xfId="0">
      <alignment horizontal="center" vertical="center" wrapText="1"/>
    </xf>
    <xf numFmtId="0" fontId="17" fillId="4" borderId="0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 wrapText="1"/>
    </xf>
    <xf numFmtId="1" fontId="20" fillId="0" borderId="16" applyAlignment="1" pivotButton="0" quotePrefix="0" xfId="0">
      <alignment horizontal="center" vertical="center" shrinkToFit="1"/>
    </xf>
    <xf numFmtId="164" fontId="16" fillId="5" borderId="16" applyAlignment="1" pivotButton="0" quotePrefix="0" xfId="0">
      <alignment horizontal="center" vertical="center" wrapText="1"/>
    </xf>
    <xf numFmtId="164" fontId="5" fillId="5" borderId="16" applyAlignment="1" pivotButton="0" quotePrefix="0" xfId="0">
      <alignment horizontal="center" vertical="center"/>
    </xf>
    <xf numFmtId="173" fontId="5" fillId="0" borderId="16" applyAlignment="1" pivotButton="0" quotePrefix="0" xfId="0">
      <alignment horizontal="center" vertical="center" wrapText="1"/>
    </xf>
    <xf numFmtId="167" fontId="5" fillId="0" borderId="16" applyAlignment="1" pivotButton="0" quotePrefix="0" xfId="0">
      <alignment horizontal="center" vertical="center" wrapText="1"/>
    </xf>
    <xf numFmtId="166" fontId="16" fillId="0" borderId="16" applyAlignment="1" pivotButton="0" quotePrefix="0" xfId="0">
      <alignment horizontal="center" vertical="center"/>
    </xf>
    <xf numFmtId="174" fontId="16" fillId="0" borderId="16" applyAlignment="1" pivotButton="0" quotePrefix="0" xfId="0">
      <alignment horizontal="center" vertical="center"/>
    </xf>
    <xf numFmtId="175" fontId="5" fillId="0" borderId="16" applyAlignment="1" pivotButton="0" quotePrefix="0" xfId="0">
      <alignment horizontal="center" vertical="center"/>
    </xf>
    <xf numFmtId="175" fontId="5" fillId="0" borderId="17" applyAlignment="1" pivotButton="0" quotePrefix="0" xfId="0">
      <alignment horizontal="center" vertical="center"/>
    </xf>
    <xf numFmtId="2" fontId="17" fillId="4" borderId="0" applyAlignment="1" pivotButton="0" quotePrefix="0" xfId="0">
      <alignment horizontal="center" vertical="center"/>
    </xf>
    <xf numFmtId="0" fontId="17" fillId="4" borderId="0" applyAlignment="1" pivotButton="0" quotePrefix="0" xfId="0">
      <alignment horizontal="center" vertical="center"/>
    </xf>
    <xf numFmtId="175" fontId="17" fillId="4" borderId="0" applyAlignment="1" pivotButton="0" quotePrefix="0" xfId="0">
      <alignment horizontal="center" vertical="center"/>
    </xf>
    <xf numFmtId="0" fontId="21" fillId="0" borderId="18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/>
    </xf>
    <xf numFmtId="1" fontId="21" fillId="0" borderId="19" applyAlignment="1" pivotButton="0" quotePrefix="0" xfId="0">
      <alignment horizontal="center" vertical="center"/>
    </xf>
    <xf numFmtId="164" fontId="5" fillId="5" borderId="19" applyAlignment="1" pivotButton="0" quotePrefix="0" xfId="0">
      <alignment horizontal="center" vertical="center"/>
    </xf>
    <xf numFmtId="176" fontId="5" fillId="0" borderId="19" applyAlignment="1" pivotButton="0" quotePrefix="0" xfId="0">
      <alignment horizontal="center" vertical="center"/>
    </xf>
    <xf numFmtId="166" fontId="21" fillId="0" borderId="19" applyAlignment="1" pivotButton="0" quotePrefix="0" xfId="0">
      <alignment horizontal="center" vertical="center"/>
    </xf>
    <xf numFmtId="174" fontId="21" fillId="0" borderId="19" applyAlignment="1" pivotButton="0" quotePrefix="0" xfId="0">
      <alignment horizontal="center" vertical="center"/>
    </xf>
    <xf numFmtId="175" fontId="21" fillId="0" borderId="19" applyAlignment="1" pivotButton="0" quotePrefix="0" xfId="0">
      <alignment horizontal="center" vertical="center"/>
    </xf>
    <xf numFmtId="175" fontId="21" fillId="0" borderId="2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164" fontId="16" fillId="0" borderId="16" applyAlignment="1" pivotButton="0" quotePrefix="0" xfId="0">
      <alignment horizontal="center" vertical="center" wrapText="1"/>
    </xf>
    <xf numFmtId="164" fontId="5" fillId="0" borderId="16" applyAlignment="1" pivotButton="0" quotePrefix="0" xfId="0">
      <alignment horizontal="center" vertical="center"/>
    </xf>
    <xf numFmtId="164" fontId="5" fillId="0" borderId="19" applyAlignment="1" pivotButton="0" quotePrefix="0" xfId="0">
      <alignment horizontal="center" vertical="center"/>
    </xf>
    <xf numFmtId="175" fontId="5" fillId="5" borderId="16" applyAlignment="1" pivotButton="0" quotePrefix="0" xfId="0">
      <alignment horizontal="center" vertical="center"/>
    </xf>
    <xf numFmtId="167" fontId="5" fillId="5" borderId="16" applyAlignment="1" pivotButton="0" quotePrefix="0" xfId="0">
      <alignment horizontal="center" vertical="center" wrapText="1"/>
    </xf>
    <xf numFmtId="2" fontId="19" fillId="4" borderId="0" applyAlignment="1" pivotButton="0" quotePrefix="0" xfId="0">
      <alignment horizontal="center" vertical="center"/>
    </xf>
    <xf numFmtId="175" fontId="19" fillId="4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left" vertical="center"/>
    </xf>
    <xf numFmtId="1" fontId="21" fillId="0" borderId="0" applyAlignment="1" pivotButton="0" quotePrefix="0" xfId="0">
      <alignment horizontal="center" vertical="center"/>
    </xf>
    <xf numFmtId="164" fontId="5" fillId="5" borderId="0" applyAlignment="1" pivotButton="0" quotePrefix="0" xfId="0">
      <alignment horizontal="center" vertical="center"/>
    </xf>
    <xf numFmtId="176" fontId="5" fillId="0" borderId="0" applyAlignment="1" pivotButton="0" quotePrefix="0" xfId="0">
      <alignment horizontal="center" vertical="center"/>
    </xf>
    <xf numFmtId="166" fontId="21" fillId="0" borderId="0" applyAlignment="1" pivotButton="0" quotePrefix="0" xfId="0">
      <alignment horizontal="center" vertical="center"/>
    </xf>
    <xf numFmtId="174" fontId="21" fillId="0" borderId="0" applyAlignment="1" pivotButton="0" quotePrefix="0" xfId="0">
      <alignment horizontal="center" vertical="center"/>
    </xf>
    <xf numFmtId="175" fontId="21" fillId="0" borderId="0" applyAlignment="1" pivotButton="0" quotePrefix="0" xfId="0">
      <alignment horizontal="center" vertical="center"/>
    </xf>
    <xf numFmtId="175" fontId="21" fillId="0" borderId="8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  <xf numFmtId="0" fontId="16" fillId="0" borderId="22" applyAlignment="1" pivotButton="0" quotePrefix="0" xfId="0">
      <alignment horizontal="center" vertical="center"/>
    </xf>
    <xf numFmtId="164" fontId="16" fillId="0" borderId="22" applyAlignment="1" pivotButton="0" quotePrefix="0" xfId="0">
      <alignment horizontal="center" vertical="center"/>
    </xf>
    <xf numFmtId="167" fontId="16" fillId="0" borderId="22" applyAlignment="1" pivotButton="0" quotePrefix="0" xfId="0">
      <alignment horizontal="center" vertical="center"/>
    </xf>
    <xf numFmtId="166" fontId="16" fillId="0" borderId="22" applyAlignment="1" pivotButton="0" quotePrefix="0" xfId="0">
      <alignment horizontal="center" vertical="center"/>
    </xf>
    <xf numFmtId="165" fontId="16" fillId="0" borderId="22" applyAlignment="1" pivotButton="0" quotePrefix="0" xfId="0">
      <alignment horizontal="center" vertical="center"/>
    </xf>
    <xf numFmtId="175" fontId="5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right" vertical="center"/>
    </xf>
    <xf numFmtId="175" fontId="5" fillId="5" borderId="23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2" fillId="0" borderId="24" applyAlignment="1" pivotButton="0" quotePrefix="0" xfId="0">
      <alignment horizontal="center" vertical="bottom"/>
    </xf>
    <xf numFmtId="165" fontId="23" fillId="0" borderId="0" applyAlignment="1" pivotButton="0" quotePrefix="0" xfId="0">
      <alignment horizontal="general" vertical="center"/>
    </xf>
    <xf numFmtId="165" fontId="24" fillId="0" borderId="0" applyAlignment="1" pivotButton="0" quotePrefix="0" xfId="0">
      <alignment horizontal="right" vertical="center"/>
    </xf>
    <xf numFmtId="175" fontId="24" fillId="0" borderId="24" applyAlignment="1" pivotButton="0" quotePrefix="0" xfId="0">
      <alignment horizontal="center" vertical="center"/>
    </xf>
    <xf numFmtId="175" fontId="24" fillId="0" borderId="0" applyAlignment="1" pivotButton="0" quotePrefix="0" xfId="0">
      <alignment horizontal="center" vertical="center"/>
    </xf>
    <xf numFmtId="165" fontId="25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horizontal="center" vertical="bottom"/>
    </xf>
    <xf numFmtId="164" fontId="26" fillId="0" borderId="0" applyAlignment="1" pivotButton="0" quotePrefix="0" xfId="0">
      <alignment horizontal="center" vertical="bottom"/>
    </xf>
    <xf numFmtId="175" fontId="24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65" fontId="28" fillId="0" borderId="0" applyAlignment="1" pivotButton="0" quotePrefix="0" xfId="0">
      <alignment horizontal="right" vertical="center"/>
    </xf>
    <xf numFmtId="175" fontId="2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9" fillId="0" borderId="0" applyAlignment="1" pivotButton="0" quotePrefix="0" xfId="20">
      <alignment horizontal="general" vertical="center"/>
    </xf>
    <xf numFmtId="175" fontId="28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left" vertical="center"/>
    </xf>
    <xf numFmtId="0" fontId="8" fillId="0" borderId="0" applyAlignment="1" pivotButton="0" quotePrefix="0" xfId="0">
      <alignment horizontal="general" vertical="center"/>
    </xf>
    <xf numFmtId="164" fontId="8" fillId="0" borderId="0" applyAlignment="1" pivotButton="0" quotePrefix="0" xfId="0">
      <alignment horizontal="general" vertical="center"/>
    </xf>
    <xf numFmtId="164" fontId="8" fillId="0" borderId="0" applyAlignment="1" pivotButton="0" quotePrefix="0" xfId="0">
      <alignment horizontal="center" vertical="center"/>
    </xf>
    <xf numFmtId="166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8" fontId="9" fillId="0" borderId="0" applyAlignment="1" pivotButton="0" quotePrefix="0" xfId="0">
      <alignment horizontal="left" vertical="center"/>
    </xf>
    <xf numFmtId="0" fontId="30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right" vertical="center"/>
    </xf>
    <xf numFmtId="0" fontId="8" fillId="0" borderId="1" applyAlignment="1" pivotButton="0" quotePrefix="0" xfId="0">
      <alignment horizontal="general" vertical="center"/>
    </xf>
    <xf numFmtId="166" fontId="8" fillId="0" borderId="0" applyAlignment="1" pivotButton="0" quotePrefix="0" xfId="0">
      <alignment horizontal="general" vertical="center"/>
    </xf>
    <xf numFmtId="168" fontId="8" fillId="0" borderId="0" applyAlignment="1" pivotButton="0" quotePrefix="0" xfId="0">
      <alignment horizontal="left" vertical="center"/>
    </xf>
    <xf numFmtId="0" fontId="8" fillId="0" borderId="10" applyAlignment="1" pivotButton="0" quotePrefix="0" xfId="20">
      <alignment horizontal="center" vertical="center"/>
    </xf>
    <xf numFmtId="0" fontId="8" fillId="0" borderId="9" applyAlignment="1" pivotButton="0" quotePrefix="0" xfId="0">
      <alignment horizontal="general" vertical="center"/>
    </xf>
    <xf numFmtId="0" fontId="31" fillId="0" borderId="10" applyAlignment="1" pivotButton="0" quotePrefix="0" xfId="20">
      <alignment horizontal="general" vertical="center"/>
    </xf>
    <xf numFmtId="0" fontId="8" fillId="0" borderId="10" applyAlignment="1" pivotButton="0" quotePrefix="0" xfId="0">
      <alignment horizontal="general" vertical="center"/>
    </xf>
    <xf numFmtId="164" fontId="8" fillId="0" borderId="10" applyAlignment="1" pivotButton="0" quotePrefix="0" xfId="0">
      <alignment horizontal="general" vertical="center"/>
    </xf>
    <xf numFmtId="166" fontId="8" fillId="0" borderId="10" applyAlignment="1" pivotButton="0" quotePrefix="0" xfId="0">
      <alignment horizontal="general" vertical="center"/>
    </xf>
    <xf numFmtId="0" fontId="8" fillId="0" borderId="1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left" vertical="center"/>
    </xf>
    <xf numFmtId="166" fontId="5" fillId="0" borderId="0" applyAlignment="1" pivotButton="0" quotePrefix="0" xfId="0">
      <alignment horizontal="general" vertical="center"/>
    </xf>
    <xf numFmtId="167" fontId="5" fillId="0" borderId="0" applyAlignment="1" pivotButton="0" quotePrefix="0" xfId="0">
      <alignment horizontal="general" vertical="center"/>
    </xf>
    <xf numFmtId="165" fontId="5" fillId="0" borderId="0" applyAlignment="1" pivotButton="0" quotePrefix="0" xfId="0">
      <alignment horizontal="general" vertical="center"/>
    </xf>
    <xf numFmtId="168" fontId="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7" fillId="0" borderId="0" applyAlignment="1" pivotButton="0" quotePrefix="0" xfId="21">
      <alignment horizontal="general" vertical="center"/>
    </xf>
    <xf numFmtId="0" fontId="6" fillId="0" borderId="1" applyAlignment="1" pivotButton="0" quotePrefix="0" xfId="21">
      <alignment horizontal="center" vertical="center"/>
    </xf>
    <xf numFmtId="0" fontId="9" fillId="0" borderId="0" applyAlignment="1" pivotButton="0" quotePrefix="0" xfId="21">
      <alignment horizontal="general" vertical="center"/>
    </xf>
    <xf numFmtId="0" fontId="8" fillId="0" borderId="1" applyAlignment="1" pivotButton="0" quotePrefix="0" xfId="21">
      <alignment horizontal="center" vertical="center"/>
    </xf>
    <xf numFmtId="0" fontId="11" fillId="0" borderId="0" applyAlignment="1" pivotButton="0" quotePrefix="0" xfId="21">
      <alignment horizontal="general" vertical="center"/>
    </xf>
    <xf numFmtId="0" fontId="10" fillId="0" borderId="1" applyAlignment="1" pivotButton="0" quotePrefix="0" xfId="21">
      <alignment horizontal="center" vertical="center"/>
    </xf>
    <xf numFmtId="0" fontId="8" fillId="0" borderId="0" applyAlignment="1" pivotButton="0" quotePrefix="0" xfId="21">
      <alignment horizontal="general" vertical="center"/>
    </xf>
    <xf numFmtId="0" fontId="8" fillId="0" borderId="2" applyAlignment="1" pivotButton="0" quotePrefix="0" xfId="21">
      <alignment horizontal="general" vertical="center"/>
    </xf>
    <xf numFmtId="0" fontId="12" fillId="0" borderId="3" applyAlignment="1" pivotButton="0" quotePrefix="0" xfId="21">
      <alignment horizontal="left" vertical="center"/>
    </xf>
    <xf numFmtId="0" fontId="0" fillId="0" borderId="3" applyAlignment="1" pivotButton="0" quotePrefix="0" xfId="0">
      <alignment horizontal="general" vertical="center"/>
    </xf>
    <xf numFmtId="164" fontId="0" fillId="0" borderId="3" applyAlignment="1" pivotButton="0" quotePrefix="0" xfId="0">
      <alignment horizontal="general" vertical="center"/>
    </xf>
    <xf numFmtId="164" fontId="8" fillId="0" borderId="4" applyAlignment="1" pivotButton="0" quotePrefix="0" xfId="21">
      <alignment horizontal="general" vertical="center"/>
    </xf>
    <xf numFmtId="0" fontId="8" fillId="0" borderId="5" applyAlignment="1" pivotButton="0" quotePrefix="0" xfId="21">
      <alignment horizontal="general" vertical="center"/>
    </xf>
    <xf numFmtId="0" fontId="8" fillId="0" borderId="6" applyAlignment="1" pivotButton="0" quotePrefix="0" xfId="21">
      <alignment horizontal="general" vertical="center"/>
    </xf>
    <xf numFmtId="166" fontId="8" fillId="0" borderId="6" applyAlignment="1" pivotButton="0" quotePrefix="0" xfId="21">
      <alignment horizontal="general" vertical="center"/>
    </xf>
    <xf numFmtId="169" fontId="8" fillId="0" borderId="6" applyAlignment="1" pivotButton="0" quotePrefix="0" xfId="21">
      <alignment horizontal="general" vertical="center"/>
    </xf>
    <xf numFmtId="170" fontId="8" fillId="0" borderId="7" applyAlignment="1" pivotButton="0" quotePrefix="0" xfId="21">
      <alignment horizontal="general" vertical="center"/>
    </xf>
    <xf numFmtId="0" fontId="8" fillId="0" borderId="1" applyAlignment="1" pivotButton="0" quotePrefix="0" xfId="21">
      <alignment horizontal="general" vertical="center"/>
    </xf>
    <xf numFmtId="0" fontId="8" fillId="0" borderId="0" applyAlignment="1" pivotButton="0" quotePrefix="0" xfId="21">
      <alignment horizontal="left" vertical="center"/>
    </xf>
    <xf numFmtId="0" fontId="0" fillId="0" borderId="0" applyAlignment="1" pivotButton="0" quotePrefix="0" xfId="0">
      <alignment horizontal="general" vertical="center"/>
    </xf>
    <xf numFmtId="164" fontId="0" fillId="0" borderId="0" applyAlignment="1" pivotButton="0" quotePrefix="0" xfId="0">
      <alignment horizontal="general" vertical="center"/>
    </xf>
    <xf numFmtId="164" fontId="8" fillId="0" borderId="8" applyAlignment="1" pivotButton="0" quotePrefix="0" xfId="21">
      <alignment horizontal="general" vertical="center"/>
    </xf>
    <xf numFmtId="166" fontId="13" fillId="0" borderId="6" applyAlignment="1" pivotButton="0" quotePrefix="0" xfId="21">
      <alignment horizontal="general" vertical="center"/>
    </xf>
    <xf numFmtId="0" fontId="13" fillId="0" borderId="6" applyAlignment="1" pivotButton="0" quotePrefix="0" xfId="21">
      <alignment horizontal="general" vertical="center"/>
    </xf>
    <xf numFmtId="0" fontId="8" fillId="0" borderId="7" applyAlignment="1" pivotButton="0" quotePrefix="0" xfId="21">
      <alignment horizontal="general" vertical="center"/>
    </xf>
    <xf numFmtId="0" fontId="8" fillId="0" borderId="3" applyAlignment="1" pivotButton="0" quotePrefix="0" xfId="21">
      <alignment horizontal="left" vertical="center"/>
    </xf>
    <xf numFmtId="0" fontId="8" fillId="0" borderId="3" applyAlignment="1" pivotButton="0" quotePrefix="0" xfId="21">
      <alignment horizontal="general" vertical="center"/>
    </xf>
    <xf numFmtId="166" fontId="8" fillId="0" borderId="3" applyAlignment="1" pivotButton="0" quotePrefix="0" xfId="21">
      <alignment horizontal="left" vertical="center"/>
    </xf>
    <xf numFmtId="0" fontId="8" fillId="0" borderId="4" applyAlignment="1" pivotButton="0" quotePrefix="0" xfId="21">
      <alignment horizontal="general" vertical="center"/>
    </xf>
    <xf numFmtId="0" fontId="8" fillId="0" borderId="9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left" vertical="center"/>
    </xf>
    <xf numFmtId="0" fontId="0" fillId="0" borderId="10" applyAlignment="1" pivotButton="0" quotePrefix="0" xfId="0">
      <alignment horizontal="general" vertical="center"/>
    </xf>
    <xf numFmtId="164" fontId="0" fillId="0" borderId="10" applyAlignment="1" pivotButton="0" quotePrefix="0" xfId="0">
      <alignment horizontal="general" vertical="center"/>
    </xf>
    <xf numFmtId="164" fontId="8" fillId="0" borderId="11" applyAlignment="1" pivotButton="0" quotePrefix="0" xfId="21">
      <alignment horizontal="general" vertical="center"/>
    </xf>
    <xf numFmtId="0" fontId="8" fillId="0" borderId="10" applyAlignment="1" pivotButton="0" quotePrefix="0" xfId="21">
      <alignment horizontal="general" vertical="center"/>
    </xf>
    <xf numFmtId="166" fontId="8" fillId="0" borderId="10" applyAlignment="1" pivotButton="0" quotePrefix="0" xfId="21">
      <alignment horizontal="left" vertical="center"/>
    </xf>
    <xf numFmtId="0" fontId="8" fillId="0" borderId="11" applyAlignment="1" pivotButton="0" quotePrefix="0" xfId="21">
      <alignment horizontal="general" vertical="center"/>
    </xf>
    <xf numFmtId="164" fontId="12" fillId="0" borderId="3" applyAlignment="1" pivotButton="0" quotePrefix="0" xfId="21">
      <alignment horizontal="left" vertical="center"/>
    </xf>
    <xf numFmtId="0" fontId="8" fillId="0" borderId="6" applyAlignment="1" pivotButton="0" quotePrefix="0" xfId="21">
      <alignment horizontal="left" vertical="center"/>
    </xf>
    <xf numFmtId="166" fontId="8" fillId="0" borderId="6" applyAlignment="1" pivotButton="0" quotePrefix="0" xfId="21">
      <alignment horizontal="left" vertical="center"/>
    </xf>
    <xf numFmtId="164" fontId="8" fillId="0" borderId="0" applyAlignment="1" pivotButton="0" quotePrefix="0" xfId="21">
      <alignment horizontal="left" vertical="center"/>
    </xf>
    <xf numFmtId="166" fontId="8" fillId="0" borderId="3" applyAlignment="1" pivotButton="0" quotePrefix="0" xfId="21">
      <alignment horizontal="general" vertical="center"/>
    </xf>
    <xf numFmtId="166" fontId="8" fillId="0" borderId="0" applyAlignment="1" pivotButton="0" quotePrefix="0" xfId="21">
      <alignment horizontal="general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21">
      <alignment horizontal="center" vertical="center"/>
    </xf>
    <xf numFmtId="0" fontId="8" fillId="0" borderId="8" applyAlignment="1" pivotButton="0" quotePrefix="0" xfId="21">
      <alignment horizontal="general" vertical="center"/>
    </xf>
    <xf numFmtId="164" fontId="8" fillId="0" borderId="10" applyAlignment="1" pivotButton="0" quotePrefix="0" xfId="21">
      <alignment horizontal="left" vertical="center"/>
    </xf>
    <xf numFmtId="166" fontId="13" fillId="0" borderId="0" applyAlignment="1" pivotButton="0" quotePrefix="0" xfId="21">
      <alignment horizontal="general" vertical="center"/>
    </xf>
    <xf numFmtId="0" fontId="13" fillId="0" borderId="0" applyAlignment="1" pivotButton="0" quotePrefix="0" xfId="21">
      <alignment horizontal="general" vertical="center"/>
    </xf>
    <xf numFmtId="0" fontId="8" fillId="0" borderId="5" applyAlignment="1" pivotButton="0" quotePrefix="0" xfId="21">
      <alignment horizontal="left" vertical="center"/>
    </xf>
    <xf numFmtId="170" fontId="8" fillId="0" borderId="6" applyAlignment="1" pivotButton="0" quotePrefix="0" xfId="21">
      <alignment horizontal="right" vertical="center"/>
    </xf>
    <xf numFmtId="170" fontId="8" fillId="0" borderId="6" applyAlignment="1" pivotButton="0" quotePrefix="0" xfId="21">
      <alignment horizontal="left" vertical="center"/>
    </xf>
    <xf numFmtId="164" fontId="8" fillId="0" borderId="6" applyAlignment="1" pivotButton="0" quotePrefix="0" xfId="21">
      <alignment horizontal="right" vertical="center"/>
    </xf>
    <xf numFmtId="164" fontId="8" fillId="0" borderId="6" applyAlignment="1" pivotButton="0" quotePrefix="0" xfId="21">
      <alignment horizontal="general" vertical="center"/>
    </xf>
    <xf numFmtId="164" fontId="8" fillId="0" borderId="7" applyAlignment="1" pivotButton="0" quotePrefix="0" xfId="21">
      <alignment horizontal="general" vertical="center"/>
    </xf>
    <xf numFmtId="166" fontId="8" fillId="0" borderId="10" applyAlignment="1" pivotButton="0" quotePrefix="0" xfId="21">
      <alignment horizontal="general" vertical="center"/>
    </xf>
    <xf numFmtId="0" fontId="16" fillId="0" borderId="10" applyAlignment="1" pivotButton="0" quotePrefix="0" xfId="21">
      <alignment horizontal="center" vertical="center"/>
    </xf>
    <xf numFmtId="0" fontId="8" fillId="0" borderId="6" applyAlignment="1" pivotButton="0" quotePrefix="0" xfId="21">
      <alignment horizontal="right" vertical="center"/>
    </xf>
    <xf numFmtId="0" fontId="0" fillId="0" borderId="0" pivotButton="0" quotePrefix="0" xfId="0"/>
    <xf numFmtId="0" fontId="5" fillId="0" borderId="1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17" fillId="0" borderId="0" applyAlignment="1" pivotButton="0" quotePrefix="0" xfId="0">
      <alignment horizontal="general" vertical="center"/>
    </xf>
    <xf numFmtId="165" fontId="17" fillId="0" borderId="0" applyAlignment="1" pivotButton="0" quotePrefix="0" xfId="0">
      <alignment horizontal="right" vertical="center"/>
    </xf>
    <xf numFmtId="171" fontId="18" fillId="0" borderId="0" applyAlignment="1" pivotButton="0" quotePrefix="0" xfId="0">
      <alignment horizontal="center" vertical="center"/>
    </xf>
    <xf numFmtId="0" fontId="17" fillId="4" borderId="0" applyAlignment="1" pivotButton="0" quotePrefix="0" xfId="0">
      <alignment horizontal="center" vertical="center" wrapText="1"/>
    </xf>
    <xf numFmtId="0" fontId="19" fillId="2" borderId="12" applyAlignment="1" pivotButton="0" quotePrefix="0" xfId="0">
      <alignment horizontal="center" vertical="center" wrapText="1"/>
    </xf>
    <xf numFmtId="0" fontId="19" fillId="2" borderId="13" applyAlignment="1" pivotButton="0" quotePrefix="0" xfId="0">
      <alignment horizontal="center" vertical="center" wrapText="1"/>
    </xf>
    <xf numFmtId="164" fontId="19" fillId="2" borderId="13" applyAlignment="1" pivotButton="0" quotePrefix="0" xfId="0">
      <alignment horizontal="center" vertical="center" wrapText="1"/>
    </xf>
    <xf numFmtId="172" fontId="19" fillId="2" borderId="13" applyAlignment="1" pivotButton="0" quotePrefix="0" xfId="0">
      <alignment horizontal="center" vertical="center" wrapText="1"/>
    </xf>
    <xf numFmtId="166" fontId="19" fillId="2" borderId="13" applyAlignment="1" pivotButton="0" quotePrefix="0" xfId="0">
      <alignment horizontal="center" vertical="center" wrapText="1"/>
    </xf>
    <xf numFmtId="165" fontId="19" fillId="2" borderId="13" applyAlignment="1" pivotButton="0" quotePrefix="0" xfId="0">
      <alignment horizontal="center" vertical="center" wrapText="1"/>
    </xf>
    <xf numFmtId="165" fontId="19" fillId="3" borderId="13" applyAlignment="1" pivotButton="0" quotePrefix="0" xfId="0">
      <alignment horizontal="center" vertical="center" wrapText="1"/>
    </xf>
    <xf numFmtId="0" fontId="19" fillId="3" borderId="14" applyAlignment="1" pivotButton="0" quotePrefix="0" xfId="0">
      <alignment horizontal="center" vertical="center" wrapText="1"/>
    </xf>
    <xf numFmtId="0" fontId="19" fillId="3" borderId="13" applyAlignment="1" pivotButton="0" quotePrefix="0" xfId="0">
      <alignment horizontal="center" vertical="center" wrapText="1"/>
    </xf>
    <xf numFmtId="0" fontId="17" fillId="4" borderId="0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 wrapText="1"/>
    </xf>
    <xf numFmtId="1" fontId="20" fillId="0" borderId="16" applyAlignment="1" pivotButton="0" quotePrefix="0" xfId="0">
      <alignment horizontal="center" vertical="center" shrinkToFit="1"/>
    </xf>
    <xf numFmtId="164" fontId="16" fillId="5" borderId="16" applyAlignment="1" pivotButton="0" quotePrefix="0" xfId="0">
      <alignment horizontal="center" vertical="center" wrapText="1"/>
    </xf>
    <xf numFmtId="164" fontId="5" fillId="5" borderId="16" applyAlignment="1" pivotButton="0" quotePrefix="0" xfId="0">
      <alignment horizontal="center" vertical="center"/>
    </xf>
    <xf numFmtId="173" fontId="5" fillId="0" borderId="16" applyAlignment="1" pivotButton="0" quotePrefix="0" xfId="0">
      <alignment horizontal="center" vertical="center" wrapText="1"/>
    </xf>
    <xf numFmtId="167" fontId="5" fillId="0" borderId="16" applyAlignment="1" pivotButton="0" quotePrefix="0" xfId="0">
      <alignment horizontal="center" vertical="center" wrapText="1"/>
    </xf>
    <xf numFmtId="166" fontId="16" fillId="0" borderId="16" applyAlignment="1" pivotButton="0" quotePrefix="0" xfId="0">
      <alignment horizontal="center" vertical="center"/>
    </xf>
    <xf numFmtId="174" fontId="16" fillId="0" borderId="16" applyAlignment="1" pivotButton="0" quotePrefix="0" xfId="0">
      <alignment horizontal="center" vertical="center"/>
    </xf>
    <xf numFmtId="175" fontId="5" fillId="0" borderId="16" applyAlignment="1" pivotButton="0" quotePrefix="0" xfId="0">
      <alignment horizontal="center" vertical="center"/>
    </xf>
    <xf numFmtId="175" fontId="5" fillId="0" borderId="17" applyAlignment="1" pivotButton="0" quotePrefix="0" xfId="0">
      <alignment horizontal="center" vertical="center"/>
    </xf>
    <xf numFmtId="2" fontId="17" fillId="4" borderId="0" applyAlignment="1" pivotButton="0" quotePrefix="0" xfId="0">
      <alignment horizontal="center" vertical="center"/>
    </xf>
    <xf numFmtId="175" fontId="17" fillId="4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21" fillId="0" borderId="18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/>
    </xf>
    <xf numFmtId="1" fontId="21" fillId="0" borderId="19" applyAlignment="1" pivotButton="0" quotePrefix="0" xfId="0">
      <alignment horizontal="center" vertical="center"/>
    </xf>
    <xf numFmtId="164" fontId="5" fillId="5" borderId="19" applyAlignment="1" pivotButton="0" quotePrefix="0" xfId="0">
      <alignment horizontal="center" vertical="center"/>
    </xf>
    <xf numFmtId="176" fontId="5" fillId="0" borderId="19" applyAlignment="1" pivotButton="0" quotePrefix="0" xfId="0">
      <alignment horizontal="center" vertical="center"/>
    </xf>
    <xf numFmtId="166" fontId="21" fillId="0" borderId="19" applyAlignment="1" pivotButton="0" quotePrefix="0" xfId="0">
      <alignment horizontal="center" vertical="center"/>
    </xf>
    <xf numFmtId="174" fontId="21" fillId="0" borderId="19" applyAlignment="1" pivotButton="0" quotePrefix="0" xfId="0">
      <alignment horizontal="center" vertical="center"/>
    </xf>
    <xf numFmtId="175" fontId="21" fillId="0" borderId="19" applyAlignment="1" pivotButton="0" quotePrefix="0" xfId="0">
      <alignment horizontal="center" vertical="center"/>
    </xf>
    <xf numFmtId="175" fontId="21" fillId="0" borderId="20" applyAlignment="1" pivotButton="0" quotePrefix="0" xfId="0">
      <alignment horizontal="center" vertical="center"/>
    </xf>
    <xf numFmtId="164" fontId="16" fillId="0" borderId="16" applyAlignment="1" pivotButton="0" quotePrefix="0" xfId="0">
      <alignment horizontal="center" vertical="center" wrapText="1"/>
    </xf>
    <xf numFmtId="164" fontId="5" fillId="0" borderId="16" applyAlignment="1" pivotButton="0" quotePrefix="0" xfId="0">
      <alignment horizontal="center" vertical="center"/>
    </xf>
    <xf numFmtId="164" fontId="5" fillId="0" borderId="19" applyAlignment="1" pivotButton="0" quotePrefix="0" xfId="0">
      <alignment horizontal="center" vertical="center"/>
    </xf>
    <xf numFmtId="175" fontId="5" fillId="5" borderId="16" applyAlignment="1" pivotButton="0" quotePrefix="0" xfId="0">
      <alignment horizontal="center" vertical="center"/>
    </xf>
    <xf numFmtId="167" fontId="5" fillId="5" borderId="16" applyAlignment="1" pivotButton="0" quotePrefix="0" xfId="0">
      <alignment horizontal="center" vertical="center" wrapText="1"/>
    </xf>
    <xf numFmtId="2" fontId="19" fillId="4" borderId="0" applyAlignment="1" pivotButton="0" quotePrefix="0" xfId="0">
      <alignment horizontal="center" vertical="center"/>
    </xf>
    <xf numFmtId="175" fontId="19" fillId="4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left" vertical="center"/>
    </xf>
    <xf numFmtId="1" fontId="21" fillId="0" borderId="0" applyAlignment="1" pivotButton="0" quotePrefix="0" xfId="0">
      <alignment horizontal="center" vertical="center"/>
    </xf>
    <xf numFmtId="164" fontId="5" fillId="5" borderId="0" applyAlignment="1" pivotButton="0" quotePrefix="0" xfId="0">
      <alignment horizontal="center" vertical="center"/>
    </xf>
    <xf numFmtId="176" fontId="5" fillId="0" borderId="0" applyAlignment="1" pivotButton="0" quotePrefix="0" xfId="0">
      <alignment horizontal="center" vertical="center"/>
    </xf>
    <xf numFmtId="166" fontId="21" fillId="0" borderId="0" applyAlignment="1" pivotButton="0" quotePrefix="0" xfId="0">
      <alignment horizontal="center" vertical="center"/>
    </xf>
    <xf numFmtId="174" fontId="21" fillId="0" borderId="0" applyAlignment="1" pivotButton="0" quotePrefix="0" xfId="0">
      <alignment horizontal="center" vertical="center"/>
    </xf>
    <xf numFmtId="175" fontId="21" fillId="0" borderId="0" applyAlignment="1" pivotButton="0" quotePrefix="0" xfId="0">
      <alignment horizontal="center" vertical="center"/>
    </xf>
    <xf numFmtId="175" fontId="21" fillId="0" borderId="8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  <xf numFmtId="0" fontId="16" fillId="0" borderId="22" applyAlignment="1" pivotButton="0" quotePrefix="0" xfId="0">
      <alignment horizontal="center" vertical="center"/>
    </xf>
    <xf numFmtId="164" fontId="16" fillId="0" borderId="22" applyAlignment="1" pivotButton="0" quotePrefix="0" xfId="0">
      <alignment horizontal="center" vertical="center"/>
    </xf>
    <xf numFmtId="167" fontId="16" fillId="0" borderId="22" applyAlignment="1" pivotButton="0" quotePrefix="0" xfId="0">
      <alignment horizontal="center" vertical="center"/>
    </xf>
    <xf numFmtId="166" fontId="16" fillId="0" borderId="22" applyAlignment="1" pivotButton="0" quotePrefix="0" xfId="0">
      <alignment horizontal="center" vertical="center"/>
    </xf>
    <xf numFmtId="165" fontId="16" fillId="0" borderId="22" applyAlignment="1" pivotButton="0" quotePrefix="0" xfId="0">
      <alignment horizontal="center" vertical="center"/>
    </xf>
    <xf numFmtId="175" fontId="5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right" vertical="center"/>
    </xf>
    <xf numFmtId="175" fontId="5" fillId="5" borderId="23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2" fillId="0" borderId="24" applyAlignment="1" pivotButton="0" quotePrefix="0" xfId="0">
      <alignment horizontal="center" vertical="bottom"/>
    </xf>
    <xf numFmtId="0" fontId="0" fillId="0" borderId="24" pivotButton="0" quotePrefix="0" xfId="0"/>
    <xf numFmtId="165" fontId="23" fillId="0" borderId="0" applyAlignment="1" pivotButton="0" quotePrefix="0" xfId="0">
      <alignment horizontal="general" vertical="center"/>
    </xf>
    <xf numFmtId="165" fontId="24" fillId="0" borderId="0" applyAlignment="1" pivotButton="0" quotePrefix="0" xfId="0">
      <alignment horizontal="right" vertical="center"/>
    </xf>
    <xf numFmtId="175" fontId="24" fillId="0" borderId="24" applyAlignment="1" pivotButton="0" quotePrefix="0" xfId="0">
      <alignment horizontal="center" vertical="center"/>
    </xf>
    <xf numFmtId="175" fontId="24" fillId="0" borderId="0" applyAlignment="1" pivotButton="0" quotePrefix="0" xfId="0">
      <alignment horizontal="center" vertical="center"/>
    </xf>
    <xf numFmtId="165" fontId="25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horizontal="center" vertical="bottom"/>
    </xf>
    <xf numFmtId="164" fontId="26" fillId="0" borderId="0" applyAlignment="1" pivotButton="0" quotePrefix="0" xfId="0">
      <alignment horizontal="center" vertical="bottom"/>
    </xf>
    <xf numFmtId="0" fontId="2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65" fontId="28" fillId="0" borderId="0" applyAlignment="1" pivotButton="0" quotePrefix="0" xfId="0">
      <alignment horizontal="right" vertical="center"/>
    </xf>
    <xf numFmtId="175" fontId="2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9" fillId="0" borderId="0" applyAlignment="1" pivotButton="0" quotePrefix="0" xfId="20">
      <alignment horizontal="general" vertical="center"/>
    </xf>
    <xf numFmtId="175" fontId="28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left" vertical="center"/>
    </xf>
    <xf numFmtId="0" fontId="8" fillId="0" borderId="0" applyAlignment="1" pivotButton="0" quotePrefix="0" xfId="0">
      <alignment horizontal="general" vertical="center"/>
    </xf>
    <xf numFmtId="164" fontId="8" fillId="0" borderId="0" applyAlignment="1" pivotButton="0" quotePrefix="0" xfId="0">
      <alignment horizontal="general" vertical="center"/>
    </xf>
    <xf numFmtId="164" fontId="8" fillId="0" borderId="0" applyAlignment="1" pivotButton="0" quotePrefix="0" xfId="0">
      <alignment horizontal="center" vertical="center"/>
    </xf>
    <xf numFmtId="166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8" fontId="9" fillId="0" borderId="0" applyAlignment="1" pivotButton="0" quotePrefix="0" xfId="0">
      <alignment horizontal="left" vertical="center"/>
    </xf>
    <xf numFmtId="0" fontId="30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right" vertical="center"/>
    </xf>
    <xf numFmtId="0" fontId="8" fillId="0" borderId="1" applyAlignment="1" pivotButton="0" quotePrefix="0" xfId="0">
      <alignment horizontal="general" vertical="center"/>
    </xf>
    <xf numFmtId="166" fontId="8" fillId="0" borderId="0" applyAlignment="1" pivotButton="0" quotePrefix="0" xfId="0">
      <alignment horizontal="general" vertical="center"/>
    </xf>
    <xf numFmtId="168" fontId="8" fillId="0" borderId="0" applyAlignment="1" pivotButton="0" quotePrefix="0" xfId="0">
      <alignment horizontal="left" vertical="center"/>
    </xf>
    <xf numFmtId="0" fontId="8" fillId="0" borderId="10" applyAlignment="1" pivotButton="0" quotePrefix="0" xfId="20">
      <alignment horizontal="center" vertical="center"/>
    </xf>
    <xf numFmtId="0" fontId="8" fillId="0" borderId="9" applyAlignment="1" pivotButton="0" quotePrefix="0" xfId="0">
      <alignment horizontal="general" vertical="center"/>
    </xf>
    <xf numFmtId="0" fontId="31" fillId="0" borderId="10" applyAlignment="1" pivotButton="0" quotePrefix="0" xfId="20">
      <alignment horizontal="general" vertical="center"/>
    </xf>
    <xf numFmtId="0" fontId="8" fillId="0" borderId="10" applyAlignment="1" pivotButton="0" quotePrefix="0" xfId="0">
      <alignment horizontal="general" vertical="center"/>
    </xf>
    <xf numFmtId="164" fontId="8" fillId="0" borderId="10" applyAlignment="1" pivotButton="0" quotePrefix="0" xfId="0">
      <alignment horizontal="general" vertical="center"/>
    </xf>
    <xf numFmtId="166" fontId="8" fillId="0" borderId="10" applyAlignment="1" pivotButton="0" quotePrefix="0" xfId="0">
      <alignment horizontal="general" vertical="center"/>
    </xf>
    <xf numFmtId="0" fontId="8" fillId="0" borderId="10" applyAlignment="1" pivotButton="0" quotePrefix="0" xfId="0">
      <alignment horizontal="right" vertical="center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표준 2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Aissa Lintang</author>
    <author>Rizka EPO</author>
  </authors>
  <commentList>
    <comment ref="Q82" authorId="0" shapeId="0">
      <text>
        <t>MOP</t>
      </text>
    </comment>
    <comment ref="Q83" authorId="0" shapeId="0">
      <text>
        <t>MOP</t>
      </text>
    </comment>
    <comment ref="Q84" authorId="0" shapeId="0">
      <text>
        <t>MOP</t>
      </text>
    </comment>
    <comment ref="Q122" authorId="0" shapeId="0">
      <text>
        <t>POST &amp; CLUTCH</t>
      </text>
    </comment>
    <comment ref="Q136" authorId="0" shapeId="0">
      <text>
        <t>MOP</t>
      </text>
    </comment>
    <comment ref="Q151" authorId="0" shapeId="0">
      <text>
        <t>SAPP GLASS</t>
      </text>
    </comment>
    <comment ref="Q152" authorId="0" shapeId="0">
      <text>
        <t>POST &amp; CLUTCH</t>
      </text>
    </comment>
    <comment ref="Q261" authorId="1" shapeId="0">
      <text>
        <t xml:space="preserve">MOP COST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G302"/>
  <sheetViews>
    <sheetView showFormulas="0" showGridLines="0" showRowColHeaders="1" showZeros="1" rightToLeft="0" tabSelected="1" showOutlineSymbols="1" defaultGridColor="1" view="pageBreakPreview" topLeftCell="P276" colorId="64" zoomScale="100" zoomScaleNormal="100" zoomScalePageLayoutView="100" workbookViewId="0">
      <selection pane="topLeft" activeCell="AB15" activeCellId="0" sqref="AB15:AD298"/>
    </sheetView>
  </sheetViews>
  <sheetFormatPr baseColWidth="8" defaultColWidth="8.77734375" defaultRowHeight="13.5" customHeight="1" zeroHeight="0" outlineLevelRow="0"/>
  <cols>
    <col width="22.88" customWidth="1" style="172" min="1" max="1"/>
    <col width="12.44" customWidth="1" style="172" min="2" max="2"/>
    <col width="16" customWidth="1" style="172" min="3" max="3"/>
    <col width="15.44" customWidth="1" style="172" min="4" max="4"/>
    <col width="15.22" customWidth="1" style="172" min="5" max="5"/>
    <col width="10" customWidth="1" style="172" min="6" max="6"/>
    <col width="6.77" customWidth="1" style="172" min="7" max="7"/>
    <col width="8.56" customWidth="1" style="173" min="8" max="10"/>
    <col width="10.44" customWidth="1" style="174" min="11" max="11"/>
    <col width="11.77" customWidth="1" style="175" min="12" max="12"/>
    <col width="8.56" customWidth="1" style="175" min="13" max="14"/>
    <col width="8.44" customWidth="1" style="176" min="15" max="15"/>
    <col width="9.67" customWidth="1" style="177" min="16" max="16"/>
    <col width="12.44" customWidth="1" style="178" min="17" max="17"/>
    <col width="14.56" customWidth="1" style="178" min="18" max="19"/>
    <col width="9.109999999999999" customWidth="1" style="178" min="20" max="21"/>
    <col width="11.56" customWidth="1" style="178" min="22" max="22"/>
    <col width="11.77" customWidth="1" style="178" min="23" max="23"/>
    <col width="13.44" customWidth="1" style="179" min="24" max="24"/>
    <col width="14.56" customWidth="1" style="180" min="25" max="26"/>
    <col width="8.77" customWidth="1" style="180" min="27" max="27"/>
    <col width="10.78" customWidth="1" style="180" min="28" max="28"/>
    <col width="10.21" customWidth="1" style="180" min="29" max="29"/>
    <col width="10.78" customWidth="1" style="180" min="30" max="30"/>
    <col width="8.77" customWidth="1" style="180" min="31" max="32"/>
    <col width="10.33" customWidth="1" style="180" min="33" max="33"/>
    <col width="8.77" customWidth="1" style="180" min="34" max="16384"/>
  </cols>
  <sheetData>
    <row r="1" ht="31.5" customFormat="1" customHeight="1" s="181">
      <c r="A1" s="182" t="inlineStr">
        <is>
          <t>PT. VERONIQUE INDONESIA</t>
        </is>
      </c>
    </row>
    <row r="2" ht="15" customFormat="1" customHeight="1" s="183">
      <c r="A2" s="184" t="inlineStr">
        <is>
          <t>Jl. Raya Purwonegoro, Rt. 007/003  Purwonegoro, Banjarnegara,  Jawa Tengah   Zip Code : 53472   INDONESIA</t>
        </is>
      </c>
    </row>
    <row r="3" ht="20.25" customFormat="1" customHeight="1" s="185">
      <c r="A3" s="186" t="inlineStr">
        <is>
          <t>PROFORMA INVOICE</t>
        </is>
      </c>
    </row>
    <row r="4" ht="12" customFormat="1" customHeight="1" s="187">
      <c r="A4" s="188" t="inlineStr">
        <is>
          <t>Seller:</t>
        </is>
      </c>
      <c r="B4" s="189" t="inlineStr">
        <is>
          <t>PT. VERONIQUE INDONESIA</t>
        </is>
      </c>
      <c r="C4" s="189" t="n"/>
      <c r="D4" s="189" t="n"/>
      <c r="E4" s="189" t="n"/>
      <c r="F4" s="190" t="n"/>
      <c r="G4" s="190" t="n"/>
      <c r="H4" s="191" t="n"/>
      <c r="I4" s="191" t="n"/>
      <c r="J4" s="191" t="n"/>
      <c r="K4" s="192" t="n"/>
      <c r="L4" s="193" t="inlineStr">
        <is>
          <t>Invoice No. &amp; Date :</t>
        </is>
      </c>
      <c r="M4" s="194" t="n"/>
      <c r="N4" s="194" t="n"/>
      <c r="O4" s="195" t="inlineStr">
        <is>
          <t>PI IDD250515</t>
        </is>
      </c>
      <c r="P4" s="194" t="n"/>
      <c r="Q4" s="194" t="n"/>
      <c r="R4" s="194" t="n"/>
      <c r="S4" s="194" t="n"/>
      <c r="T4" s="194" t="n"/>
      <c r="U4" s="194" t="n"/>
      <c r="V4" s="196" t="n"/>
      <c r="W4" s="194" t="n"/>
      <c r="X4" s="194" t="n"/>
      <c r="Y4" s="194" t="n"/>
      <c r="Z4" s="197" t="n">
        <v>45792</v>
      </c>
      <c r="AA4" s="187" t="inlineStr">
        <is>
          <t>plating</t>
        </is>
      </c>
      <c r="AB4" s="187" t="n">
        <v>0.24</v>
      </c>
    </row>
    <row r="5" ht="12" customFormat="1" customHeight="1" s="187">
      <c r="A5" s="198" t="n">
        <v>20</v>
      </c>
      <c r="B5" s="199" t="inlineStr">
        <is>
          <t>Jl. Raya Purwonegoro, Rt. 007/003  Purwonegoro, Banjarnegara,</t>
        </is>
      </c>
      <c r="C5" s="199" t="n"/>
      <c r="D5" s="199" t="n"/>
      <c r="E5" s="199" t="n"/>
      <c r="F5" s="200" t="n"/>
      <c r="G5" s="200" t="n"/>
      <c r="H5" s="201" t="n"/>
      <c r="I5" s="201" t="n"/>
      <c r="J5" s="201" t="n"/>
      <c r="K5" s="202" t="n"/>
      <c r="L5" s="193" t="inlineStr">
        <is>
          <t>L/C No. &amp; Date :</t>
        </is>
      </c>
      <c r="M5" s="194" t="n"/>
      <c r="N5" s="194" t="n"/>
      <c r="O5" s="203" t="n"/>
      <c r="P5" s="204" t="n"/>
      <c r="Q5" s="194" t="n"/>
      <c r="R5" s="194" t="n"/>
      <c r="S5" s="194" t="n"/>
      <c r="T5" s="194" t="n"/>
      <c r="U5" s="194" t="n"/>
      <c r="V5" s="194" t="n"/>
      <c r="W5" s="194" t="n"/>
      <c r="X5" s="194" t="n"/>
      <c r="Y5" s="194" t="n"/>
      <c r="Z5" s="205" t="n"/>
    </row>
    <row r="6" ht="12" customFormat="1" customHeight="1" s="187">
      <c r="A6" s="198" t="n">
        <v>20</v>
      </c>
      <c r="B6" s="199" t="inlineStr">
        <is>
          <t>Jawa Tengah  Zip Code : 53472   INDONESIA</t>
        </is>
      </c>
      <c r="C6" s="199" t="n"/>
      <c r="D6" s="199" t="n"/>
      <c r="E6" s="199" t="n"/>
      <c r="F6" s="200" t="n"/>
      <c r="G6" s="200" t="n"/>
      <c r="H6" s="201" t="n"/>
      <c r="I6" s="201" t="n"/>
      <c r="J6" s="201" t="n"/>
      <c r="K6" s="202" t="n"/>
      <c r="L6" s="188" t="inlineStr">
        <is>
          <t>(Buyer : if then Consignee):</t>
        </is>
      </c>
      <c r="M6" s="206" t="n"/>
      <c r="N6" s="207" t="n"/>
      <c r="O6" s="208" t="n"/>
      <c r="P6" s="206" t="n"/>
      <c r="Q6" s="206" t="n"/>
      <c r="R6" s="206" t="n"/>
      <c r="S6" s="206" t="n"/>
      <c r="T6" s="206" t="n"/>
      <c r="U6" s="206" t="n"/>
      <c r="V6" s="207" t="n"/>
      <c r="W6" s="207" t="n"/>
      <c r="X6" s="207" t="n"/>
      <c r="Y6" s="207" t="n"/>
      <c r="Z6" s="209" t="n"/>
    </row>
    <row r="7" ht="12" customFormat="1" customHeight="1" s="187">
      <c r="A7" s="210" t="n">
        <v>20</v>
      </c>
      <c r="B7" s="211" t="inlineStr">
        <is>
          <t>Tel : 62-286-598-8594   Fax : 62-286-598-8650</t>
        </is>
      </c>
      <c r="C7" s="211" t="n"/>
      <c r="D7" s="211" t="n"/>
      <c r="E7" s="211" t="n"/>
      <c r="F7" s="212" t="n"/>
      <c r="G7" s="212" t="n"/>
      <c r="H7" s="213" t="n"/>
      <c r="I7" s="213" t="n"/>
      <c r="J7" s="213" t="n"/>
      <c r="K7" s="214" t="n"/>
      <c r="L7" s="210" t="n"/>
      <c r="M7" s="211" t="n"/>
      <c r="N7" s="215" t="n"/>
      <c r="O7" s="216" t="n"/>
      <c r="P7" s="211" t="n"/>
      <c r="Q7" s="211" t="n"/>
      <c r="R7" s="211" t="n"/>
      <c r="S7" s="211" t="n"/>
      <c r="T7" s="211" t="n"/>
      <c r="U7" s="211" t="n"/>
      <c r="V7" s="215" t="n"/>
      <c r="W7" s="215" t="n"/>
      <c r="X7" s="215" t="n"/>
      <c r="Y7" s="215" t="n"/>
      <c r="Z7" s="217" t="n"/>
    </row>
    <row r="8" ht="12" customFormat="1" customHeight="1" s="187">
      <c r="A8" s="188" t="inlineStr">
        <is>
          <t>Consignee:</t>
        </is>
      </c>
      <c r="B8" s="189" t="inlineStr">
        <is>
          <t>IDD SANDEEP</t>
        </is>
      </c>
      <c r="C8" s="189" t="n"/>
      <c r="D8" s="189" t="n"/>
      <c r="E8" s="189" t="n"/>
      <c r="F8" s="189" t="n"/>
      <c r="G8" s="189" t="n"/>
      <c r="H8" s="218" t="n"/>
      <c r="I8" s="218" t="n"/>
      <c r="J8" s="218" t="n"/>
      <c r="K8" s="192" t="n"/>
      <c r="L8" s="193" t="inlineStr">
        <is>
          <t xml:space="preserve">"GSP eligible Article" </t>
        </is>
      </c>
      <c r="M8" s="219" t="n"/>
      <c r="N8" s="194" t="n"/>
      <c r="O8" s="220" t="n"/>
      <c r="P8" s="219" t="n"/>
      <c r="Q8" s="219" t="n"/>
      <c r="R8" s="219" t="n"/>
      <c r="S8" s="219" t="n"/>
      <c r="T8" s="219" t="n"/>
      <c r="U8" s="219" t="n"/>
      <c r="V8" s="194" t="n"/>
      <c r="W8" s="194" t="n"/>
      <c r="X8" s="194" t="n"/>
      <c r="Y8" s="194" t="n"/>
      <c r="Z8" s="205" t="n"/>
    </row>
    <row r="9" ht="12" customFormat="1" customHeight="1" s="187">
      <c r="A9" s="198" t="n">
        <v>20</v>
      </c>
      <c r="B9" s="199" t="inlineStr">
        <is>
          <t>to Veronique Oro Corp.</t>
        </is>
      </c>
      <c r="C9" s="199" t="n"/>
      <c r="D9" s="199" t="n"/>
      <c r="E9" s="199" t="n"/>
      <c r="F9" s="199" t="n"/>
      <c r="G9" s="199" t="n"/>
      <c r="H9" s="221" t="n"/>
      <c r="I9" s="221" t="n"/>
      <c r="J9" s="221" t="n"/>
      <c r="K9" s="202" t="n"/>
      <c r="L9" s="206" t="inlineStr">
        <is>
          <t>Country of Origin :</t>
        </is>
      </c>
      <c r="M9" s="206" t="n"/>
      <c r="N9" s="207" t="n"/>
      <c r="O9" s="222" t="inlineStr">
        <is>
          <t>INDONESIA</t>
        </is>
      </c>
      <c r="P9" s="207" t="n"/>
      <c r="Q9" s="206" t="n"/>
      <c r="R9" s="206" t="n"/>
      <c r="S9" s="206" t="n"/>
      <c r="T9" s="206" t="n"/>
      <c r="U9" s="206" t="n"/>
      <c r="V9" s="207" t="n"/>
      <c r="W9" s="207" t="n"/>
      <c r="X9" s="207" t="n"/>
      <c r="Y9" s="207" t="n"/>
      <c r="Z9" s="209" t="n"/>
    </row>
    <row r="10" ht="12" customFormat="1" customHeight="1" s="187">
      <c r="A10" s="198" t="n">
        <v>20</v>
      </c>
      <c r="B10" s="199" t="n"/>
      <c r="C10" s="199" t="n"/>
      <c r="D10" s="199" t="n"/>
      <c r="E10" s="199" t="n"/>
      <c r="F10" s="199" t="n"/>
      <c r="G10" s="199" t="n"/>
      <c r="H10" s="221" t="n"/>
      <c r="I10" s="221" t="n"/>
      <c r="J10" s="221" t="n"/>
      <c r="K10" s="202" t="n"/>
      <c r="L10" s="187" t="inlineStr">
        <is>
          <t xml:space="preserve">B/L No. : </t>
        </is>
      </c>
      <c r="O10" s="223" t="n"/>
      <c r="Q10" s="224" t="n"/>
      <c r="R10" s="224" t="n"/>
      <c r="S10" s="224" t="n"/>
      <c r="T10" s="224" t="n"/>
      <c r="U10" s="224" t="n"/>
      <c r="V10" s="225" t="n"/>
      <c r="W10" s="226" t="n"/>
      <c r="Z10" s="227" t="n"/>
    </row>
    <row r="11" ht="12" customFormat="1" customHeight="1" s="187">
      <c r="A11" s="210" t="n">
        <v>20</v>
      </c>
      <c r="B11" s="211" t="n"/>
      <c r="C11" s="211" t="n"/>
      <c r="D11" s="211" t="n"/>
      <c r="E11" s="211" t="n"/>
      <c r="F11" s="211" t="n"/>
      <c r="G11" s="211" t="n"/>
      <c r="H11" s="228" t="n"/>
      <c r="I11" s="228" t="n"/>
      <c r="J11" s="228" t="n"/>
      <c r="K11" s="214" t="n"/>
      <c r="L11" s="187" t="inlineStr">
        <is>
          <t xml:space="preserve">A/C No. : </t>
        </is>
      </c>
      <c r="O11" s="229" t="n"/>
      <c r="P11" s="230" t="n"/>
      <c r="V11" s="226" t="n"/>
      <c r="W11" s="226" t="n"/>
      <c r="Z11" s="227" t="n"/>
    </row>
    <row r="12" ht="12" customFormat="1" customHeight="1" s="187">
      <c r="A12" s="231" t="n">
        <v>20</v>
      </c>
      <c r="B12" s="232" t="inlineStr">
        <is>
          <t xml:space="preserve">Departure Date :     </t>
        </is>
      </c>
      <c r="C12" s="233" t="n"/>
      <c r="D12" s="233" t="n"/>
      <c r="E12" s="233" t="n"/>
      <c r="F12" s="233" t="n"/>
      <c r="G12" s="193" t="n"/>
      <c r="H12" s="234" t="inlineStr">
        <is>
          <t xml:space="preserve">From :      </t>
        </is>
      </c>
      <c r="I12" s="235" t="inlineStr">
        <is>
          <t>INDONESIA</t>
        </is>
      </c>
      <c r="J12" s="235" t="n"/>
      <c r="K12" s="236" t="n"/>
      <c r="L12" s="215" t="inlineStr">
        <is>
          <t xml:space="preserve">C/T No. : </t>
        </is>
      </c>
      <c r="M12" s="215" t="n"/>
      <c r="N12" s="215" t="n"/>
      <c r="O12" s="237" t="n"/>
      <c r="P12" s="215" t="n"/>
      <c r="Q12" s="215" t="n"/>
      <c r="R12" s="215" t="n"/>
      <c r="S12" s="215" t="n"/>
      <c r="T12" s="215" t="n"/>
      <c r="U12" s="215" t="n"/>
      <c r="V12" s="238" t="n"/>
      <c r="W12" s="238" t="n"/>
      <c r="X12" s="215" t="n"/>
      <c r="Y12" s="215" t="n"/>
      <c r="Z12" s="217" t="n"/>
    </row>
    <row r="13" ht="12.75" customFormat="1" customHeight="1" s="187">
      <c r="A13" s="193" t="n">
        <v>20</v>
      </c>
      <c r="B13" s="239" t="inlineStr">
        <is>
          <t xml:space="preserve">Vessel/Flight :     </t>
        </is>
      </c>
      <c r="C13" s="194" t="n"/>
      <c r="D13" s="194" t="n"/>
      <c r="E13" s="194" t="n"/>
      <c r="F13" s="194" t="n"/>
      <c r="G13" s="193" t="n"/>
      <c r="H13" s="234" t="inlineStr">
        <is>
          <t xml:space="preserve">To :      </t>
        </is>
      </c>
      <c r="I13" s="235" t="inlineStr">
        <is>
          <t>U.S.A</t>
        </is>
      </c>
      <c r="J13" s="235" t="n"/>
      <c r="K13" s="236" t="n"/>
      <c r="L13" s="193" t="inlineStr">
        <is>
          <t>Terms of  Payment:</t>
        </is>
      </c>
      <c r="M13" s="194" t="n"/>
      <c r="N13" s="194" t="n"/>
      <c r="O13" s="220" t="n"/>
      <c r="P13" s="219" t="n"/>
      <c r="Q13" s="219" t="n"/>
      <c r="R13" s="219" t="n"/>
      <c r="S13" s="219" t="n"/>
      <c r="T13" s="219" t="n"/>
      <c r="U13" s="219" t="n"/>
      <c r="V13" s="194" t="n"/>
      <c r="W13" s="194" t="n"/>
      <c r="X13" s="194" t="n"/>
      <c r="Y13" s="194" t="n"/>
      <c r="Z13" s="205" t="n"/>
      <c r="AB13" s="187" t="inlineStr">
        <is>
          <t>gold price</t>
        </is>
      </c>
      <c r="AC13" s="187" t="n">
        <v>72</v>
      </c>
    </row>
    <row r="14" ht="15.75" customHeight="1" s="240">
      <c r="A14" s="241" t="inlineStr">
        <is>
          <t>Buyer Dia</t>
        </is>
      </c>
      <c r="K14" s="242" t="n"/>
      <c r="L14" s="243" t="n"/>
      <c r="M14" s="243" t="n"/>
      <c r="N14" s="243" t="n"/>
      <c r="W14" s="244" t="n"/>
      <c r="X14" s="245" t="inlineStr">
        <is>
          <t>7 May London AM + 2%</t>
        </is>
      </c>
      <c r="Y14" s="246">
        <f>3375.75*1.02</f>
        <v/>
      </c>
      <c r="Z14" s="246">
        <f>3375.75*1.02</f>
        <v/>
      </c>
      <c r="AB14" s="180" t="inlineStr">
        <is>
          <t>dia price</t>
        </is>
      </c>
      <c r="AC14" s="180" t="n">
        <v>349.937120805153</v>
      </c>
    </row>
    <row r="15" ht="27" customFormat="1" customHeight="1" s="247">
      <c r="A15" s="248" t="inlineStr">
        <is>
          <t>PO#</t>
        </is>
      </c>
      <c r="B15" s="249" t="inlineStr">
        <is>
          <t>Item No.</t>
        </is>
      </c>
      <c r="C15" s="249" t="inlineStr">
        <is>
          <t>Buyer No.</t>
        </is>
      </c>
      <c r="D15" s="249" t="inlineStr">
        <is>
          <t>Buyer PO</t>
        </is>
      </c>
      <c r="E15" s="249" t="inlineStr">
        <is>
          <t>IDD PO SERIAL#</t>
        </is>
      </c>
      <c r="F15" s="249" t="inlineStr">
        <is>
          <t>Metal</t>
        </is>
      </c>
      <c r="G15" s="249" t="inlineStr">
        <is>
          <t>Q'ty</t>
        </is>
      </c>
      <c r="H15" s="250" t="inlineStr">
        <is>
          <t>Total w't</t>
        </is>
      </c>
      <c r="I15" s="250" t="inlineStr">
        <is>
          <t>Dia w't</t>
        </is>
      </c>
      <c r="J15" s="250" t="inlineStr">
        <is>
          <t>Wire w't</t>
        </is>
      </c>
      <c r="K15" s="250" t="inlineStr">
        <is>
          <t>Gold w't</t>
        </is>
      </c>
      <c r="L15" s="251" t="inlineStr">
        <is>
          <t>Stone</t>
        </is>
      </c>
      <c r="M15" s="251" t="inlineStr">
        <is>
          <t>Color</t>
        </is>
      </c>
      <c r="N15" s="251" t="inlineStr">
        <is>
          <t>Stone Q'ty</t>
        </is>
      </c>
      <c r="O15" s="252" t="inlineStr">
        <is>
          <t>Labor</t>
        </is>
      </c>
      <c r="P15" s="253" t="inlineStr">
        <is>
          <t>Dia Carat</t>
        </is>
      </c>
      <c r="Q15" s="254" t="inlineStr">
        <is>
          <t>Extra Cost</t>
        </is>
      </c>
      <c r="R15" s="254" t="inlineStr">
        <is>
          <t>Dia Packaging Cost</t>
        </is>
      </c>
      <c r="S15" s="254" t="inlineStr">
        <is>
          <t>Dia Handling Service Fee</t>
        </is>
      </c>
      <c r="T15" s="254" t="inlineStr">
        <is>
          <t>Wire
Cost</t>
        </is>
      </c>
      <c r="U15" s="254" t="inlineStr">
        <is>
          <t>Plating Cost</t>
        </is>
      </c>
      <c r="V15" s="254" t="inlineStr">
        <is>
          <t>Stone
Cost</t>
        </is>
      </c>
      <c r="W15" s="254" t="inlineStr">
        <is>
          <t>Setting
Cost</t>
        </is>
      </c>
      <c r="X15" s="255" t="inlineStr">
        <is>
          <t>Labor
Cost</t>
        </is>
      </c>
      <c r="Y15" s="256" t="inlineStr">
        <is>
          <t>Gold &amp; 5%
Cost</t>
        </is>
      </c>
      <c r="Z15" s="255" t="inlineStr">
        <is>
          <t>Current Gold &amp;
5% Cost</t>
        </is>
      </c>
      <c r="AB15" s="247" t="inlineStr">
        <is>
          <t>maklon</t>
        </is>
      </c>
      <c r="AC15" s="247" t="inlineStr">
        <is>
          <t>material cost</t>
        </is>
      </c>
      <c r="AD15" s="247" t="inlineStr">
        <is>
          <t>total</t>
        </is>
      </c>
      <c r="AE15" s="247" t="inlineStr">
        <is>
          <t>24K Payment</t>
        </is>
      </c>
      <c r="AF15" s="247" t="inlineStr">
        <is>
          <t>old labor</t>
        </is>
      </c>
      <c r="AG15" s="247" t="inlineStr">
        <is>
          <t>labor amount</t>
        </is>
      </c>
    </row>
    <row r="16" ht="27.75" customFormat="1" customHeight="1" s="257">
      <c r="A16" s="258" t="inlineStr">
        <is>
          <t>IDD250502RM-14K</t>
        </is>
      </c>
      <c r="B16" s="259" t="inlineStr">
        <is>
          <t>K5021E39 RD 0.75"</t>
        </is>
      </c>
      <c r="C16" s="259" t="n"/>
      <c r="D16" s="259" t="n"/>
      <c r="E16" s="259" t="n"/>
      <c r="F16" s="259" t="inlineStr">
        <is>
          <t>14K YG</t>
        </is>
      </c>
      <c r="G16" s="260" t="n">
        <v>1</v>
      </c>
      <c r="H16" s="261" t="n">
        <v>7.28</v>
      </c>
      <c r="I16" s="261" t="n">
        <v>0</v>
      </c>
      <c r="J16" s="261" t="n">
        <v>0</v>
      </c>
      <c r="K16" s="262">
        <f>H16-I16-J16</f>
        <v/>
      </c>
      <c r="L16" s="263" t="n">
        <v>2.9</v>
      </c>
      <c r="M16" s="263" t="inlineStr">
        <is>
          <t>W</t>
        </is>
      </c>
      <c r="N16" s="264" t="n">
        <v>32</v>
      </c>
      <c r="O16" s="265" t="n">
        <v>8.5</v>
      </c>
      <c r="P16" s="266" t="n"/>
      <c r="Q16" s="267" t="n"/>
      <c r="R16" s="267" t="n"/>
      <c r="S16" s="267" t="n"/>
      <c r="T16" s="267" t="n"/>
      <c r="U16" s="267" t="n"/>
      <c r="V16" s="267" t="n"/>
      <c r="W16" s="267" t="n"/>
      <c r="X16" s="267">
        <f>K16*O16</f>
        <v/>
      </c>
      <c r="Y16" s="267">
        <f>($Y$14/31.1035*IF(LEFT(F16,3)="10K",(0.417*1.07*K16),IF(LEFT(F16,3)="14K",(0.585*1.05*K16),IF(LEFT(F16,3)="18K",(0.75*1.05*K16),0))))*0.5</f>
        <v/>
      </c>
      <c r="Z16" s="268">
        <f>($Z$14/31.1035*IF(LEFT(F16,3)="10K",(0.417*1.07*K16),IF(LEFT(F16,3)="14K",(0.585*1.05*K16),IF(LEFT(F16,3)="18K",(0.75*1.05*K16),0))))*0.5</f>
        <v/>
      </c>
      <c r="AA16" s="269">
        <f>2*K16</f>
        <v/>
      </c>
      <c r="AB16" s="269" t="n">
        <v>47.32</v>
      </c>
      <c r="AC16" s="269" t="n">
        <v>321.96528</v>
      </c>
      <c r="AD16" s="269" t="n">
        <v>369.28528</v>
      </c>
      <c r="AE16" s="269">
        <f>IF(LEFT(F16,3)="10K",(0.417*1.07*K16),IF(LEFT(F16,3)="14K",(0.585*1.05*K16),IF(LEFT(F16,3)="18K",(0.75*1.05*K16),0)))</f>
        <v/>
      </c>
      <c r="AG16" s="270">
        <f>X16</f>
        <v/>
      </c>
    </row>
    <row r="17" ht="15.75" customFormat="1" customHeight="1" s="271">
      <c r="A17" s="272" t="inlineStr">
        <is>
          <t>SUBTOTAL</t>
        </is>
      </c>
      <c r="B17" s="273" t="n"/>
      <c r="C17" s="273" t="n"/>
      <c r="D17" s="273" t="n"/>
      <c r="E17" s="273" t="n"/>
      <c r="F17" s="273" t="n"/>
      <c r="G17" s="274">
        <f>SUM(G16)</f>
        <v/>
      </c>
      <c r="H17" s="275" t="n"/>
      <c r="I17" s="275" t="n"/>
      <c r="J17" s="275" t="n"/>
      <c r="K17" s="275">
        <f>SUM(K16)</f>
        <v/>
      </c>
      <c r="L17" s="276" t="n"/>
      <c r="M17" s="276" t="n"/>
      <c r="N17" s="276" t="n"/>
      <c r="O17" s="277" t="n"/>
      <c r="P17" s="278">
        <f>SUM(P16)</f>
        <v/>
      </c>
      <c r="Q17" s="279">
        <f>SUM(Q16)</f>
        <v/>
      </c>
      <c r="R17" s="279">
        <f>SUM(R16)</f>
        <v/>
      </c>
      <c r="S17" s="279">
        <f>SUM(S16)</f>
        <v/>
      </c>
      <c r="T17" s="279">
        <f>SUM(T16)</f>
        <v/>
      </c>
      <c r="U17" s="279">
        <f>SUM(U16)</f>
        <v/>
      </c>
      <c r="V17" s="279">
        <f>SUM(V16)</f>
        <v/>
      </c>
      <c r="W17" s="279">
        <f>SUM(W16)</f>
        <v/>
      </c>
      <c r="X17" s="279">
        <f>SUM(X16)</f>
        <v/>
      </c>
      <c r="Y17" s="279">
        <f>SUM(Y16)</f>
        <v/>
      </c>
      <c r="Z17" s="280">
        <f>SUM(Z16)</f>
        <v/>
      </c>
      <c r="AA17" s="269" t="n"/>
      <c r="AB17" s="269" t="n"/>
      <c r="AC17" s="269" t="n"/>
      <c r="AD17" s="269" t="n"/>
      <c r="AE17" s="269" t="n"/>
      <c r="AG17" s="270" t="n"/>
    </row>
    <row r="18" ht="15.75" customHeight="1" s="240">
      <c r="A18" s="241" t="inlineStr">
        <is>
          <t>Mounting</t>
        </is>
      </c>
      <c r="K18" s="242" t="n"/>
      <c r="L18" s="243" t="n"/>
      <c r="M18" s="243" t="n"/>
      <c r="N18" s="243" t="n"/>
      <c r="W18" s="244" t="n"/>
      <c r="X18" s="245" t="inlineStr">
        <is>
          <t>1 May London AM + 2%</t>
        </is>
      </c>
      <c r="Y18" s="246">
        <f>1.02*3225.75</f>
        <v/>
      </c>
      <c r="Z18" s="246">
        <f>1.02*3225.75</f>
        <v/>
      </c>
      <c r="AA18" s="269" t="n"/>
      <c r="AB18" s="269" t="n"/>
      <c r="AC18" s="269" t="n"/>
      <c r="AD18" s="269" t="n"/>
      <c r="AE18" s="269" t="n"/>
      <c r="AG18" s="270" t="n"/>
    </row>
    <row r="19" ht="27" customFormat="1" customHeight="1" s="247">
      <c r="A19" s="248" t="inlineStr">
        <is>
          <t>PO#</t>
        </is>
      </c>
      <c r="B19" s="249" t="inlineStr">
        <is>
          <t>Item No.</t>
        </is>
      </c>
      <c r="C19" s="249" t="inlineStr">
        <is>
          <t>Buyer No.</t>
        </is>
      </c>
      <c r="D19" s="249" t="inlineStr">
        <is>
          <t>Buyer PO</t>
        </is>
      </c>
      <c r="E19" s="249" t="inlineStr">
        <is>
          <t>IDD PO SERIAL#</t>
        </is>
      </c>
      <c r="F19" s="249" t="inlineStr">
        <is>
          <t>Metal</t>
        </is>
      </c>
      <c r="G19" s="249" t="inlineStr">
        <is>
          <t>Q'ty</t>
        </is>
      </c>
      <c r="H19" s="250" t="inlineStr">
        <is>
          <t>Total w't</t>
        </is>
      </c>
      <c r="I19" s="250" t="inlineStr">
        <is>
          <t>Dia w't</t>
        </is>
      </c>
      <c r="J19" s="250" t="inlineStr">
        <is>
          <t>Wire w't</t>
        </is>
      </c>
      <c r="K19" s="250" t="inlineStr">
        <is>
          <t>Gold w't</t>
        </is>
      </c>
      <c r="L19" s="251" t="inlineStr">
        <is>
          <t>Stone</t>
        </is>
      </c>
      <c r="M19" s="251" t="inlineStr">
        <is>
          <t>Color</t>
        </is>
      </c>
      <c r="N19" s="251" t="inlineStr">
        <is>
          <t>Stone Q'ty</t>
        </is>
      </c>
      <c r="O19" s="252" t="inlineStr">
        <is>
          <t>Labor</t>
        </is>
      </c>
      <c r="P19" s="253" t="inlineStr">
        <is>
          <t>Dia Carat</t>
        </is>
      </c>
      <c r="Q19" s="254" t="inlineStr">
        <is>
          <t>Extra Cost</t>
        </is>
      </c>
      <c r="R19" s="254" t="inlineStr">
        <is>
          <t>Dia Packaging Cost</t>
        </is>
      </c>
      <c r="S19" s="254" t="inlineStr">
        <is>
          <t>Dia Handling Service Fee</t>
        </is>
      </c>
      <c r="T19" s="254" t="inlineStr">
        <is>
          <t>Wire
Cost</t>
        </is>
      </c>
      <c r="U19" s="254" t="inlineStr">
        <is>
          <t>Plating Cost</t>
        </is>
      </c>
      <c r="V19" s="254" t="inlineStr">
        <is>
          <t>Stone
Cost</t>
        </is>
      </c>
      <c r="W19" s="254" t="inlineStr">
        <is>
          <t>Setting
Cost</t>
        </is>
      </c>
      <c r="X19" s="255" t="inlineStr">
        <is>
          <t>Labor
Cost</t>
        </is>
      </c>
      <c r="Y19" s="256" t="inlineStr">
        <is>
          <t>Gold &amp; 5%
Cost</t>
        </is>
      </c>
      <c r="Z19" s="255" t="inlineStr">
        <is>
          <t>Current Gold &amp;
5% Cost</t>
        </is>
      </c>
      <c r="AA19" s="269" t="n"/>
      <c r="AB19" s="269" t="n"/>
      <c r="AC19" s="269" t="n"/>
      <c r="AD19" s="269" t="n"/>
      <c r="AE19" s="269" t="n"/>
      <c r="AG19" s="270" t="n"/>
    </row>
    <row r="20" ht="27.75" customFormat="1" customHeight="1" s="257">
      <c r="A20" s="258" t="inlineStr">
        <is>
          <t>IDD250428RM-3-14K</t>
        </is>
      </c>
      <c r="B20" s="259" t="inlineStr">
        <is>
          <t>K0098B140 OV 7"</t>
        </is>
      </c>
      <c r="C20" s="259" t="inlineStr">
        <is>
          <t>FSBG5232P -7A</t>
        </is>
      </c>
      <c r="D20" s="259" t="n">
        <v>148857</v>
      </c>
      <c r="E20" s="259" t="n">
        <v>103</v>
      </c>
      <c r="F20" s="259" t="inlineStr">
        <is>
          <t>14K RG</t>
        </is>
      </c>
      <c r="G20" s="260" t="n">
        <v>1</v>
      </c>
      <c r="H20" s="281" t="n">
        <v>5.03</v>
      </c>
      <c r="I20" s="281" t="n"/>
      <c r="J20" s="281" t="n">
        <v>0.33</v>
      </c>
      <c r="K20" s="282">
        <f>H20-I20-J20</f>
        <v/>
      </c>
      <c r="L20" s="263" t="n"/>
      <c r="M20" s="263" t="n"/>
      <c r="N20" s="264" t="n"/>
      <c r="O20" s="265" t="n">
        <v>11.5</v>
      </c>
      <c r="P20" s="266" t="n"/>
      <c r="Q20" s="267" t="n"/>
      <c r="R20" s="267" t="n"/>
      <c r="S20" s="267" t="n"/>
      <c r="T20" s="267">
        <f>2.3*G20</f>
        <v/>
      </c>
      <c r="U20" s="267" t="n"/>
      <c r="V20" s="267" t="n"/>
      <c r="W20" s="267" t="n"/>
      <c r="X20" s="267">
        <f>K20*O20</f>
        <v/>
      </c>
      <c r="Y20" s="267">
        <f>($Y$18/31.1035*IF(LEFT(F20,3)="10K",(0.417*1.07*K20),IF(LEFT(F20,3)="14K",(0.585*1.05*K20),IF(LEFT(F20,3)="18K",(0.75*1.05*K20),0))))*0.5</f>
        <v/>
      </c>
      <c r="Z20" s="268">
        <f>($Z$18/31.1035*IF(LEFT(F20,3)="10K",(0.417*1.07*K20),IF(LEFT(F20,3)="14K",(0.585*1.05*K20),IF(LEFT(F20,3)="18K",(0.75*1.05*K20),0))))*0.5</f>
        <v/>
      </c>
      <c r="AA20" s="269">
        <f>2*K20</f>
        <v/>
      </c>
      <c r="AB20" s="269" t="n">
        <v>46.95</v>
      </c>
      <c r="AC20" s="269" t="n">
        <v>207.8622</v>
      </c>
      <c r="AD20" s="269" t="n">
        <v>254.8122</v>
      </c>
      <c r="AE20" s="269">
        <f>IF(LEFT(F20,3)="10K",(0.417*1.07*K20),IF(LEFT(F20,3)="14K",(0.585*1.05*K20),IF(LEFT(F20,3)="18K",(0.75*1.05*K20),0)))</f>
        <v/>
      </c>
      <c r="AG20" s="270">
        <f>X20</f>
        <v/>
      </c>
    </row>
    <row r="21" ht="15.75" customFormat="1" customHeight="1" s="271">
      <c r="A21" s="272" t="inlineStr">
        <is>
          <t>SUBTOTAL</t>
        </is>
      </c>
      <c r="B21" s="273" t="n"/>
      <c r="C21" s="273" t="n"/>
      <c r="D21" s="273" t="n"/>
      <c r="E21" s="273" t="n"/>
      <c r="F21" s="273" t="n"/>
      <c r="G21" s="274">
        <f>SUM(G20)</f>
        <v/>
      </c>
      <c r="H21" s="283" t="n"/>
      <c r="I21" s="283" t="n"/>
      <c r="J21" s="283" t="n"/>
      <c r="K21" s="283">
        <f>SUM(K20)</f>
        <v/>
      </c>
      <c r="L21" s="276" t="n"/>
      <c r="M21" s="276" t="n"/>
      <c r="N21" s="276" t="n"/>
      <c r="O21" s="277" t="n"/>
      <c r="P21" s="278">
        <f>SUM(P20)</f>
        <v/>
      </c>
      <c r="Q21" s="279">
        <f>SUM(Q20)</f>
        <v/>
      </c>
      <c r="R21" s="279">
        <f>SUM(R20)</f>
        <v/>
      </c>
      <c r="S21" s="279">
        <f>SUM(S20)</f>
        <v/>
      </c>
      <c r="T21" s="279">
        <f>SUM(T20)</f>
        <v/>
      </c>
      <c r="U21" s="279">
        <f>SUM(U20)</f>
        <v/>
      </c>
      <c r="V21" s="279">
        <f>SUM(V20)</f>
        <v/>
      </c>
      <c r="W21" s="279">
        <f>SUM(W20)</f>
        <v/>
      </c>
      <c r="X21" s="279">
        <f>SUM(X20)</f>
        <v/>
      </c>
      <c r="Y21" s="279">
        <f>SUM(Y20)</f>
        <v/>
      </c>
      <c r="Z21" s="280">
        <f>SUM(Z20)</f>
        <v/>
      </c>
      <c r="AA21" s="269" t="n"/>
      <c r="AB21" s="269" t="n"/>
      <c r="AC21" s="269" t="n"/>
      <c r="AD21" s="269" t="n"/>
      <c r="AE21" s="269" t="n"/>
      <c r="AG21" s="270" t="n"/>
    </row>
    <row r="22" ht="15.75" customHeight="1" s="240">
      <c r="A22" s="241" t="inlineStr">
        <is>
          <t>Buyer Dia</t>
        </is>
      </c>
      <c r="K22" s="242" t="n"/>
      <c r="L22" s="243" t="n"/>
      <c r="M22" s="243" t="n"/>
      <c r="N22" s="243" t="n"/>
      <c r="W22" s="244" t="n"/>
      <c r="X22" s="245" t="inlineStr">
        <is>
          <t>20th Jan London AM + 2%</t>
        </is>
      </c>
      <c r="Y22" s="246">
        <f>2707.5*1.02</f>
        <v/>
      </c>
      <c r="Z22" s="246">
        <f>2707.5*1.02</f>
        <v/>
      </c>
      <c r="AA22" s="269" t="n"/>
      <c r="AB22" s="269" t="n"/>
      <c r="AC22" s="269" t="n"/>
      <c r="AD22" s="269" t="n"/>
      <c r="AE22" s="269" t="n"/>
      <c r="AG22" s="270" t="n"/>
    </row>
    <row r="23" ht="27" customFormat="1" customHeight="1" s="247">
      <c r="A23" s="248" t="inlineStr">
        <is>
          <t>PO#</t>
        </is>
      </c>
      <c r="B23" s="249" t="inlineStr">
        <is>
          <t>Item No.</t>
        </is>
      </c>
      <c r="C23" s="249" t="inlineStr">
        <is>
          <t>Buyer No.</t>
        </is>
      </c>
      <c r="D23" s="249" t="inlineStr">
        <is>
          <t>Buyer PO</t>
        </is>
      </c>
      <c r="E23" s="249" t="inlineStr">
        <is>
          <t>IDD PO SERIAL#</t>
        </is>
      </c>
      <c r="F23" s="249" t="inlineStr">
        <is>
          <t>Metal</t>
        </is>
      </c>
      <c r="G23" s="249" t="inlineStr">
        <is>
          <t>Q'ty</t>
        </is>
      </c>
      <c r="H23" s="250" t="inlineStr">
        <is>
          <t>Total w't</t>
        </is>
      </c>
      <c r="I23" s="250" t="inlineStr">
        <is>
          <t>Dia w't</t>
        </is>
      </c>
      <c r="J23" s="250" t="inlineStr">
        <is>
          <t>Wire w't</t>
        </is>
      </c>
      <c r="K23" s="250" t="inlineStr">
        <is>
          <t>Gold w't</t>
        </is>
      </c>
      <c r="L23" s="251" t="inlineStr">
        <is>
          <t>Stone</t>
        </is>
      </c>
      <c r="M23" s="251" t="inlineStr">
        <is>
          <t>Color</t>
        </is>
      </c>
      <c r="N23" s="251" t="inlineStr">
        <is>
          <t>Stone Q'ty</t>
        </is>
      </c>
      <c r="O23" s="252" t="inlineStr">
        <is>
          <t>Labor</t>
        </is>
      </c>
      <c r="P23" s="253" t="inlineStr">
        <is>
          <t>Dia Carat</t>
        </is>
      </c>
      <c r="Q23" s="254" t="inlineStr">
        <is>
          <t>Extra Cost</t>
        </is>
      </c>
      <c r="R23" s="254" t="inlineStr">
        <is>
          <t>Dia Packaging Cost</t>
        </is>
      </c>
      <c r="S23" s="254" t="inlineStr">
        <is>
          <t>Dia Handling Service Fee</t>
        </is>
      </c>
      <c r="T23" s="254" t="inlineStr">
        <is>
          <t>Wire
Cost</t>
        </is>
      </c>
      <c r="U23" s="254" t="inlineStr">
        <is>
          <t>Plating Cost</t>
        </is>
      </c>
      <c r="V23" s="254" t="inlineStr">
        <is>
          <t>Stone
Cost</t>
        </is>
      </c>
      <c r="W23" s="254" t="inlineStr">
        <is>
          <t>Setting
Cost</t>
        </is>
      </c>
      <c r="X23" s="255" t="inlineStr">
        <is>
          <t>Labor
Cost</t>
        </is>
      </c>
      <c r="Y23" s="256" t="inlineStr">
        <is>
          <t>Gold &amp; 5%
Cost</t>
        </is>
      </c>
      <c r="Z23" s="255" t="inlineStr">
        <is>
          <t>Current Gold &amp;
5% Cost</t>
        </is>
      </c>
      <c r="AA23" s="269" t="n"/>
      <c r="AB23" s="269" t="n"/>
      <c r="AC23" s="269" t="n"/>
      <c r="AD23" s="269" t="n"/>
      <c r="AE23" s="269" t="n"/>
      <c r="AG23" s="270" t="n"/>
    </row>
    <row r="24" ht="27.75" customFormat="1" customHeight="1" s="257">
      <c r="A24" s="258" t="inlineStr">
        <is>
          <t>IDD250115RB-4-14K</t>
        </is>
      </c>
      <c r="B24" s="259" t="inlineStr">
        <is>
          <t>K01588B01 OV F 6.75"</t>
        </is>
      </c>
      <c r="C24" s="259" t="inlineStr">
        <is>
          <t>FSBG5182S8WY</t>
        </is>
      </c>
      <c r="D24" s="259" t="inlineStr">
        <is>
          <t>VPO#147501</t>
        </is>
      </c>
      <c r="E24" s="259" t="n">
        <v>114</v>
      </c>
      <c r="F24" s="259" t="inlineStr">
        <is>
          <t>14K WYG</t>
        </is>
      </c>
      <c r="G24" s="260" t="n">
        <v>1</v>
      </c>
      <c r="H24" s="281" t="n">
        <v>7.62</v>
      </c>
      <c r="I24" s="281" t="n">
        <v>0.42</v>
      </c>
      <c r="J24" s="281" t="n">
        <v>0.32</v>
      </c>
      <c r="K24" s="282">
        <f>H24-I24-J24</f>
        <v/>
      </c>
      <c r="L24" s="263" t="inlineStr">
        <is>
          <t>1.90mm
2.00mm</t>
        </is>
      </c>
      <c r="M24" s="263" t="inlineStr">
        <is>
          <t>W
W</t>
        </is>
      </c>
      <c r="N24" s="264" t="inlineStr">
        <is>
          <t>62pcs
13pcs</t>
        </is>
      </c>
      <c r="O24" s="265">
        <f>9+2</f>
        <v/>
      </c>
      <c r="P24" s="266" t="n">
        <v>2.115</v>
      </c>
      <c r="Q24" s="267" t="n"/>
      <c r="R24" s="267" t="n"/>
      <c r="S24" s="267">
        <f>G24*0.02*(62+13)</f>
        <v/>
      </c>
      <c r="T24" s="267">
        <f>G24*2</f>
        <v/>
      </c>
      <c r="U24" s="267">
        <f>IF(RIGHT(F24,2)="WG",K24*$AB$4,IF(RIGHT(F24,3)="WRG",K24*$AB$4+3*G24,IF(RIGHT(F24,3)="WYG",K24*$AB$4+3*G24,IF(RIGHT(F24,3)="WYR",K24*$AB$4+3*G24,0))))</f>
        <v/>
      </c>
      <c r="V24" s="267" t="n"/>
      <c r="W24" s="267">
        <f>G24*(62*0.3+13*1)</f>
        <v/>
      </c>
      <c r="X24" s="267">
        <f>K24*O24</f>
        <v/>
      </c>
      <c r="Y24" s="267">
        <f>($Y$22/31.1035*IF(LEFT(F24,3)="10K",(0.417*1.07*K24),IF(LEFT(F24,3)="14K",(0.585*1.05*K24),IF(LEFT(F24,3)="18K",(0.75*1.05*K24),0))))*0.5</f>
        <v/>
      </c>
      <c r="Z24" s="268">
        <f>($Z$22/31.1035*IF(LEFT(F24,3)="10K",(0.417*1.07*K24),IF(LEFT(F24,3)="14K",(0.585*1.05*K24),IF(LEFT(F24,3)="18K",(0.75*1.05*K24),0))))*0.5</f>
        <v/>
      </c>
      <c r="AA24" s="269">
        <f>2*K24</f>
        <v/>
      </c>
      <c r="AB24" s="269" t="n">
        <v>101.6712</v>
      </c>
      <c r="AC24" s="269" t="n">
        <v>1044.3918905029</v>
      </c>
      <c r="AD24" s="269" t="n">
        <v>1146.0630905029</v>
      </c>
      <c r="AE24" s="269">
        <f>IF(LEFT(F24,3)="10K",(0.417*1.07*K24),IF(LEFT(F24,3)="14K",(0.585*1.05*K24),IF(LEFT(F24,3)="18K",(0.75*1.05*K24),0)))</f>
        <v/>
      </c>
      <c r="AG24" s="270">
        <f>X24</f>
        <v/>
      </c>
    </row>
    <row r="25" ht="15.75" customFormat="1" customHeight="1" s="271">
      <c r="A25" s="272" t="inlineStr">
        <is>
          <t>SUBTOTAL</t>
        </is>
      </c>
      <c r="B25" s="273" t="n"/>
      <c r="C25" s="273" t="n"/>
      <c r="D25" s="273" t="n"/>
      <c r="E25" s="273" t="n"/>
      <c r="F25" s="273" t="n"/>
      <c r="G25" s="274">
        <f>SUM(G24)</f>
        <v/>
      </c>
      <c r="H25" s="283" t="n"/>
      <c r="I25" s="283" t="n"/>
      <c r="J25" s="283" t="n"/>
      <c r="K25" s="283">
        <f>SUM(K24)</f>
        <v/>
      </c>
      <c r="L25" s="276" t="n"/>
      <c r="M25" s="276" t="n"/>
      <c r="N25" s="276" t="n"/>
      <c r="O25" s="277" t="n"/>
      <c r="P25" s="278">
        <f>SUM(P24)</f>
        <v/>
      </c>
      <c r="Q25" s="279">
        <f>SUM(Q24)</f>
        <v/>
      </c>
      <c r="R25" s="279">
        <f>SUM(R24)</f>
        <v/>
      </c>
      <c r="S25" s="279">
        <f>SUM(S24)</f>
        <v/>
      </c>
      <c r="T25" s="279">
        <f>SUM(T24)</f>
        <v/>
      </c>
      <c r="U25" s="279">
        <f>SUM(U24)</f>
        <v/>
      </c>
      <c r="V25" s="279">
        <f>SUM(V24)</f>
        <v/>
      </c>
      <c r="W25" s="279">
        <f>SUM(W24)</f>
        <v/>
      </c>
      <c r="X25" s="279">
        <f>SUM(X24)</f>
        <v/>
      </c>
      <c r="Y25" s="279">
        <f>SUM(Y24)</f>
        <v/>
      </c>
      <c r="Z25" s="280">
        <f>SUM(Z24)</f>
        <v/>
      </c>
      <c r="AA25" s="269" t="n"/>
      <c r="AB25" s="269" t="n"/>
      <c r="AC25" s="269" t="n"/>
      <c r="AD25" s="269" t="n"/>
      <c r="AE25" s="269" t="n"/>
      <c r="AG25" s="270" t="n"/>
    </row>
    <row r="26" ht="15.75" customHeight="1" s="240">
      <c r="A26" s="241" t="inlineStr">
        <is>
          <t>Buyer Dia</t>
        </is>
      </c>
      <c r="K26" s="242" t="n"/>
      <c r="L26" s="243" t="n"/>
      <c r="M26" s="243" t="n"/>
      <c r="N26" s="243" t="n"/>
      <c r="W26" s="244" t="n"/>
      <c r="X26" s="245" t="inlineStr">
        <is>
          <t>7th Mar London AM + 2%</t>
        </is>
      </c>
      <c r="Y26" s="246">
        <f>2918.5*1.02</f>
        <v/>
      </c>
      <c r="Z26" s="246">
        <f>2918.5*1.02</f>
        <v/>
      </c>
      <c r="AA26" s="269" t="n"/>
      <c r="AB26" s="269" t="n"/>
      <c r="AC26" s="269" t="n"/>
      <c r="AD26" s="269" t="n"/>
      <c r="AE26" s="269" t="n"/>
      <c r="AG26" s="270" t="n"/>
    </row>
    <row r="27" ht="27" customFormat="1" customHeight="1" s="247">
      <c r="A27" s="248" t="inlineStr">
        <is>
          <t>PO#</t>
        </is>
      </c>
      <c r="B27" s="249" t="inlineStr">
        <is>
          <t>Item No.</t>
        </is>
      </c>
      <c r="C27" s="249" t="inlineStr">
        <is>
          <t>Buyer No.</t>
        </is>
      </c>
      <c r="D27" s="249" t="inlineStr">
        <is>
          <t>Buyer PO</t>
        </is>
      </c>
      <c r="E27" s="249" t="inlineStr">
        <is>
          <t>IDD PO SERIAL#</t>
        </is>
      </c>
      <c r="F27" s="249" t="inlineStr">
        <is>
          <t>Metal</t>
        </is>
      </c>
      <c r="G27" s="249" t="inlineStr">
        <is>
          <t>Q'ty</t>
        </is>
      </c>
      <c r="H27" s="250" t="inlineStr">
        <is>
          <t>Total w't</t>
        </is>
      </c>
      <c r="I27" s="250" t="inlineStr">
        <is>
          <t>Dia w't</t>
        </is>
      </c>
      <c r="J27" s="250" t="inlineStr">
        <is>
          <t>Wire w't</t>
        </is>
      </c>
      <c r="K27" s="250" t="inlineStr">
        <is>
          <t>Gold w't</t>
        </is>
      </c>
      <c r="L27" s="251" t="inlineStr">
        <is>
          <t>Stone</t>
        </is>
      </c>
      <c r="M27" s="251" t="inlineStr">
        <is>
          <t>Color</t>
        </is>
      </c>
      <c r="N27" s="251" t="inlineStr">
        <is>
          <t>Stone Q'ty</t>
        </is>
      </c>
      <c r="O27" s="252" t="inlineStr">
        <is>
          <t>Labor</t>
        </is>
      </c>
      <c r="P27" s="253" t="inlineStr">
        <is>
          <t>Dia Carat</t>
        </is>
      </c>
      <c r="Q27" s="254" t="inlineStr">
        <is>
          <t>Extra Cost</t>
        </is>
      </c>
      <c r="R27" s="254" t="inlineStr">
        <is>
          <t>Dia Packaging Cost</t>
        </is>
      </c>
      <c r="S27" s="254" t="inlineStr">
        <is>
          <t>Dia Handling Cost</t>
        </is>
      </c>
      <c r="T27" s="254" t="inlineStr">
        <is>
          <t>Wire
Cost</t>
        </is>
      </c>
      <c r="U27" s="254" t="inlineStr">
        <is>
          <t>Plating Cost</t>
        </is>
      </c>
      <c r="V27" s="254" t="inlineStr">
        <is>
          <t>Stone
Cost</t>
        </is>
      </c>
      <c r="W27" s="254" t="inlineStr">
        <is>
          <t>Setting
Cost</t>
        </is>
      </c>
      <c r="X27" s="255" t="inlineStr">
        <is>
          <t>Labor
Cost</t>
        </is>
      </c>
      <c r="Y27" s="256" t="inlineStr">
        <is>
          <t>Gold &amp; 5%
Cost</t>
        </is>
      </c>
      <c r="Z27" s="255" t="inlineStr">
        <is>
          <t>Current Gold &amp;
5% Cost</t>
        </is>
      </c>
      <c r="AA27" s="269" t="n"/>
      <c r="AB27" s="269" t="n"/>
      <c r="AC27" s="269" t="n"/>
      <c r="AD27" s="269" t="n"/>
      <c r="AE27" s="269" t="n"/>
      <c r="AG27" s="270" t="n"/>
    </row>
    <row r="28" ht="41.25" customFormat="1" customHeight="1" s="257">
      <c r="A28" s="258" t="inlineStr">
        <is>
          <t>IDD250303RB-2-14K</t>
        </is>
      </c>
      <c r="B28" s="259" t="inlineStr">
        <is>
          <t>K02303B01 OV 6.50"</t>
        </is>
      </c>
      <c r="C28" s="259" t="inlineStr">
        <is>
          <t>FSBG5283K6W-6C</t>
        </is>
      </c>
      <c r="D28" s="259" t="inlineStr">
        <is>
          <t>VPO#148137</t>
        </is>
      </c>
      <c r="E28" s="259" t="n">
        <v>104</v>
      </c>
      <c r="F28" s="259" t="inlineStr">
        <is>
          <t>14K WG</t>
        </is>
      </c>
      <c r="G28" s="260" t="n">
        <v>3</v>
      </c>
      <c r="H28" s="261" t="n">
        <v>21.56</v>
      </c>
      <c r="I28" s="261" t="n">
        <v>0.93</v>
      </c>
      <c r="J28" s="261" t="n">
        <v>0.93</v>
      </c>
      <c r="K28" s="262">
        <f>H28-I28-J28</f>
        <v/>
      </c>
      <c r="L28" s="263" t="inlineStr">
        <is>
          <t>2.10mm
MQ 4.10*2.30</t>
        </is>
      </c>
      <c r="M28" s="263" t="inlineStr">
        <is>
          <t>W
W</t>
        </is>
      </c>
      <c r="N28" s="264" t="inlineStr">
        <is>
          <t>12pcs
11pcs</t>
        </is>
      </c>
      <c r="O28" s="265" t="n">
        <v>8.5</v>
      </c>
      <c r="P28" s="266" t="n">
        <v>4.64</v>
      </c>
      <c r="Q28" s="267" t="n"/>
      <c r="R28" s="267" t="n"/>
      <c r="S28" s="267">
        <f>G28*0.02*(12+11)</f>
        <v/>
      </c>
      <c r="T28" s="267">
        <f>G28*2</f>
        <v/>
      </c>
      <c r="U28" s="267">
        <f>IF(RIGHT(F28,2)="WG",K28*$AB$4,IF(RIGHT(F28,3)="WRG",K28*$AB$4+3*G28,IF(RIGHT(F28,3)="WYG",K28*$AB$4+3*G28,IF(RIGHT(F28,3)="WYR",K28*$AB$4+3*G28,0))))</f>
        <v/>
      </c>
      <c r="V28" s="267" t="n"/>
      <c r="W28" s="267">
        <f>G28*(12*1+11*8)</f>
        <v/>
      </c>
      <c r="X28" s="267">
        <f>K28*O28</f>
        <v/>
      </c>
      <c r="Y28" s="267">
        <f>($Y$26/31.1035*IF(LEFT(F28,3)="10K",(0.417*1.07*K28),IF(LEFT(F28,3)="14K",(0.585*1.05*K28),IF(LEFT(F28,3)="18K",(0.75*1.05*K28),0))))*0.5</f>
        <v/>
      </c>
      <c r="Z28" s="268">
        <f>($Z$26/31.1035*IF(LEFT(F28,3)="10K",(0.417*1.07*K28),IF(LEFT(F28,3)="14K",(0.585*1.05*K28),IF(LEFT(F28,3)="18K",(0.75*1.05*K28),0))))*0.5</f>
        <v/>
      </c>
      <c r="AA28" s="269">
        <f>2*K28</f>
        <v/>
      </c>
      <c r="AB28" s="269" t="n">
        <v>440.158</v>
      </c>
      <c r="AC28" s="269" t="n">
        <v>2494.96044053591</v>
      </c>
      <c r="AD28" s="269" t="n">
        <v>2935.11844053591</v>
      </c>
      <c r="AE28" s="269">
        <f>IF(LEFT(F28,3)="10K",(0.417*1.07*K28),IF(LEFT(F28,3)="14K",(0.585*1.05*K28),IF(LEFT(F28,3)="18K",(0.75*1.05*K28),0)))</f>
        <v/>
      </c>
      <c r="AG28" s="270">
        <f>X28</f>
        <v/>
      </c>
    </row>
    <row r="29" ht="27" customFormat="1" customHeight="1" s="257">
      <c r="A29" s="258" t="n">
        <v>6</v>
      </c>
      <c r="B29" s="259" t="inlineStr">
        <is>
          <t>K0098B639 6.50"</t>
        </is>
      </c>
      <c r="C29" s="259" t="inlineStr">
        <is>
          <t>FSBG5349S8W-6C</t>
        </is>
      </c>
      <c r="D29" s="259" t="inlineStr">
        <is>
          <t>VPO#148137</t>
        </is>
      </c>
      <c r="E29" s="259" t="n">
        <v>108</v>
      </c>
      <c r="F29" s="259" t="inlineStr">
        <is>
          <t>14K WG</t>
        </is>
      </c>
      <c r="G29" s="260" t="n">
        <v>2</v>
      </c>
      <c r="H29" s="261" t="n">
        <v>13.78</v>
      </c>
      <c r="I29" s="261" t="n">
        <v>0.22</v>
      </c>
      <c r="J29" s="261" t="n">
        <v>0.86</v>
      </c>
      <c r="K29" s="262">
        <f>H29-I29-J29</f>
        <v/>
      </c>
      <c r="L29" s="263" t="n">
        <v>1.5</v>
      </c>
      <c r="M29" s="263" t="inlineStr">
        <is>
          <t>W</t>
        </is>
      </c>
      <c r="N29" s="264" t="n">
        <v>39</v>
      </c>
      <c r="O29" s="265">
        <f>9.5+2</f>
        <v/>
      </c>
      <c r="P29" s="266" t="n">
        <v>1.07</v>
      </c>
      <c r="Q29" s="267" t="n"/>
      <c r="R29" s="267" t="n"/>
      <c r="S29" s="267">
        <f>G29*0.02*N29</f>
        <v/>
      </c>
      <c r="T29" s="267">
        <f>G29*2</f>
        <v/>
      </c>
      <c r="U29" s="267">
        <f>IF(RIGHT(F29,2)="WG",K29*$AB$4,IF(RIGHT(F29,3)="WRG",K29*$AB$4+3*G29,IF(RIGHT(F29,3)="WYG",K29*$AB$4+3*G29,IF(RIGHT(F29,3)="WYR",K29*$AB$4+3*G29,0))))</f>
        <v/>
      </c>
      <c r="V29" s="267" t="n"/>
      <c r="W29" s="267">
        <f>G29*N29*0.3</f>
        <v/>
      </c>
      <c r="X29" s="267">
        <f>K29*O29</f>
        <v/>
      </c>
      <c r="Y29" s="267">
        <f>($Y$26/31.1035*IF(LEFT(F29,3)="10K",(0.417*1.07*K29),IF(LEFT(F29,3)="14K",(0.585*1.05*K29),IF(LEFT(F29,3)="18K",(0.75*1.05*K29),0))))*0.5</f>
        <v/>
      </c>
      <c r="Z29" s="268">
        <f>($Z$26/31.1035*IF(LEFT(F29,3)="10K",(0.417*1.07*K29),IF(LEFT(F29,3)="14K",(0.585*1.05*K29),IF(LEFT(F29,3)="18K",(0.75*1.05*K29),0))))*0.5</f>
        <v/>
      </c>
      <c r="AA29" s="269">
        <f>2*K29</f>
        <v/>
      </c>
      <c r="AB29" s="269" t="n">
        <v>152.658</v>
      </c>
      <c r="AC29" s="269" t="n">
        <v>936.102919261514</v>
      </c>
      <c r="AD29" s="269" t="n">
        <v>1088.76091926151</v>
      </c>
      <c r="AE29" s="269">
        <f>IF(LEFT(F29,3)="10K",(0.417*1.07*K29),IF(LEFT(F29,3)="14K",(0.585*1.05*K29),IF(LEFT(F29,3)="18K",(0.75*1.05*K29),0)))</f>
        <v/>
      </c>
      <c r="AG29" s="270">
        <f>X29</f>
        <v/>
      </c>
    </row>
    <row r="30" ht="27" customFormat="1" customHeight="1" s="257">
      <c r="A30" s="258" t="n">
        <v>8</v>
      </c>
      <c r="B30" s="259" t="inlineStr">
        <is>
          <t>K0634B01 OV 7.50"</t>
        </is>
      </c>
      <c r="C30" s="259" t="inlineStr">
        <is>
          <t>FSBG5045S8Y-7C</t>
        </is>
      </c>
      <c r="D30" s="259" t="inlineStr">
        <is>
          <t>VPO#148137</t>
        </is>
      </c>
      <c r="E30" s="259" t="n">
        <v>110</v>
      </c>
      <c r="F30" s="259" t="inlineStr">
        <is>
          <t>14K YG</t>
        </is>
      </c>
      <c r="G30" s="260" t="n">
        <v>1</v>
      </c>
      <c r="H30" s="261" t="n">
        <v>7.37</v>
      </c>
      <c r="I30" s="261" t="n">
        <v>0.04</v>
      </c>
      <c r="J30" s="261" t="n">
        <v>0.36</v>
      </c>
      <c r="K30" s="262">
        <f>H30-I30-J30</f>
        <v/>
      </c>
      <c r="L30" s="263" t="n">
        <v>1.5</v>
      </c>
      <c r="M30" s="263" t="inlineStr">
        <is>
          <t>W</t>
        </is>
      </c>
      <c r="N30" s="264" t="n">
        <v>13</v>
      </c>
      <c r="O30" s="265">
        <f>9.5+2</f>
        <v/>
      </c>
      <c r="P30" s="266" t="n">
        <v>0.18</v>
      </c>
      <c r="Q30" s="267" t="n"/>
      <c r="R30" s="267" t="n"/>
      <c r="S30" s="267">
        <f>G30*0.02*N30</f>
        <v/>
      </c>
      <c r="T30" s="267">
        <f>G30*2</f>
        <v/>
      </c>
      <c r="U30" s="267">
        <f>IF(RIGHT(F30,2)="WG",K30*$AB$4,IF(RIGHT(F30,3)="WRG",K30*$AB$4+3*G30,IF(RIGHT(F30,3)="WYG",K30*$AB$4+3*G30,IF(RIGHT(F30,3)="WYR",K30*$AB$4+3*G30,0))))</f>
        <v/>
      </c>
      <c r="V30" s="267" t="n"/>
      <c r="W30" s="267">
        <f>G30*N30*0.3</f>
        <v/>
      </c>
      <c r="X30" s="267">
        <f>K30*O30</f>
        <v/>
      </c>
      <c r="Y30" s="267">
        <f>($Y$26/31.1035*IF(LEFT(F30,3)="10K",(0.417*1.07*K30),IF(LEFT(F30,3)="14K",(0.585*1.05*K30),IF(LEFT(F30,3)="18K",(0.75*1.05*K30),0))))*0.5</f>
        <v/>
      </c>
      <c r="Z30" s="268">
        <f>($Z$26/31.1035*IF(LEFT(F30,3)="10K",(0.417*1.07*K30),IF(LEFT(F30,3)="14K",(0.585*1.05*K30),IF(LEFT(F30,3)="18K",(0.75*1.05*K30),0))))*0.5</f>
        <v/>
      </c>
      <c r="AA30" s="269">
        <f>2*K30</f>
        <v/>
      </c>
      <c r="AB30" s="269" t="n">
        <v>72.375</v>
      </c>
      <c r="AC30" s="269" t="n">
        <v>371.243901744928</v>
      </c>
      <c r="AD30" s="269" t="n">
        <v>443.618901744928</v>
      </c>
      <c r="AE30" s="269">
        <f>IF(LEFT(F30,3)="10K",(0.417*1.07*K30),IF(LEFT(F30,3)="14K",(0.585*1.05*K30),IF(LEFT(F30,3)="18K",(0.75*1.05*K30),0)))</f>
        <v/>
      </c>
      <c r="AG30" s="270">
        <f>X30</f>
        <v/>
      </c>
    </row>
    <row r="31" ht="192.75" customFormat="1" customHeight="1" s="257">
      <c r="A31" s="258" t="n">
        <v>9</v>
      </c>
      <c r="B31" s="259" t="inlineStr">
        <is>
          <t>K02575B01 6.50"</t>
        </is>
      </c>
      <c r="C31" s="259" t="inlineStr">
        <is>
          <t>FSBG5358S8P-6C</t>
        </is>
      </c>
      <c r="D31" s="259" t="inlineStr">
        <is>
          <t>VPO#148137</t>
        </is>
      </c>
      <c r="E31" s="259" t="n">
        <v>111</v>
      </c>
      <c r="F31" s="259" t="inlineStr">
        <is>
          <t>14K RG</t>
        </is>
      </c>
      <c r="G31" s="260" t="n">
        <v>1</v>
      </c>
      <c r="H31" s="261" t="n">
        <v>21.54</v>
      </c>
      <c r="I31" s="261" t="n">
        <v>0.15</v>
      </c>
      <c r="J31" s="261" t="n">
        <v>0.9</v>
      </c>
      <c r="K31" s="262">
        <f>H31-I31-J31</f>
        <v/>
      </c>
      <c r="L31" s="263" t="inlineStr">
        <is>
          <t>0.90mm
1.00mm
1.10mm
1.20mm
1.25mm
1.30mm
1.40mm
1.80mm
1.90mm
2.00mm
2.10mm
2.20mm
2.40mm
2.50mm</t>
        </is>
      </c>
      <c r="M31" s="263" t="inlineStr">
        <is>
          <t>W
W
W
W
W
W
W
W
W
W
W
W
W
W</t>
        </is>
      </c>
      <c r="N31" s="264" t="inlineStr">
        <is>
          <t>8pcs
6pcs
6pcs
5pcs
4pcs
3pcs
4pcs
3pcs
3pcs
3pcs
2pcs
1pcs
2pcs
1pcs</t>
        </is>
      </c>
      <c r="O31" s="265">
        <f>8.5+2</f>
        <v/>
      </c>
      <c r="P31" s="266" t="n">
        <v>0.75</v>
      </c>
      <c r="Q31" s="267" t="n"/>
      <c r="R31" s="267" t="n"/>
      <c r="S31" s="267">
        <f>G31*0.02*(8+6+6+5+4+3+4+3+3+3+2+1+2+1)</f>
        <v/>
      </c>
      <c r="T31" s="267">
        <f>G31*4</f>
        <v/>
      </c>
      <c r="U31" s="267">
        <f>IF(RIGHT(F31,2)="WG",K31*$AB$4,IF(RIGHT(F31,3)="WRG",K31*$AB$4+3*G31,IF(RIGHT(F31,3)="WYG",K31*$AB$4+3*G31,IF(RIGHT(F31,3)="WYR",K31*$AB$4+3*G31,0))))</f>
        <v/>
      </c>
      <c r="V31" s="267" t="n"/>
      <c r="W31" s="267">
        <f>G31*(8+6+6+5+4+3+4+3+3+3+2+1+2+1)*1</f>
        <v/>
      </c>
      <c r="X31" s="267">
        <f>K31*O31</f>
        <v/>
      </c>
      <c r="Y31" s="267">
        <f>($Y$26/31.1035*IF(LEFT(F31,3)="10K",(0.417*1.07*K31),IF(LEFT(F31,3)="14K",(0.585*1.05*K31),IF(LEFT(F31,3)="18K",(0.75*1.05*K31),0))))*0.5</f>
        <v/>
      </c>
      <c r="Z31" s="268">
        <f>($Z$26/31.1035*IF(LEFT(F31,3)="10K",(0.417*1.07*K31),IF(LEFT(F31,3)="14K",(0.585*1.05*K31),IF(LEFT(F31,3)="18K",(0.75*1.05*K31),0))))*0.5</f>
        <v/>
      </c>
      <c r="AA31" s="269">
        <f>2*K31</f>
        <v/>
      </c>
      <c r="AB31" s="269" t="n">
        <v>230.185</v>
      </c>
      <c r="AC31" s="269" t="n">
        <v>1168.64358060386</v>
      </c>
      <c r="AD31" s="269" t="n">
        <v>1398.82858060386</v>
      </c>
      <c r="AE31" s="269">
        <f>IF(LEFT(F31,3)="10K",(0.417*1.07*K31),IF(LEFT(F31,3)="14K",(0.585*1.05*K31),IF(LEFT(F31,3)="18K",(0.75*1.05*K31),0)))</f>
        <v/>
      </c>
      <c r="AG31" s="270">
        <f>X31</f>
        <v/>
      </c>
    </row>
    <row r="32" ht="54.75" customFormat="1" customHeight="1" s="257">
      <c r="A32" s="258" t="n">
        <v>10</v>
      </c>
      <c r="B32" s="259" t="inlineStr">
        <is>
          <t>K0107R41 #6.5-8.0</t>
        </is>
      </c>
      <c r="C32" s="259" t="inlineStr">
        <is>
          <t>FSRT5000OVK6W4</t>
        </is>
      </c>
      <c r="D32" s="259" t="inlineStr">
        <is>
          <t>VPO#148137</t>
        </is>
      </c>
      <c r="E32" s="259" t="n">
        <v>112</v>
      </c>
      <c r="F32" s="259" t="inlineStr">
        <is>
          <t>14K WG</t>
        </is>
      </c>
      <c r="G32" s="260" t="n">
        <v>2</v>
      </c>
      <c r="H32" s="261" t="n">
        <v>14.64</v>
      </c>
      <c r="I32" s="261" t="n">
        <v>1.44</v>
      </c>
      <c r="J32" s="261" t="n">
        <v>0.48</v>
      </c>
      <c r="K32" s="262">
        <f>H32-I32-J32</f>
        <v/>
      </c>
      <c r="L32" s="263" t="inlineStr">
        <is>
          <t>1.50mm
2.30mm
2.80mm
OV 4.0*3.0</t>
        </is>
      </c>
      <c r="M32" s="263" t="inlineStr">
        <is>
          <t>W
W
W
W</t>
        </is>
      </c>
      <c r="N32" s="264" t="inlineStr">
        <is>
          <t>56pcs
2pcs
2pcs
18pcs</t>
        </is>
      </c>
      <c r="O32" s="265">
        <f>10+2</f>
        <v/>
      </c>
      <c r="P32" s="266" t="n">
        <v>7.21</v>
      </c>
      <c r="Q32" s="267" t="n"/>
      <c r="R32" s="267" t="n"/>
      <c r="S32" s="267">
        <f>G32*0.02*(56+2+2+18)</f>
        <v/>
      </c>
      <c r="T32" s="267">
        <f>G32*3</f>
        <v/>
      </c>
      <c r="U32" s="267">
        <f>IF(RIGHT(F32,2)="WG",K32*$AB$4,IF(RIGHT(F32,3)="WRG",K32*$AB$4+3*G32,IF(RIGHT(F32,3)="WYG",K32*$AB$4+3*G32,IF(RIGHT(F32,3)="WYR",K32*$AB$4+3*G32,0))))</f>
        <v/>
      </c>
      <c r="V32" s="267" t="n"/>
      <c r="W32" s="267">
        <f>G32*((56+2)*0.3+2*0.5+18*1)</f>
        <v/>
      </c>
      <c r="X32" s="267">
        <f>K32*O32</f>
        <v/>
      </c>
      <c r="Y32" s="267">
        <f>($Y$26/31.1035*IF(LEFT(F32,3)="10K",(0.417*1.07*K32),IF(LEFT(F32,3)="14K",(0.585*1.05*K32),IF(LEFT(F32,3)="18K",(0.75*1.05*K32),0))))*0.5</f>
        <v/>
      </c>
      <c r="Z32" s="268">
        <f>($Z$26/31.1035*IF(LEFT(F32,3)="10K",(0.417*1.07*K32),IF(LEFT(F32,3)="14K",(0.585*1.05*K32),IF(LEFT(F32,3)="18K",(0.75*1.05*K32),0))))*0.5</f>
        <v/>
      </c>
      <c r="AA32" s="269">
        <f>2*K32</f>
        <v/>
      </c>
      <c r="AB32" s="269" t="n">
        <v>212.1728</v>
      </c>
      <c r="AC32" s="269" t="n">
        <v>3085.60136100515</v>
      </c>
      <c r="AD32" s="269" t="n">
        <v>3297.77416100515</v>
      </c>
      <c r="AE32" s="269">
        <f>IF(LEFT(F32,3)="10K",(0.417*1.07*K32),IF(LEFT(F32,3)="14K",(0.585*1.05*K32),IF(LEFT(F32,3)="18K",(0.75*1.05*K32),0)))</f>
        <v/>
      </c>
      <c r="AG32" s="270">
        <f>X32</f>
        <v/>
      </c>
    </row>
    <row r="33" ht="27" customFormat="1" customHeight="1" s="257">
      <c r="A33" s="258" t="n">
        <v>13</v>
      </c>
      <c r="B33" s="259" t="inlineStr">
        <is>
          <t>K0060B02 6.75"</t>
        </is>
      </c>
      <c r="C33" s="259" t="inlineStr">
        <is>
          <t>FSBG5149S8Y</t>
        </is>
      </c>
      <c r="D33" s="259" t="inlineStr">
        <is>
          <t>VPO#148137</t>
        </is>
      </c>
      <c r="E33" s="259" t="n">
        <v>116</v>
      </c>
      <c r="F33" s="259" t="inlineStr">
        <is>
          <t>14K YG</t>
        </is>
      </c>
      <c r="G33" s="260" t="n">
        <v>1</v>
      </c>
      <c r="H33" s="261" t="n">
        <v>4.57</v>
      </c>
      <c r="I33" s="261" t="n">
        <v>0.04</v>
      </c>
      <c r="J33" s="261" t="n">
        <v>0.75</v>
      </c>
      <c r="K33" s="262">
        <f>H33-I33-J33</f>
        <v/>
      </c>
      <c r="L33" s="263" t="inlineStr">
        <is>
          <t>1.80mm
1.80mm</t>
        </is>
      </c>
      <c r="M33" s="263" t="inlineStr">
        <is>
          <t>W
W</t>
        </is>
      </c>
      <c r="N33" s="264" t="inlineStr">
        <is>
          <t>4pcs
3pcs</t>
        </is>
      </c>
      <c r="O33" s="265">
        <f>8.5+2</f>
        <v/>
      </c>
      <c r="P33" s="266" t="n">
        <v>0.19</v>
      </c>
      <c r="Q33" s="267" t="n"/>
      <c r="R33" s="267" t="n"/>
      <c r="S33" s="267">
        <f>G33*0.02*(4+3)</f>
        <v/>
      </c>
      <c r="T33" s="267">
        <f>G33*2</f>
        <v/>
      </c>
      <c r="U33" s="267">
        <f>IF(RIGHT(F33,2)="WG",K33*$AB$4,IF(RIGHT(F33,3)="WRG",K33*$AB$4+3*G33,IF(RIGHT(F33,3)="WYG",K33*$AB$4+3*G33,IF(RIGHT(F33,3)="WYR",K33*$AB$4+3*G33,0))))</f>
        <v/>
      </c>
      <c r="V33" s="267" t="n"/>
      <c r="W33" s="267">
        <f>G33*(4*0.3+3*1)</f>
        <v/>
      </c>
      <c r="X33" s="267">
        <f>K33*O33</f>
        <v/>
      </c>
      <c r="Y33" s="267">
        <f>($Y$26/31.1035*IF(LEFT(F33,3)="10K",(0.417*1.07*K33),IF(LEFT(F33,3)="14K",(0.585*1.05*K33),IF(LEFT(F33,3)="18K",(0.75*1.05*K33),0))))*0.5</f>
        <v/>
      </c>
      <c r="Z33" s="268">
        <f>($Z$26/31.1035*IF(LEFT(F33,3)="10K",(0.417*1.07*K33),IF(LEFT(F33,3)="14K",(0.585*1.05*K33),IF(LEFT(F33,3)="18K",(0.75*1.05*K33),0))))*0.5</f>
        <v/>
      </c>
      <c r="AA33" s="269">
        <f>2*K33</f>
        <v/>
      </c>
      <c r="AB33" s="269" t="n">
        <v>38.47</v>
      </c>
      <c r="AC33" s="269" t="n">
        <v>233.662332952979</v>
      </c>
      <c r="AD33" s="269" t="n">
        <v>272.132332952979</v>
      </c>
      <c r="AE33" s="269">
        <f>IF(LEFT(F33,3)="10K",(0.417*1.07*K33),IF(LEFT(F33,3)="14K",(0.585*1.05*K33),IF(LEFT(F33,3)="18K",(0.75*1.05*K33),0)))</f>
        <v/>
      </c>
      <c r="AG33" s="270">
        <f>X33</f>
        <v/>
      </c>
    </row>
    <row r="34" ht="27" customFormat="1" customHeight="1" s="257">
      <c r="A34" s="258" t="n">
        <v>17</v>
      </c>
      <c r="B34" s="259" t="inlineStr">
        <is>
          <t>K02291B02 6.75"</t>
        </is>
      </c>
      <c r="C34" s="259" t="inlineStr">
        <is>
          <t>FSBG5278S8Y</t>
        </is>
      </c>
      <c r="D34" s="259" t="inlineStr">
        <is>
          <t>VPO#148137</t>
        </is>
      </c>
      <c r="E34" s="259" t="n">
        <v>122</v>
      </c>
      <c r="F34" s="259" t="inlineStr">
        <is>
          <t>14K YG</t>
        </is>
      </c>
      <c r="G34" s="260" t="n">
        <v>1</v>
      </c>
      <c r="H34" s="261" t="n">
        <v>9.279999999999999</v>
      </c>
      <c r="I34" s="261" t="n">
        <v>0.2</v>
      </c>
      <c r="J34" s="261" t="n">
        <v>0.32</v>
      </c>
      <c r="K34" s="262">
        <f>H34-I34-J34</f>
        <v/>
      </c>
      <c r="L34" s="263" t="n">
        <v>1.85</v>
      </c>
      <c r="M34" s="263" t="inlineStr">
        <is>
          <t>W</t>
        </is>
      </c>
      <c r="N34" s="264" t="n">
        <v>40</v>
      </c>
      <c r="O34" s="265">
        <f>8.5+2</f>
        <v/>
      </c>
      <c r="P34" s="266" t="n">
        <v>1.01</v>
      </c>
      <c r="Q34" s="267" t="n"/>
      <c r="R34" s="267" t="n"/>
      <c r="S34" s="267">
        <f>G34*0.02*N34</f>
        <v/>
      </c>
      <c r="T34" s="267">
        <f>G34*2</f>
        <v/>
      </c>
      <c r="U34" s="267">
        <f>IF(RIGHT(F34,2)="WG",K34*$AB$4,IF(RIGHT(F34,3)="WRG",K34*$AB$4+3*G34,IF(RIGHT(F34,3)="WYG",K34*$AB$4+3*G34,IF(RIGHT(F34,3)="WYR",K34*$AB$4+3*G34,0))))</f>
        <v/>
      </c>
      <c r="V34" s="267" t="n"/>
      <c r="W34" s="267">
        <f>G34*N34*0.3</f>
        <v/>
      </c>
      <c r="X34" s="267">
        <f>K34*O34</f>
        <v/>
      </c>
      <c r="Y34" s="267">
        <f>($Y$26/31.1035*IF(LEFT(F34,3)="10K",(0.417*1.07*K34),IF(LEFT(F34,3)="14K",(0.585*1.05*K34),IF(LEFT(F34,3)="18K",(0.75*1.05*K34),0))))*0.5</f>
        <v/>
      </c>
      <c r="Z34" s="268">
        <f>($Z$26/31.1035*IF(LEFT(F34,3)="10K",(0.417*1.07*K34),IF(LEFT(F34,3)="14K",(0.585*1.05*K34),IF(LEFT(F34,3)="18K",(0.75*1.05*K34),0))))*0.5</f>
        <v/>
      </c>
      <c r="AA34" s="269">
        <f>2*K34</f>
        <v/>
      </c>
      <c r="AB34" s="269" t="n">
        <v>89.26000000000001</v>
      </c>
      <c r="AC34" s="269" t="n">
        <v>740.856252013205</v>
      </c>
      <c r="AD34" s="269" t="n">
        <v>830.116252013205</v>
      </c>
      <c r="AE34" s="269">
        <f>IF(LEFT(F34,3)="10K",(0.417*1.07*K34),IF(LEFT(F34,3)="14K",(0.585*1.05*K34),IF(LEFT(F34,3)="18K",(0.75*1.05*K34),0)))</f>
        <v/>
      </c>
      <c r="AG34" s="270">
        <f>X34</f>
        <v/>
      </c>
    </row>
    <row r="35" ht="27.75" customFormat="1" customHeight="1" s="257">
      <c r="A35" s="258" t="n">
        <v>18</v>
      </c>
      <c r="B35" s="259" t="inlineStr">
        <is>
          <t>K0132B06 OV 6.50"</t>
        </is>
      </c>
      <c r="C35" s="259" t="inlineStr">
        <is>
          <t>FSBG5023S8Y</t>
        </is>
      </c>
      <c r="D35" s="259" t="inlineStr">
        <is>
          <t>VPO#148137</t>
        </is>
      </c>
      <c r="E35" s="259" t="n">
        <v>123</v>
      </c>
      <c r="F35" s="259" t="inlineStr">
        <is>
          <t>14K YG</t>
        </is>
      </c>
      <c r="G35" s="260" t="n">
        <v>3</v>
      </c>
      <c r="H35" s="261" t="n">
        <v>33.21</v>
      </c>
      <c r="I35" s="261" t="n">
        <v>1.64</v>
      </c>
      <c r="J35" s="261" t="n">
        <v>1.95</v>
      </c>
      <c r="K35" s="262">
        <f>H35-I35-J35</f>
        <v/>
      </c>
      <c r="L35" s="263" t="n">
        <v>1.6</v>
      </c>
      <c r="M35" s="263" t="inlineStr">
        <is>
          <t>W</t>
        </is>
      </c>
      <c r="N35" s="264" t="n">
        <v>184</v>
      </c>
      <c r="O35" s="265" t="n">
        <v>8.5</v>
      </c>
      <c r="P35" s="266" t="n">
        <v>8.220000000000001</v>
      </c>
      <c r="Q35" s="267" t="n"/>
      <c r="R35" s="267" t="n"/>
      <c r="S35" s="267">
        <f>G35*0.02*N35</f>
        <v/>
      </c>
      <c r="T35" s="267">
        <f>G35*4</f>
        <v/>
      </c>
      <c r="U35" s="267">
        <f>IF(RIGHT(F35,2)="WG",K35*$AB$4,IF(RIGHT(F35,3)="WRG",K35*$AB$4+3*G35,IF(RIGHT(F35,3)="WYG",K35*$AB$4+3*G35,IF(RIGHT(F35,3)="WYR",K35*$AB$4+3*G35,0))))</f>
        <v/>
      </c>
      <c r="V35" s="267" t="n"/>
      <c r="W35" s="267">
        <f>G35*N35*0.3</f>
        <v/>
      </c>
      <c r="X35" s="267">
        <f>K35*O35</f>
        <v/>
      </c>
      <c r="Y35" s="267">
        <f>($Y$26/31.1035*IF(LEFT(F35,3)="10K",(0.417*1.07*K35),IF(LEFT(F35,3)="14K",(0.585*1.05*K35),IF(LEFT(F35,3)="18K",(0.75*1.05*K35),0))))*0.5</f>
        <v/>
      </c>
      <c r="Z35" s="268">
        <f>($Z$26/31.1035*IF(LEFT(F35,3)="10K",(0.417*1.07*K35),IF(LEFT(F35,3)="14K",(0.585*1.05*K35),IF(LEFT(F35,3)="18K",(0.75*1.05*K35),0))))*0.5</f>
        <v/>
      </c>
      <c r="AA35" s="269">
        <f>2*K35</f>
        <v/>
      </c>
      <c r="AB35" s="269" t="n">
        <v>381.17</v>
      </c>
      <c r="AC35" s="269" t="n">
        <v>4186.45725301836</v>
      </c>
      <c r="AD35" s="269" t="n">
        <v>4567.62725301836</v>
      </c>
      <c r="AE35" s="269">
        <f>IF(LEFT(F35,3)="10K",(0.417*1.07*K35),IF(LEFT(F35,3)="14K",(0.585*1.05*K35),IF(LEFT(F35,3)="18K",(0.75*1.05*K35),0)))</f>
        <v/>
      </c>
      <c r="AG35" s="270">
        <f>X35</f>
        <v/>
      </c>
    </row>
    <row r="36" ht="15.75" customFormat="1" customHeight="1" s="271">
      <c r="A36" s="272" t="inlineStr">
        <is>
          <t>SUBTOTAL</t>
        </is>
      </c>
      <c r="B36" s="273" t="n"/>
      <c r="C36" s="273" t="n"/>
      <c r="D36" s="273" t="n"/>
      <c r="E36" s="273" t="n"/>
      <c r="F36" s="273" t="n"/>
      <c r="G36" s="274">
        <f>SUM(G28:G35)</f>
        <v/>
      </c>
      <c r="H36" s="275" t="n"/>
      <c r="I36" s="275" t="n"/>
      <c r="J36" s="275" t="n"/>
      <c r="K36" s="275">
        <f>SUM(K28:K35)</f>
        <v/>
      </c>
      <c r="L36" s="276" t="n"/>
      <c r="M36" s="276" t="n"/>
      <c r="N36" s="276" t="n"/>
      <c r="O36" s="277" t="n"/>
      <c r="P36" s="278">
        <f>SUM(P28:P35)</f>
        <v/>
      </c>
      <c r="Q36" s="279">
        <f>SUM(Q28:Q35)</f>
        <v/>
      </c>
      <c r="R36" s="279">
        <f>SUM(R28:R35)</f>
        <v/>
      </c>
      <c r="S36" s="279">
        <f>SUM(S28:S35)</f>
        <v/>
      </c>
      <c r="T36" s="279">
        <f>SUM(T28:T35)</f>
        <v/>
      </c>
      <c r="U36" s="279">
        <f>SUM(U28:U35)</f>
        <v/>
      </c>
      <c r="V36" s="279">
        <f>SUM(V28:V35)</f>
        <v/>
      </c>
      <c r="W36" s="279">
        <f>SUM(W28:W35)</f>
        <v/>
      </c>
      <c r="X36" s="279">
        <f>SUM(X28:X35)</f>
        <v/>
      </c>
      <c r="Y36" s="279">
        <f>SUM(Y28:Y35)</f>
        <v/>
      </c>
      <c r="Z36" s="280">
        <f>SUM(Z28:Z35)</f>
        <v/>
      </c>
      <c r="AA36" s="269" t="n"/>
      <c r="AB36" s="269" t="n"/>
      <c r="AC36" s="269" t="n"/>
      <c r="AD36" s="269" t="n"/>
      <c r="AE36" s="269" t="n"/>
      <c r="AG36" s="270" t="n"/>
    </row>
    <row r="37" ht="15.75" customHeight="1" s="240">
      <c r="A37" s="241" t="inlineStr">
        <is>
          <t>Buyer Dia</t>
        </is>
      </c>
      <c r="K37" s="242" t="n"/>
      <c r="L37" s="243" t="n"/>
      <c r="M37" s="243" t="n"/>
      <c r="N37" s="243" t="n"/>
      <c r="W37" s="244" t="n"/>
      <c r="X37" s="245" t="inlineStr">
        <is>
          <t>6th Mar London AM + 2%</t>
        </is>
      </c>
      <c r="Y37" s="246">
        <f>1.02*2901.65</f>
        <v/>
      </c>
      <c r="Z37" s="246">
        <f>1.02*2901.65</f>
        <v/>
      </c>
      <c r="AA37" s="269" t="n"/>
      <c r="AB37" s="269" t="n"/>
      <c r="AC37" s="269" t="n"/>
      <c r="AD37" s="269" t="n"/>
      <c r="AE37" s="269" t="n"/>
      <c r="AG37" s="270" t="n"/>
    </row>
    <row r="38" ht="27" customFormat="1" customHeight="1" s="247">
      <c r="A38" s="248" t="inlineStr">
        <is>
          <t>PO#</t>
        </is>
      </c>
      <c r="B38" s="249" t="inlineStr">
        <is>
          <t>Item No.</t>
        </is>
      </c>
      <c r="C38" s="249" t="inlineStr">
        <is>
          <t>Buyer No.</t>
        </is>
      </c>
      <c r="D38" s="249" t="inlineStr">
        <is>
          <t>Buyer PO</t>
        </is>
      </c>
      <c r="E38" s="249" t="inlineStr">
        <is>
          <t>IDD PO SERIAL#</t>
        </is>
      </c>
      <c r="F38" s="249" t="inlineStr">
        <is>
          <t>Metal</t>
        </is>
      </c>
      <c r="G38" s="249" t="inlineStr">
        <is>
          <t>Q'ty</t>
        </is>
      </c>
      <c r="H38" s="250" t="inlineStr">
        <is>
          <t>Total w't</t>
        </is>
      </c>
      <c r="I38" s="250" t="inlineStr">
        <is>
          <t>Dia w't</t>
        </is>
      </c>
      <c r="J38" s="250" t="inlineStr">
        <is>
          <t>Wire w't</t>
        </is>
      </c>
      <c r="K38" s="250" t="inlineStr">
        <is>
          <t>Gold w't</t>
        </is>
      </c>
      <c r="L38" s="251" t="inlineStr">
        <is>
          <t>Stone</t>
        </is>
      </c>
      <c r="M38" s="251" t="inlineStr">
        <is>
          <t>Color</t>
        </is>
      </c>
      <c r="N38" s="251" t="inlineStr">
        <is>
          <t>Stone Q'ty</t>
        </is>
      </c>
      <c r="O38" s="252" t="inlineStr">
        <is>
          <t>Labor</t>
        </is>
      </c>
      <c r="P38" s="253" t="inlineStr">
        <is>
          <t>Dia Carat</t>
        </is>
      </c>
      <c r="Q38" s="254" t="inlineStr">
        <is>
          <t>Extra Cost</t>
        </is>
      </c>
      <c r="R38" s="254" t="inlineStr">
        <is>
          <t>Dia Packaging Cost</t>
        </is>
      </c>
      <c r="S38" s="254" t="inlineStr">
        <is>
          <t>Dia Handling Cost</t>
        </is>
      </c>
      <c r="T38" s="254" t="inlineStr">
        <is>
          <t>Wire
Cost</t>
        </is>
      </c>
      <c r="U38" s="254" t="inlineStr">
        <is>
          <t>Plating Cost</t>
        </is>
      </c>
      <c r="V38" s="254" t="inlineStr">
        <is>
          <t>Stone
Cost</t>
        </is>
      </c>
      <c r="W38" s="254" t="inlineStr">
        <is>
          <t>Setting
Cost</t>
        </is>
      </c>
      <c r="X38" s="255" t="inlineStr">
        <is>
          <t>Labor
Cost</t>
        </is>
      </c>
      <c r="Y38" s="256" t="inlineStr">
        <is>
          <t>Gold &amp; 5%
Cost</t>
        </is>
      </c>
      <c r="Z38" s="255" t="inlineStr">
        <is>
          <t>Current Gold &amp;
5% Cost</t>
        </is>
      </c>
      <c r="AA38" s="269" t="n"/>
      <c r="AB38" s="269" t="n"/>
      <c r="AC38" s="269" t="n"/>
      <c r="AD38" s="269" t="n"/>
      <c r="AE38" s="269" t="n"/>
      <c r="AG38" s="270" t="n"/>
    </row>
    <row r="39" ht="27.75" customFormat="1" customHeight="1" s="257">
      <c r="A39" s="258" t="inlineStr">
        <is>
          <t>IDD250304RB-3-14K</t>
        </is>
      </c>
      <c r="B39" s="259" t="inlineStr">
        <is>
          <t>K0098B336 6.75"</t>
        </is>
      </c>
      <c r="C39" s="259" t="inlineStr">
        <is>
          <t>FSBG5206S8YW</t>
        </is>
      </c>
      <c r="D39" s="259" t="inlineStr">
        <is>
          <t>VPO#148166</t>
        </is>
      </c>
      <c r="E39" s="259" t="n">
        <v>110</v>
      </c>
      <c r="F39" s="259" t="inlineStr">
        <is>
          <t>14K WYG</t>
        </is>
      </c>
      <c r="G39" s="260" t="n">
        <v>1</v>
      </c>
      <c r="H39" s="261" t="n">
        <v>7.18</v>
      </c>
      <c r="I39" s="261" t="n">
        <v>0.18</v>
      </c>
      <c r="J39" s="261" t="n">
        <v>0.32</v>
      </c>
      <c r="K39" s="262">
        <f>H39-I39-J39</f>
        <v/>
      </c>
      <c r="L39" s="263" t="n">
        <v>2.7</v>
      </c>
      <c r="M39" s="263" t="inlineStr">
        <is>
          <t>W</t>
        </is>
      </c>
      <c r="N39" s="264" t="n">
        <v>12</v>
      </c>
      <c r="O39" s="265" t="n">
        <v>9.5</v>
      </c>
      <c r="P39" s="266" t="n">
        <v>0.905</v>
      </c>
      <c r="Q39" s="267" t="n"/>
      <c r="R39" s="267" t="n"/>
      <c r="S39" s="267">
        <f>G39*0.02*N39</f>
        <v/>
      </c>
      <c r="T39" s="267">
        <f>G39*2</f>
        <v/>
      </c>
      <c r="U39" s="267">
        <f>IF(RIGHT(F39,2)="WG",K39*$AB$4,IF(RIGHT(F39,3)="WRG",K39*$AB$4+3*G39,IF(RIGHT(F39,3)="WYG",K39*$AB$4+3*G39,IF(RIGHT(F39,3)="WYR",K39*$AB$4+3*G39,0))))</f>
        <v/>
      </c>
      <c r="V39" s="267" t="n"/>
      <c r="W39" s="267">
        <f>G39*N39*1</f>
        <v/>
      </c>
      <c r="X39" s="267">
        <f>K39*O39</f>
        <v/>
      </c>
      <c r="Y39" s="267">
        <f>($Y$37/31.1035*IF(LEFT(F39,3)="10K",(0.417*1.07*K39),IF(LEFT(F39,3)="14K",(0.585*1.05*K39),IF(LEFT(F39,3)="18K",(0.75*1.05*K39),0))))*0.5</f>
        <v/>
      </c>
      <c r="Z39" s="268">
        <f>($Z$37/31.1035*IF(LEFT(F39,3)="10K",(0.417*1.07*K39),IF(LEFT(F39,3)="14K",(0.585*1.05*K39),IF(LEFT(F39,3)="18K",(0.75*1.05*K39),0))))*0.5</f>
        <v/>
      </c>
      <c r="AA39" s="269">
        <f>2*K39</f>
        <v/>
      </c>
      <c r="AB39" s="269" t="n">
        <v>68.9432</v>
      </c>
      <c r="AC39" s="269" t="n">
        <v>612.122774328663</v>
      </c>
      <c r="AD39" s="269" t="n">
        <v>681.0659743286629</v>
      </c>
      <c r="AE39" s="269">
        <f>IF(LEFT(F39,3)="10K",(0.417*1.07*K39),IF(LEFT(F39,3)="14K",(0.585*1.05*K39),IF(LEFT(F39,3)="18K",(0.75*1.05*K39),0)))</f>
        <v/>
      </c>
      <c r="AG39" s="270">
        <f>X39</f>
        <v/>
      </c>
    </row>
    <row r="40" ht="15.75" customFormat="1" customHeight="1" s="271">
      <c r="A40" s="272" t="inlineStr">
        <is>
          <t>SUBTOTAL</t>
        </is>
      </c>
      <c r="B40" s="273" t="n"/>
      <c r="C40" s="273" t="n"/>
      <c r="D40" s="273" t="n"/>
      <c r="E40" s="273" t="n"/>
      <c r="F40" s="273" t="n"/>
      <c r="G40" s="274">
        <f>SUM(G39)</f>
        <v/>
      </c>
      <c r="H40" s="275" t="n"/>
      <c r="I40" s="275" t="n"/>
      <c r="J40" s="275" t="n"/>
      <c r="K40" s="275">
        <f>SUM(K39)</f>
        <v/>
      </c>
      <c r="L40" s="276" t="n"/>
      <c r="M40" s="276" t="n"/>
      <c r="N40" s="276" t="n"/>
      <c r="O40" s="277" t="n"/>
      <c r="P40" s="278">
        <f>SUM(P39)</f>
        <v/>
      </c>
      <c r="Q40" s="279">
        <f>SUM(Q39)</f>
        <v/>
      </c>
      <c r="R40" s="279">
        <f>SUM(R39)</f>
        <v/>
      </c>
      <c r="S40" s="279">
        <f>SUM(S39)</f>
        <v/>
      </c>
      <c r="T40" s="279">
        <f>SUM(T39)</f>
        <v/>
      </c>
      <c r="U40" s="279">
        <f>SUM(U39)</f>
        <v/>
      </c>
      <c r="V40" s="279">
        <f>SUM(V39)</f>
        <v/>
      </c>
      <c r="W40" s="279">
        <f>SUM(W39)</f>
        <v/>
      </c>
      <c r="X40" s="279">
        <f>SUM(X39)</f>
        <v/>
      </c>
      <c r="Y40" s="279">
        <f>SUM(Y39)</f>
        <v/>
      </c>
      <c r="Z40" s="280">
        <f>SUM(Z39)</f>
        <v/>
      </c>
      <c r="AA40" s="269" t="n"/>
      <c r="AB40" s="269" t="n"/>
      <c r="AC40" s="269" t="n"/>
      <c r="AD40" s="269" t="n"/>
      <c r="AE40" s="269" t="n"/>
      <c r="AG40" s="270" t="n"/>
    </row>
    <row r="41" ht="15.75" customHeight="1" s="240">
      <c r="A41" s="241" t="inlineStr">
        <is>
          <t>Buyer Dia</t>
        </is>
      </c>
      <c r="K41" s="242" t="n"/>
      <c r="L41" s="243" t="n"/>
      <c r="M41" s="243" t="n"/>
      <c r="N41" s="243" t="n"/>
      <c r="W41" s="244" t="n"/>
      <c r="X41" s="245" t="inlineStr">
        <is>
          <t>29 Jan London AM + 2%</t>
        </is>
      </c>
      <c r="Y41" s="246">
        <f>2759.4*1.02</f>
        <v/>
      </c>
      <c r="Z41" s="246">
        <f>2759.4*1.02</f>
        <v/>
      </c>
      <c r="AA41" s="269" t="n"/>
      <c r="AB41" s="269" t="n"/>
      <c r="AC41" s="269" t="n"/>
      <c r="AD41" s="269" t="n"/>
      <c r="AE41" s="269" t="n"/>
      <c r="AG41" s="270" t="n"/>
    </row>
    <row r="42" ht="27" customFormat="1" customHeight="1" s="247">
      <c r="A42" s="248" t="inlineStr">
        <is>
          <t>PO#</t>
        </is>
      </c>
      <c r="B42" s="249" t="inlineStr">
        <is>
          <t>Item No.</t>
        </is>
      </c>
      <c r="C42" s="249" t="inlineStr">
        <is>
          <t>Buyer No.</t>
        </is>
      </c>
      <c r="D42" s="249" t="inlineStr">
        <is>
          <t>Buyer PO</t>
        </is>
      </c>
      <c r="E42" s="249" t="inlineStr">
        <is>
          <t>IDD PO SERIAL#</t>
        </is>
      </c>
      <c r="F42" s="249" t="inlineStr">
        <is>
          <t>Metal</t>
        </is>
      </c>
      <c r="G42" s="249" t="inlineStr">
        <is>
          <t>Q'ty</t>
        </is>
      </c>
      <c r="H42" s="250" t="inlineStr">
        <is>
          <t>Total w't</t>
        </is>
      </c>
      <c r="I42" s="250" t="inlineStr">
        <is>
          <t>Dia w't</t>
        </is>
      </c>
      <c r="J42" s="250" t="inlineStr">
        <is>
          <t>Wire w't</t>
        </is>
      </c>
      <c r="K42" s="250" t="inlineStr">
        <is>
          <t>Gold w't</t>
        </is>
      </c>
      <c r="L42" s="251" t="inlineStr">
        <is>
          <t>Stone</t>
        </is>
      </c>
      <c r="M42" s="251" t="inlineStr">
        <is>
          <t>Color</t>
        </is>
      </c>
      <c r="N42" s="251" t="inlineStr">
        <is>
          <t>Stone Q'ty</t>
        </is>
      </c>
      <c r="O42" s="252" t="inlineStr">
        <is>
          <t>Labor</t>
        </is>
      </c>
      <c r="P42" s="253" t="inlineStr">
        <is>
          <t>Dia Carat</t>
        </is>
      </c>
      <c r="Q42" s="254" t="inlineStr">
        <is>
          <t>Extra Cost</t>
        </is>
      </c>
      <c r="R42" s="254" t="inlineStr">
        <is>
          <t>Dia Packaging Cost</t>
        </is>
      </c>
      <c r="S42" s="254" t="inlineStr">
        <is>
          <t>Dia Handling Service Fee</t>
        </is>
      </c>
      <c r="T42" s="254" t="inlineStr">
        <is>
          <t>Wire
Cost</t>
        </is>
      </c>
      <c r="U42" s="254" t="inlineStr">
        <is>
          <t>Plating Cost</t>
        </is>
      </c>
      <c r="V42" s="254" t="inlineStr">
        <is>
          <t>Stone
Cost</t>
        </is>
      </c>
      <c r="W42" s="254" t="inlineStr">
        <is>
          <t>Setting
Cost</t>
        </is>
      </c>
      <c r="X42" s="255" t="inlineStr">
        <is>
          <t>Labor
Cost</t>
        </is>
      </c>
      <c r="Y42" s="256" t="inlineStr">
        <is>
          <t>Gold &amp; 5%
Cost</t>
        </is>
      </c>
      <c r="Z42" s="255" t="inlineStr">
        <is>
          <t>Current Gold &amp;
5% Cost</t>
        </is>
      </c>
      <c r="AA42" s="269" t="n"/>
      <c r="AB42" s="269" t="n"/>
      <c r="AC42" s="269" t="n"/>
      <c r="AD42" s="269" t="n"/>
      <c r="AE42" s="269" t="n"/>
      <c r="AG42" s="270" t="n"/>
    </row>
    <row r="43" ht="27.75" customFormat="1" customHeight="1" s="257">
      <c r="A43" s="258" t="inlineStr">
        <is>
          <t>IDD250129RB-4-14K</t>
        </is>
      </c>
      <c r="B43" s="259" t="inlineStr">
        <is>
          <t>K0098B392 6.75"</t>
        </is>
      </c>
      <c r="C43" s="259" t="inlineStr">
        <is>
          <t>FSBG5208S8Y</t>
        </is>
      </c>
      <c r="D43" s="259" t="n">
        <v>147692</v>
      </c>
      <c r="E43" s="259" t="n">
        <v>106</v>
      </c>
      <c r="F43" s="259" t="inlineStr">
        <is>
          <t>14K YG</t>
        </is>
      </c>
      <c r="G43" s="260" t="n">
        <v>1</v>
      </c>
      <c r="H43" s="261" t="n">
        <v>6.48</v>
      </c>
      <c r="I43" s="261" t="n">
        <v>0.1</v>
      </c>
      <c r="J43" s="261" t="n">
        <v>0.44</v>
      </c>
      <c r="K43" s="262">
        <f>H43-I43-J43</f>
        <v/>
      </c>
      <c r="L43" s="263" t="n">
        <v>1.7</v>
      </c>
      <c r="M43" s="263" t="inlineStr">
        <is>
          <t>W</t>
        </is>
      </c>
      <c r="N43" s="264" t="n">
        <v>25</v>
      </c>
      <c r="O43" s="265" t="n">
        <v>11.5</v>
      </c>
      <c r="P43" s="266" t="n">
        <v>0.505</v>
      </c>
      <c r="Q43" s="267" t="n"/>
      <c r="R43" s="267" t="n"/>
      <c r="S43" s="267">
        <f>0.02*N43*G43</f>
        <v/>
      </c>
      <c r="T43" s="267">
        <f>2*G43</f>
        <v/>
      </c>
      <c r="U43" s="267">
        <f>IF(RIGHT(F43,2)="WG",K43*$AB$4,IF(RIGHT(F43,3)="WRG",K43*$AB$4+3*G43,IF(RIGHT(F43,3)="WYG",K43*$AB$4+3*G43,IF(RIGHT(F43,3)="WYR",K43*$AB$4+3*G43,0))))</f>
        <v/>
      </c>
      <c r="V43" s="267" t="n"/>
      <c r="W43" s="267">
        <f>((4*1+((N43-4)*0.3))*G43)</f>
        <v/>
      </c>
      <c r="X43" s="267">
        <f>K43*O43</f>
        <v/>
      </c>
      <c r="Y43" s="267">
        <f>($Y$41/31.1035*IF(LEFT(F43,3)="10K",(0.417*1.07*K43),IF(LEFT(F43,3)="14K",(0.585*1.05*K43),IF(LEFT(F43,3)="18K",(0.75*1.05*K43),0))))*0.5</f>
        <v/>
      </c>
      <c r="Z43" s="268">
        <f>($Z$41/31.1035*IF(LEFT(F43,3)="10K",(0.417*1.07*K43),IF(LEFT(F43,3)="14K",(0.585*1.05*K43),IF(LEFT(F43,3)="18K",(0.75*1.05*K43),0))))*0.5</f>
        <v/>
      </c>
      <c r="AA43" s="269">
        <f>2*K43</f>
        <v/>
      </c>
      <c r="AB43" s="269" t="n">
        <v>69.23</v>
      </c>
      <c r="AC43" s="269" t="n">
        <v>439.420686006602</v>
      </c>
      <c r="AD43" s="269" t="n">
        <v>508.650686006602</v>
      </c>
      <c r="AE43" s="269">
        <f>IF(LEFT(F43,3)="10K",(0.417*1.07*K43),IF(LEFT(F43,3)="14K",(0.585*1.05*K43),IF(LEFT(F43,3)="18K",(0.75*1.05*K43),0)))</f>
        <v/>
      </c>
      <c r="AG43" s="270">
        <f>X43</f>
        <v/>
      </c>
    </row>
    <row r="44" ht="15.75" customFormat="1" customHeight="1" s="271">
      <c r="A44" s="272" t="inlineStr">
        <is>
          <t>SUBTOTAL</t>
        </is>
      </c>
      <c r="B44" s="273" t="n"/>
      <c r="C44" s="273" t="n"/>
      <c r="D44" s="273" t="n"/>
      <c r="E44" s="273" t="n"/>
      <c r="F44" s="273" t="n"/>
      <c r="G44" s="274">
        <f>SUM(G43)</f>
        <v/>
      </c>
      <c r="H44" s="275" t="n"/>
      <c r="I44" s="275" t="n"/>
      <c r="J44" s="275" t="n"/>
      <c r="K44" s="275">
        <f>SUM(K43)</f>
        <v/>
      </c>
      <c r="L44" s="276" t="n"/>
      <c r="M44" s="276" t="n"/>
      <c r="N44" s="276" t="n"/>
      <c r="O44" s="277" t="n"/>
      <c r="P44" s="278">
        <f>SUM(P43)</f>
        <v/>
      </c>
      <c r="Q44" s="279">
        <f>SUM(Q43)</f>
        <v/>
      </c>
      <c r="R44" s="279">
        <f>SUM(R43)</f>
        <v/>
      </c>
      <c r="S44" s="279">
        <f>SUM(S43)</f>
        <v/>
      </c>
      <c r="T44" s="279">
        <f>SUM(T43)</f>
        <v/>
      </c>
      <c r="U44" s="279">
        <f>SUM(U43)</f>
        <v/>
      </c>
      <c r="V44" s="279">
        <f>SUM(V43)</f>
        <v/>
      </c>
      <c r="W44" s="279">
        <f>SUM(W43)</f>
        <v/>
      </c>
      <c r="X44" s="279">
        <f>SUM(X43)</f>
        <v/>
      </c>
      <c r="Y44" s="279">
        <f>SUM(Y43)</f>
        <v/>
      </c>
      <c r="Z44" s="280">
        <f>SUM(Z43)</f>
        <v/>
      </c>
      <c r="AA44" s="269" t="n"/>
      <c r="AB44" s="269" t="n"/>
      <c r="AC44" s="269" t="n"/>
      <c r="AD44" s="269" t="n"/>
      <c r="AE44" s="269" t="n"/>
      <c r="AG44" s="270" t="n"/>
    </row>
    <row r="45" ht="15.75" customHeight="1" s="240">
      <c r="A45" s="241" t="inlineStr">
        <is>
          <t>Buyer Dia</t>
        </is>
      </c>
      <c r="K45" s="242" t="n"/>
      <c r="L45" s="243" t="n"/>
      <c r="M45" s="243" t="n"/>
      <c r="N45" s="243" t="n"/>
      <c r="W45" s="244" t="n"/>
      <c r="X45" s="245" t="inlineStr">
        <is>
          <t>7th Mar London AM + 2%</t>
        </is>
      </c>
      <c r="Y45" s="246">
        <f>2918.5*1.02</f>
        <v/>
      </c>
      <c r="Z45" s="246">
        <f>2918.5*1.02</f>
        <v/>
      </c>
      <c r="AA45" s="269" t="n"/>
      <c r="AB45" s="269" t="n"/>
      <c r="AC45" s="269" t="n"/>
      <c r="AD45" s="269" t="n"/>
      <c r="AE45" s="269" t="n"/>
      <c r="AG45" s="270" t="n"/>
    </row>
    <row r="46" ht="27" customFormat="1" customHeight="1" s="247">
      <c r="A46" s="248" t="inlineStr">
        <is>
          <t>PO#</t>
        </is>
      </c>
      <c r="B46" s="249" t="inlineStr">
        <is>
          <t>Item No.</t>
        </is>
      </c>
      <c r="C46" s="249" t="inlineStr">
        <is>
          <t>Buyer No.</t>
        </is>
      </c>
      <c r="D46" s="249" t="inlineStr">
        <is>
          <t>Buyer PO</t>
        </is>
      </c>
      <c r="E46" s="249" t="inlineStr">
        <is>
          <t>IDD PO SERIAL#</t>
        </is>
      </c>
      <c r="F46" s="249" t="inlineStr">
        <is>
          <t>Metal</t>
        </is>
      </c>
      <c r="G46" s="249" t="inlineStr">
        <is>
          <t>Q'ty</t>
        </is>
      </c>
      <c r="H46" s="250" t="inlineStr">
        <is>
          <t>Total w't</t>
        </is>
      </c>
      <c r="I46" s="250" t="inlineStr">
        <is>
          <t>Dia w't</t>
        </is>
      </c>
      <c r="J46" s="250" t="inlineStr">
        <is>
          <t>Wire w't</t>
        </is>
      </c>
      <c r="K46" s="250" t="inlineStr">
        <is>
          <t>Gold w't</t>
        </is>
      </c>
      <c r="L46" s="251" t="inlineStr">
        <is>
          <t>Stone</t>
        </is>
      </c>
      <c r="M46" s="251" t="inlineStr">
        <is>
          <t>Color</t>
        </is>
      </c>
      <c r="N46" s="251" t="inlineStr">
        <is>
          <t>Stone Q'ty</t>
        </is>
      </c>
      <c r="O46" s="252" t="inlineStr">
        <is>
          <t>Labor</t>
        </is>
      </c>
      <c r="P46" s="253" t="inlineStr">
        <is>
          <t>Dia Carat</t>
        </is>
      </c>
      <c r="Q46" s="254" t="inlineStr">
        <is>
          <t>Extra Cost</t>
        </is>
      </c>
      <c r="R46" s="254" t="inlineStr">
        <is>
          <t>Dia Packaging Cost</t>
        </is>
      </c>
      <c r="S46" s="254" t="inlineStr">
        <is>
          <t>Dia Handling Cost</t>
        </is>
      </c>
      <c r="T46" s="254" t="inlineStr">
        <is>
          <t>Wire
Cost</t>
        </is>
      </c>
      <c r="U46" s="254" t="inlineStr">
        <is>
          <t>Plating Cost</t>
        </is>
      </c>
      <c r="V46" s="254" t="inlineStr">
        <is>
          <t>Stone
Cost</t>
        </is>
      </c>
      <c r="W46" s="254" t="inlineStr">
        <is>
          <t>Setting
Cost</t>
        </is>
      </c>
      <c r="X46" s="255" t="inlineStr">
        <is>
          <t>Labor
Cost</t>
        </is>
      </c>
      <c r="Y46" s="256" t="inlineStr">
        <is>
          <t>Gold &amp; 5%
Cost</t>
        </is>
      </c>
      <c r="Z46" s="255" t="inlineStr">
        <is>
          <t>Current Gold &amp;
5% Cost</t>
        </is>
      </c>
      <c r="AA46" s="269" t="n"/>
      <c r="AB46" s="269" t="n"/>
      <c r="AC46" s="269" t="n"/>
      <c r="AD46" s="269" t="n"/>
      <c r="AE46" s="269" t="n"/>
      <c r="AG46" s="270" t="n"/>
    </row>
    <row r="47" ht="27.75" customFormat="1" customHeight="1" s="257">
      <c r="A47" s="258" t="inlineStr">
        <is>
          <t>IDD250305RB-2-14K</t>
        </is>
      </c>
      <c r="B47" s="259" t="inlineStr">
        <is>
          <t>K0184TB20 C4 7.0"</t>
        </is>
      </c>
      <c r="C47" s="259" t="inlineStr">
        <is>
          <t>FSBT5002S8W</t>
        </is>
      </c>
      <c r="D47" s="259" t="inlineStr">
        <is>
          <t>VPO#148184</t>
        </is>
      </c>
      <c r="E47" s="259" t="n">
        <v>103</v>
      </c>
      <c r="F47" s="259" t="inlineStr">
        <is>
          <t>14K WG</t>
        </is>
      </c>
      <c r="G47" s="260" t="n">
        <v>1</v>
      </c>
      <c r="H47" s="261" t="n">
        <v>6.42</v>
      </c>
      <c r="I47" s="261" t="n">
        <v>0.34</v>
      </c>
      <c r="J47" s="261" t="n">
        <v>0</v>
      </c>
      <c r="K47" s="262">
        <f>H47-I47-J47</f>
        <v/>
      </c>
      <c r="L47" s="263" t="n">
        <v>1.9</v>
      </c>
      <c r="M47" s="263" t="inlineStr">
        <is>
          <t>W</t>
        </is>
      </c>
      <c r="N47" s="264" t="n">
        <v>56</v>
      </c>
      <c r="O47" s="265">
        <f>7+2</f>
        <v/>
      </c>
      <c r="P47" s="266" t="n">
        <v>1.68</v>
      </c>
      <c r="Q47" s="267" t="n"/>
      <c r="R47" s="267" t="n"/>
      <c r="S47" s="267">
        <f>G47*0.02*N47</f>
        <v/>
      </c>
      <c r="T47" s="267" t="n"/>
      <c r="U47" s="267">
        <f>IF(RIGHT(F47,2)="WG",K47*$AB$4,IF(RIGHT(F47,3)="WRG",K47*$AB$4+3*G47,IF(RIGHT(F47,3)="WYG",K47*$AB$4+3*G47,IF(RIGHT(F47,3)="WYR",K47*$AB$4+3*G47,0))))</f>
        <v/>
      </c>
      <c r="V47" s="267" t="n"/>
      <c r="W47" s="267">
        <f>G47*N47*0.3</f>
        <v/>
      </c>
      <c r="X47" s="267">
        <f>K47*O47</f>
        <v/>
      </c>
      <c r="Y47" s="267">
        <f>($Y$45/31.1035*IF(LEFT(F47,3)="10K",(0.417*1.07*K47),IF(LEFT(F47,3)="14K",(0.585*1.05*K47),IF(LEFT(F47,3)="18K",(0.75*1.05*K47),0))))*0.5</f>
        <v/>
      </c>
      <c r="Z47" s="268">
        <f>($Z$45/31.1035*IF(LEFT(F47,3)="10K",(0.417*1.07*K47),IF(LEFT(F47,3)="14K",(0.585*1.05*K47),IF(LEFT(F47,3)="18K",(0.75*1.05*K47),0))))*0.5</f>
        <v/>
      </c>
      <c r="AA47" s="269">
        <f>2*K47</f>
        <v/>
      </c>
      <c r="AB47" s="269" t="n">
        <v>61.9392</v>
      </c>
      <c r="AC47" s="269" t="n">
        <v>856.788442952657</v>
      </c>
      <c r="AD47" s="269" t="n">
        <v>918.727642952657</v>
      </c>
      <c r="AE47" s="269">
        <f>IF(LEFT(F47,3)="10K",(0.417*1.07*K47),IF(LEFT(F47,3)="14K",(0.585*1.05*K47),IF(LEFT(F47,3)="18K",(0.75*1.05*K47),0)))</f>
        <v/>
      </c>
      <c r="AG47" s="270">
        <f>X47</f>
        <v/>
      </c>
    </row>
    <row r="48" ht="15.75" customFormat="1" customHeight="1" s="271">
      <c r="A48" s="272" t="inlineStr">
        <is>
          <t>SUBTOTAL</t>
        </is>
      </c>
      <c r="B48" s="273" t="n"/>
      <c r="C48" s="273" t="n"/>
      <c r="D48" s="273" t="n"/>
      <c r="E48" s="273" t="n"/>
      <c r="F48" s="273" t="n"/>
      <c r="G48" s="274">
        <f>SUM(G47)</f>
        <v/>
      </c>
      <c r="H48" s="275" t="n"/>
      <c r="I48" s="275" t="n"/>
      <c r="J48" s="275" t="n"/>
      <c r="K48" s="275">
        <f>SUM(K47)</f>
        <v/>
      </c>
      <c r="L48" s="276" t="n"/>
      <c r="M48" s="276" t="n"/>
      <c r="N48" s="276" t="n"/>
      <c r="O48" s="277" t="n"/>
      <c r="P48" s="278">
        <f>SUM(P47)</f>
        <v/>
      </c>
      <c r="Q48" s="279">
        <f>SUM(Q47)</f>
        <v/>
      </c>
      <c r="R48" s="279">
        <f>SUM(R47)</f>
        <v/>
      </c>
      <c r="S48" s="279">
        <f>SUM(S47)</f>
        <v/>
      </c>
      <c r="T48" s="279">
        <f>SUM(T47)</f>
        <v/>
      </c>
      <c r="U48" s="279">
        <f>SUM(U47)</f>
        <v/>
      </c>
      <c r="V48" s="279">
        <f>SUM(V47)</f>
        <v/>
      </c>
      <c r="W48" s="279">
        <f>SUM(W47)</f>
        <v/>
      </c>
      <c r="X48" s="279">
        <f>SUM(X47)</f>
        <v/>
      </c>
      <c r="Y48" s="279">
        <f>SUM(Y47)</f>
        <v/>
      </c>
      <c r="Z48" s="280">
        <f>SUM(Z47)</f>
        <v/>
      </c>
      <c r="AA48" s="269" t="n"/>
      <c r="AB48" s="269" t="n"/>
      <c r="AC48" s="269" t="n"/>
      <c r="AD48" s="269" t="n"/>
      <c r="AE48" s="269" t="n"/>
      <c r="AG48" s="270" t="n"/>
    </row>
    <row r="49" ht="15.75" customHeight="1" s="240">
      <c r="A49" s="241" t="inlineStr">
        <is>
          <t>Buyer Dia</t>
        </is>
      </c>
      <c r="K49" s="242" t="n"/>
      <c r="L49" s="243" t="n"/>
      <c r="M49" s="243" t="n"/>
      <c r="N49" s="243" t="n"/>
      <c r="W49" s="244" t="n"/>
      <c r="X49" s="245" t="inlineStr">
        <is>
          <t>12th Mar London AM + 2%</t>
        </is>
      </c>
      <c r="Y49" s="246">
        <f>2913.6*1.02</f>
        <v/>
      </c>
      <c r="Z49" s="246">
        <f>2913.6*1.02</f>
        <v/>
      </c>
      <c r="AA49" s="269" t="n"/>
      <c r="AB49" s="269" t="n"/>
      <c r="AC49" s="269" t="n"/>
      <c r="AD49" s="269" t="n"/>
      <c r="AE49" s="269" t="n"/>
      <c r="AG49" s="270" t="n"/>
    </row>
    <row r="50" ht="27" customFormat="1" customHeight="1" s="247">
      <c r="A50" s="248" t="inlineStr">
        <is>
          <t>PO#</t>
        </is>
      </c>
      <c r="B50" s="249" t="inlineStr">
        <is>
          <t>Item No.</t>
        </is>
      </c>
      <c r="C50" s="249" t="inlineStr">
        <is>
          <t>Buyer No.</t>
        </is>
      </c>
      <c r="D50" s="249" t="inlineStr">
        <is>
          <t>Buyer PO</t>
        </is>
      </c>
      <c r="E50" s="249" t="inlineStr">
        <is>
          <t>IDD PO SERIAL#</t>
        </is>
      </c>
      <c r="F50" s="249" t="inlineStr">
        <is>
          <t>Metal</t>
        </is>
      </c>
      <c r="G50" s="249" t="inlineStr">
        <is>
          <t>Q'ty</t>
        </is>
      </c>
      <c r="H50" s="250" t="inlineStr">
        <is>
          <t>Total w't</t>
        </is>
      </c>
      <c r="I50" s="250" t="inlineStr">
        <is>
          <t>Dia w't</t>
        </is>
      </c>
      <c r="J50" s="250" t="inlineStr">
        <is>
          <t>Wire w't</t>
        </is>
      </c>
      <c r="K50" s="250" t="inlineStr">
        <is>
          <t>Gold w't</t>
        </is>
      </c>
      <c r="L50" s="251" t="inlineStr">
        <is>
          <t>Stone</t>
        </is>
      </c>
      <c r="M50" s="251" t="inlineStr">
        <is>
          <t>Color</t>
        </is>
      </c>
      <c r="N50" s="251" t="inlineStr">
        <is>
          <t>Stone Q'ty</t>
        </is>
      </c>
      <c r="O50" s="252" t="inlineStr">
        <is>
          <t>Labor</t>
        </is>
      </c>
      <c r="P50" s="253" t="inlineStr">
        <is>
          <t>Dia Carat</t>
        </is>
      </c>
      <c r="Q50" s="254" t="inlineStr">
        <is>
          <t>Extra Cost</t>
        </is>
      </c>
      <c r="R50" s="254" t="inlineStr">
        <is>
          <t>Dia Packaging Cost</t>
        </is>
      </c>
      <c r="S50" s="254" t="inlineStr">
        <is>
          <t>Dia Handling Cost</t>
        </is>
      </c>
      <c r="T50" s="254" t="inlineStr">
        <is>
          <t>Wire
Cost</t>
        </is>
      </c>
      <c r="U50" s="254" t="inlineStr">
        <is>
          <t>Plating Cost</t>
        </is>
      </c>
      <c r="V50" s="254" t="inlineStr">
        <is>
          <t>Stone
Cost</t>
        </is>
      </c>
      <c r="W50" s="254" t="inlineStr">
        <is>
          <t>Setting
Cost</t>
        </is>
      </c>
      <c r="X50" s="255" t="inlineStr">
        <is>
          <t>Labor
Cost</t>
        </is>
      </c>
      <c r="Y50" s="256" t="inlineStr">
        <is>
          <t>Gold &amp; 5%
Cost</t>
        </is>
      </c>
      <c r="Z50" s="255" t="inlineStr">
        <is>
          <t>Current Gold &amp;
5% Cost</t>
        </is>
      </c>
      <c r="AA50" s="269" t="n"/>
      <c r="AB50" s="269" t="n"/>
      <c r="AC50" s="269" t="n"/>
      <c r="AD50" s="269" t="n"/>
      <c r="AE50" s="269" t="n"/>
      <c r="AG50" s="270" t="n"/>
    </row>
    <row r="51" ht="27.75" customFormat="1" customHeight="1" s="257">
      <c r="A51" s="258" t="inlineStr">
        <is>
          <t>IDD250306RB-1-14K</t>
        </is>
      </c>
      <c r="B51" s="259" t="inlineStr">
        <is>
          <t>K0038B50 OV H 7.50"</t>
        </is>
      </c>
      <c r="C51" s="259" t="inlineStr">
        <is>
          <t>FSBG5041HDS8W-7C</t>
        </is>
      </c>
      <c r="D51" s="259" t="n">
        <v>148189</v>
      </c>
      <c r="E51" s="259" t="n">
        <v>178</v>
      </c>
      <c r="F51" s="259" t="inlineStr">
        <is>
          <t>14K WG</t>
        </is>
      </c>
      <c r="G51" s="260" t="n">
        <v>1</v>
      </c>
      <c r="H51" s="281" t="n">
        <v>10.56</v>
      </c>
      <c r="I51" s="281" t="n">
        <v>0.4</v>
      </c>
      <c r="J51" s="281" t="n">
        <v>0.36</v>
      </c>
      <c r="K51" s="282">
        <f>H51-I51-J51</f>
        <v/>
      </c>
      <c r="L51" s="263" t="n">
        <v>2.55</v>
      </c>
      <c r="M51" s="263" t="inlineStr">
        <is>
          <t>W</t>
        </is>
      </c>
      <c r="N51" s="264" t="n">
        <v>33</v>
      </c>
      <c r="O51" s="265" t="n">
        <v>8.5</v>
      </c>
      <c r="P51" s="266" t="n">
        <v>1.98</v>
      </c>
      <c r="Q51" s="267" t="n"/>
      <c r="R51" s="267" t="n"/>
      <c r="S51" s="267">
        <f>G51*0.02*N51</f>
        <v/>
      </c>
      <c r="T51" s="267">
        <f>G51*2</f>
        <v/>
      </c>
      <c r="U51" s="267">
        <f>IF(RIGHT(F51,2)="WG",K51*$AB$4,IF(RIGHT(F51,3)="WRG",K51*$AB$4+3*G51,IF(RIGHT(F51,3)="WYG",K51*$AB$4+3*G51,IF(RIGHT(F51,3)="WYR",K51*$AB$4+3*G51,0))))</f>
        <v/>
      </c>
      <c r="V51" s="267" t="n"/>
      <c r="W51" s="267">
        <f>G51*N51*0.5</f>
        <v/>
      </c>
      <c r="X51" s="267">
        <f>K51*O51</f>
        <v/>
      </c>
      <c r="Y51" s="267">
        <f>($Y$49/31.1035*IF(LEFT(F51,3)="10K",(0.417*1.07*K51),IF(LEFT(F51,3)="14K",(0.585*1.05*K51),IF(LEFT(F51,3)="18K",(0.75*1.05*K51),0))))*0.5</f>
        <v/>
      </c>
      <c r="Z51" s="268">
        <f>($Z$49/31.1035*IF(LEFT(F51,3)="10K",(0.417*1.07*K51),IF(LEFT(F51,3)="14K",(0.585*1.05*K51),IF(LEFT(F51,3)="18K",(0.75*1.05*K51),0))))*0.5</f>
        <v/>
      </c>
      <c r="AA51" s="269">
        <f>2*K51</f>
        <v/>
      </c>
      <c r="AB51" s="269" t="n">
        <v>85.212</v>
      </c>
      <c r="AC51" s="269" t="n">
        <v>1126.2902991942</v>
      </c>
      <c r="AD51" s="269" t="n">
        <v>1211.5022991942</v>
      </c>
      <c r="AE51" s="269">
        <f>IF(LEFT(F51,3)="10K",(0.417*1.07*K51),IF(LEFT(F51,3)="14K",(0.585*1.05*K51),IF(LEFT(F51,3)="18K",(0.75*1.05*K51),0)))</f>
        <v/>
      </c>
      <c r="AG51" s="270">
        <f>X51</f>
        <v/>
      </c>
    </row>
    <row r="52" ht="15.75" customFormat="1" customHeight="1" s="271">
      <c r="A52" s="272" t="inlineStr">
        <is>
          <t>SUBTOTAL</t>
        </is>
      </c>
      <c r="B52" s="273" t="n"/>
      <c r="C52" s="273" t="n"/>
      <c r="D52" s="273" t="n"/>
      <c r="E52" s="273" t="n"/>
      <c r="F52" s="273" t="n"/>
      <c r="G52" s="274">
        <f>SUM(G51)</f>
        <v/>
      </c>
      <c r="H52" s="283" t="n"/>
      <c r="I52" s="283" t="n"/>
      <c r="J52" s="283" t="n"/>
      <c r="K52" s="283">
        <f>SUM(K51)</f>
        <v/>
      </c>
      <c r="L52" s="276" t="n"/>
      <c r="M52" s="276" t="n"/>
      <c r="N52" s="276" t="n"/>
      <c r="O52" s="277" t="n"/>
      <c r="P52" s="278">
        <f>SUM(P51)</f>
        <v/>
      </c>
      <c r="Q52" s="279">
        <f>SUM(Q51)</f>
        <v/>
      </c>
      <c r="R52" s="279">
        <f>SUM(R51)</f>
        <v/>
      </c>
      <c r="S52" s="279">
        <f>SUM(S51)</f>
        <v/>
      </c>
      <c r="T52" s="279">
        <f>SUM(T51)</f>
        <v/>
      </c>
      <c r="U52" s="279">
        <f>SUM(U51)</f>
        <v/>
      </c>
      <c r="V52" s="279">
        <f>SUM(V51)</f>
        <v/>
      </c>
      <c r="W52" s="279">
        <f>SUM(W51)</f>
        <v/>
      </c>
      <c r="X52" s="279">
        <f>SUM(X51)</f>
        <v/>
      </c>
      <c r="Y52" s="279">
        <f>SUM(Y51)</f>
        <v/>
      </c>
      <c r="Z52" s="280">
        <f>SUM(Z51)</f>
        <v/>
      </c>
      <c r="AA52" s="269" t="n"/>
      <c r="AB52" s="269" t="n"/>
      <c r="AC52" s="269" t="n"/>
      <c r="AD52" s="269" t="n"/>
      <c r="AE52" s="269" t="n"/>
      <c r="AG52" s="270" t="n"/>
    </row>
    <row r="53" ht="15.75" customHeight="1" s="240">
      <c r="A53" s="241" t="inlineStr">
        <is>
          <t>Buyer Dia</t>
        </is>
      </c>
      <c r="K53" s="242" t="n"/>
      <c r="L53" s="243" t="n"/>
      <c r="M53" s="243" t="n"/>
      <c r="N53" s="243" t="n"/>
      <c r="W53" s="244" t="n"/>
      <c r="X53" s="245" t="inlineStr">
        <is>
          <t>12th Mar London AM + 2%</t>
        </is>
      </c>
      <c r="Y53" s="246">
        <f>2913.6*1.02</f>
        <v/>
      </c>
      <c r="Z53" s="246">
        <f>2913.6*1.02</f>
        <v/>
      </c>
      <c r="AA53" s="269" t="n"/>
      <c r="AB53" s="269" t="n"/>
      <c r="AC53" s="269" t="n"/>
      <c r="AD53" s="269" t="n"/>
      <c r="AE53" s="269" t="n"/>
      <c r="AG53" s="270" t="n"/>
    </row>
    <row r="54" ht="27" customFormat="1" customHeight="1" s="247">
      <c r="A54" s="248" t="inlineStr">
        <is>
          <t>PO#</t>
        </is>
      </c>
      <c r="B54" s="249" t="inlineStr">
        <is>
          <t>Item No.</t>
        </is>
      </c>
      <c r="C54" s="249" t="inlineStr">
        <is>
          <t>Buyer No.</t>
        </is>
      </c>
      <c r="D54" s="249" t="inlineStr">
        <is>
          <t>Buyer PO</t>
        </is>
      </c>
      <c r="E54" s="249" t="inlineStr">
        <is>
          <t>IDD PO SERIAL#</t>
        </is>
      </c>
      <c r="F54" s="249" t="inlineStr">
        <is>
          <t>Metal</t>
        </is>
      </c>
      <c r="G54" s="249" t="inlineStr">
        <is>
          <t>Q'ty</t>
        </is>
      </c>
      <c r="H54" s="250" t="inlineStr">
        <is>
          <t>Total w't</t>
        </is>
      </c>
      <c r="I54" s="250" t="inlineStr">
        <is>
          <t>Dia w't</t>
        </is>
      </c>
      <c r="J54" s="250" t="inlineStr">
        <is>
          <t>Wire w't</t>
        </is>
      </c>
      <c r="K54" s="250" t="inlineStr">
        <is>
          <t>Gold w't</t>
        </is>
      </c>
      <c r="L54" s="251" t="inlineStr">
        <is>
          <t>Stone</t>
        </is>
      </c>
      <c r="M54" s="251" t="inlineStr">
        <is>
          <t>Color</t>
        </is>
      </c>
      <c r="N54" s="251" t="inlineStr">
        <is>
          <t>Stone Q'ty</t>
        </is>
      </c>
      <c r="O54" s="252" t="inlineStr">
        <is>
          <t>Labor</t>
        </is>
      </c>
      <c r="P54" s="253" t="inlineStr">
        <is>
          <t>Dia Carat</t>
        </is>
      </c>
      <c r="Q54" s="254" t="inlineStr">
        <is>
          <t>Extra Cost</t>
        </is>
      </c>
      <c r="R54" s="254" t="inlineStr">
        <is>
          <t>Dia Packaging Cost</t>
        </is>
      </c>
      <c r="S54" s="254" t="inlineStr">
        <is>
          <t>Dia Handling Cost</t>
        </is>
      </c>
      <c r="T54" s="254" t="inlineStr">
        <is>
          <t>Wire
Cost</t>
        </is>
      </c>
      <c r="U54" s="254" t="inlineStr">
        <is>
          <t>Plating Cost</t>
        </is>
      </c>
      <c r="V54" s="254" t="inlineStr">
        <is>
          <t>Stone
Cost</t>
        </is>
      </c>
      <c r="W54" s="254" t="inlineStr">
        <is>
          <t>Setting
Cost</t>
        </is>
      </c>
      <c r="X54" s="255" t="inlineStr">
        <is>
          <t>Labor
Cost</t>
        </is>
      </c>
      <c r="Y54" s="256" t="inlineStr">
        <is>
          <t>Gold &amp; 5%
Cost</t>
        </is>
      </c>
      <c r="Z54" s="255" t="inlineStr">
        <is>
          <t>Current Gold &amp;
5% Cost</t>
        </is>
      </c>
      <c r="AA54" s="269" t="n"/>
      <c r="AB54" s="269" t="n"/>
      <c r="AC54" s="269" t="n"/>
      <c r="AD54" s="269" t="n"/>
      <c r="AE54" s="269" t="n"/>
      <c r="AG54" s="270" t="n"/>
    </row>
    <row r="55" ht="27.75" customFormat="1" customHeight="1" s="257">
      <c r="A55" s="258" t="inlineStr">
        <is>
          <t>IDD250307RB-3-14K</t>
        </is>
      </c>
      <c r="B55" s="259" t="inlineStr">
        <is>
          <t>K0634B01 OV 6.75"</t>
        </is>
      </c>
      <c r="C55" s="259" t="inlineStr">
        <is>
          <t>FSBG5045S8P</t>
        </is>
      </c>
      <c r="D55" s="259" t="n">
        <v>148213</v>
      </c>
      <c r="E55" s="259" t="n">
        <v>121</v>
      </c>
      <c r="F55" s="259" t="inlineStr">
        <is>
          <t>14K RG</t>
        </is>
      </c>
      <c r="G55" s="260" t="n">
        <v>1</v>
      </c>
      <c r="H55" s="261" t="n">
        <v>6.94</v>
      </c>
      <c r="I55" s="261" t="n">
        <v>0.03</v>
      </c>
      <c r="J55" s="261" t="n">
        <v>0.32</v>
      </c>
      <c r="K55" s="262">
        <f>H55-I55-J55</f>
        <v/>
      </c>
      <c r="L55" s="263" t="n">
        <v>1.5</v>
      </c>
      <c r="M55" s="263" t="inlineStr">
        <is>
          <t>W</t>
        </is>
      </c>
      <c r="N55" s="264" t="n">
        <v>13</v>
      </c>
      <c r="O55" s="265" t="n">
        <v>9.5</v>
      </c>
      <c r="P55" s="266" t="n">
        <v>0.17</v>
      </c>
      <c r="Q55" s="267" t="n"/>
      <c r="R55" s="267" t="n"/>
      <c r="S55" s="267">
        <f>G55*0.02*N55</f>
        <v/>
      </c>
      <c r="T55" s="267">
        <f>G55*2</f>
        <v/>
      </c>
      <c r="U55" s="267">
        <f>IF(RIGHT(F55,2)="WG",K55*$AB$4,IF(RIGHT(F55,3)="WRG",K55*$AB$4+3*G55,IF(RIGHT(F55,3)="WYG",K55*$AB$4+3*G55,IF(RIGHT(F55,3)="WYR",K55*$AB$4+3*G55,0))))</f>
        <v/>
      </c>
      <c r="V55" s="267" t="n"/>
      <c r="W55" s="267">
        <f>G55*N55*0.3</f>
        <v/>
      </c>
      <c r="X55" s="267">
        <f>K55*O55</f>
        <v/>
      </c>
      <c r="Y55" s="267">
        <f>($Y$53/31.1035*IF(LEFT(F55,3)="10K",(0.417*1.07*K55),IF(LEFT(F55,3)="14K",(0.585*1.05*K55),IF(LEFT(F55,3)="18K",(0.75*1.05*K55),0))))*0.5</f>
        <v/>
      </c>
      <c r="Z55" s="268">
        <f>($Z$53/31.1035*IF(LEFT(F55,3)="10K",(0.417*1.07*K55),IF(LEFT(F55,3)="14K",(0.585*1.05*K55),IF(LEFT(F55,3)="18K",(0.75*1.05*K55),0))))*0.5</f>
        <v/>
      </c>
      <c r="AA55" s="269">
        <f>2*K55</f>
        <v/>
      </c>
      <c r="AB55" s="269" t="n">
        <v>55.585</v>
      </c>
      <c r="AC55" s="269" t="n">
        <v>350.938650536876</v>
      </c>
      <c r="AD55" s="269" t="n">
        <v>406.523650536876</v>
      </c>
      <c r="AE55" s="269">
        <f>IF(LEFT(F55,3)="10K",(0.417*1.07*K55),IF(LEFT(F55,3)="14K",(0.585*1.05*K55),IF(LEFT(F55,3)="18K",(0.75*1.05*K55),0)))</f>
        <v/>
      </c>
      <c r="AG55" s="270">
        <f>X55</f>
        <v/>
      </c>
    </row>
    <row r="56" ht="15.75" customFormat="1" customHeight="1" s="271">
      <c r="A56" s="272" t="inlineStr">
        <is>
          <t>SUBTOTAL</t>
        </is>
      </c>
      <c r="B56" s="273" t="n"/>
      <c r="C56" s="273" t="n"/>
      <c r="D56" s="273" t="n"/>
      <c r="E56" s="273" t="n"/>
      <c r="F56" s="273" t="n"/>
      <c r="G56" s="274">
        <f>SUM(G55)</f>
        <v/>
      </c>
      <c r="H56" s="275" t="n"/>
      <c r="I56" s="275" t="n"/>
      <c r="J56" s="275" t="n"/>
      <c r="K56" s="275">
        <f>SUM(K55)</f>
        <v/>
      </c>
      <c r="L56" s="276" t="n"/>
      <c r="M56" s="276" t="n"/>
      <c r="N56" s="276" t="n"/>
      <c r="O56" s="277" t="n"/>
      <c r="P56" s="278">
        <f>SUM(P55)</f>
        <v/>
      </c>
      <c r="Q56" s="279">
        <f>SUM(Q55)</f>
        <v/>
      </c>
      <c r="R56" s="279">
        <f>SUM(R55)</f>
        <v/>
      </c>
      <c r="S56" s="279">
        <f>SUM(S55)</f>
        <v/>
      </c>
      <c r="T56" s="279">
        <f>SUM(T55)</f>
        <v/>
      </c>
      <c r="U56" s="279">
        <f>SUM(U55)</f>
        <v/>
      </c>
      <c r="V56" s="279">
        <f>SUM(V55)</f>
        <v/>
      </c>
      <c r="W56" s="279">
        <f>SUM(W55)</f>
        <v/>
      </c>
      <c r="X56" s="279">
        <f>SUM(X55)</f>
        <v/>
      </c>
      <c r="Y56" s="279">
        <f>SUM(Y55)</f>
        <v/>
      </c>
      <c r="Z56" s="280">
        <f>SUM(Z55)</f>
        <v/>
      </c>
      <c r="AA56" s="269" t="n"/>
      <c r="AB56" s="269" t="n"/>
      <c r="AC56" s="269" t="n"/>
      <c r="AD56" s="269" t="n"/>
      <c r="AE56" s="269" t="n"/>
      <c r="AG56" s="270" t="n"/>
    </row>
    <row r="57" ht="15.75" customHeight="1" s="240">
      <c r="A57" s="241" t="inlineStr">
        <is>
          <t>Buyer Dia</t>
        </is>
      </c>
      <c r="K57" s="242" t="n"/>
      <c r="L57" s="243" t="n"/>
      <c r="M57" s="243" t="n"/>
      <c r="N57" s="243" t="n"/>
      <c r="W57" s="244" t="n"/>
      <c r="X57" s="245" t="inlineStr">
        <is>
          <t>28th Mar London AM + 2%</t>
        </is>
      </c>
      <c r="Y57" s="246">
        <f>1.02*3070.4</f>
        <v/>
      </c>
      <c r="Z57" s="246">
        <f>1.02*3070.4</f>
        <v/>
      </c>
      <c r="AA57" s="269" t="n"/>
      <c r="AB57" s="269" t="n"/>
      <c r="AC57" s="269" t="n"/>
      <c r="AD57" s="269" t="n"/>
      <c r="AE57" s="269" t="n"/>
      <c r="AG57" s="270" t="n"/>
    </row>
    <row r="58" ht="27" customFormat="1" customHeight="1" s="247">
      <c r="A58" s="248" t="inlineStr">
        <is>
          <t>PO#</t>
        </is>
      </c>
      <c r="B58" s="249" t="inlineStr">
        <is>
          <t>Item No.</t>
        </is>
      </c>
      <c r="C58" s="249" t="inlineStr">
        <is>
          <t>Buyer No.</t>
        </is>
      </c>
      <c r="D58" s="249" t="inlineStr">
        <is>
          <t>Buyer PO</t>
        </is>
      </c>
      <c r="E58" s="249" t="inlineStr">
        <is>
          <t>IDD PO SERIAL#</t>
        </is>
      </c>
      <c r="F58" s="249" t="inlineStr">
        <is>
          <t>Metal</t>
        </is>
      </c>
      <c r="G58" s="249" t="inlineStr">
        <is>
          <t>Q'ty</t>
        </is>
      </c>
      <c r="H58" s="250" t="inlineStr">
        <is>
          <t>Total w't</t>
        </is>
      </c>
      <c r="I58" s="250" t="inlineStr">
        <is>
          <t>Dia w't</t>
        </is>
      </c>
      <c r="J58" s="250" t="inlineStr">
        <is>
          <t>Wire w't</t>
        </is>
      </c>
      <c r="K58" s="250" t="inlineStr">
        <is>
          <t>Gold w't</t>
        </is>
      </c>
      <c r="L58" s="251" t="inlineStr">
        <is>
          <t>Stone</t>
        </is>
      </c>
      <c r="M58" s="251" t="inlineStr">
        <is>
          <t>Color</t>
        </is>
      </c>
      <c r="N58" s="251" t="inlineStr">
        <is>
          <t>Stone Q'ty</t>
        </is>
      </c>
      <c r="O58" s="252" t="inlineStr">
        <is>
          <t>Labor</t>
        </is>
      </c>
      <c r="P58" s="253" t="inlineStr">
        <is>
          <t>Dia Carat</t>
        </is>
      </c>
      <c r="Q58" s="254" t="inlineStr">
        <is>
          <t>Extra Cost</t>
        </is>
      </c>
      <c r="R58" s="254" t="inlineStr">
        <is>
          <t>Dia Packaging Cost</t>
        </is>
      </c>
      <c r="S58" s="254" t="inlineStr">
        <is>
          <t>Dia Handling Cost</t>
        </is>
      </c>
      <c r="T58" s="254" t="inlineStr">
        <is>
          <t>Wire
Cost</t>
        </is>
      </c>
      <c r="U58" s="254" t="inlineStr">
        <is>
          <t>Plating Cost</t>
        </is>
      </c>
      <c r="V58" s="254" t="inlineStr">
        <is>
          <t>Stone
Cost</t>
        </is>
      </c>
      <c r="W58" s="254" t="inlineStr">
        <is>
          <t>Setting
Cost</t>
        </is>
      </c>
      <c r="X58" s="255" t="inlineStr">
        <is>
          <t>Labor
Cost</t>
        </is>
      </c>
      <c r="Y58" s="256" t="inlineStr">
        <is>
          <t>Gold &amp; 5%
Cost</t>
        </is>
      </c>
      <c r="Z58" s="255" t="inlineStr">
        <is>
          <t>Current Gold &amp;
5% Cost</t>
        </is>
      </c>
      <c r="AA58" s="269" t="n"/>
      <c r="AB58" s="269" t="n"/>
      <c r="AC58" s="269" t="n"/>
      <c r="AD58" s="269" t="n"/>
      <c r="AE58" s="269" t="n"/>
      <c r="AG58" s="270" t="n"/>
    </row>
    <row r="59" ht="27" customFormat="1" customHeight="1" s="257">
      <c r="A59" s="258" t="inlineStr">
        <is>
          <t>IDD250321RB-1-14K</t>
        </is>
      </c>
      <c r="B59" s="259" t="inlineStr">
        <is>
          <t>K02339B01 OV F 6.75"</t>
        </is>
      </c>
      <c r="C59" s="259" t="inlineStr">
        <is>
          <t>FSBG5296S8Y</t>
        </is>
      </c>
      <c r="D59" s="259" t="n">
        <v>148391</v>
      </c>
      <c r="E59" s="259" t="n">
        <v>101</v>
      </c>
      <c r="F59" s="259" t="inlineStr">
        <is>
          <t>14K YG</t>
        </is>
      </c>
      <c r="G59" s="260" t="n">
        <v>3</v>
      </c>
      <c r="H59" s="261" t="n">
        <v>70.23</v>
      </c>
      <c r="I59" s="261" t="n">
        <v>0.64</v>
      </c>
      <c r="J59" s="261" t="n">
        <v>2.88</v>
      </c>
      <c r="K59" s="262">
        <f>H59-I59-J59</f>
        <v/>
      </c>
      <c r="L59" s="263" t="n">
        <v>1.05</v>
      </c>
      <c r="M59" s="263" t="inlineStr">
        <is>
          <t>W</t>
        </is>
      </c>
      <c r="N59" s="264" t="n">
        <v>248</v>
      </c>
      <c r="O59" s="265" t="n">
        <v>10</v>
      </c>
      <c r="P59" s="266" t="n">
        <v>3.19</v>
      </c>
      <c r="Q59" s="267" t="n"/>
      <c r="R59" s="267" t="n"/>
      <c r="S59" s="267">
        <f>G59*0.02*N59</f>
        <v/>
      </c>
      <c r="T59" s="267">
        <f>G59*4.6</f>
        <v/>
      </c>
      <c r="U59" s="267">
        <f>G59*0.15*N59</f>
        <v/>
      </c>
      <c r="V59" s="267" t="n"/>
      <c r="W59" s="267">
        <f>G59*N59*0.3</f>
        <v/>
      </c>
      <c r="X59" s="267">
        <f>K59*O59</f>
        <v/>
      </c>
      <c r="Y59" s="267">
        <f>($Y$57/31.1035*IF(LEFT(F59,3)="10K",(0.417*1.07*K59),IF(LEFT(F59,3)="14K",(0.585*1.05*K59),IF(LEFT(F59,3)="18K",(0.75*1.05*K59),0))))*0.5</f>
        <v/>
      </c>
      <c r="Z59" s="268">
        <f>($Z$57/31.1035*IF(LEFT(F59,3)="10K",(0.417*1.07*K59),IF(LEFT(F59,3)="14K",(0.585*1.05*K59),IF(LEFT(F59,3)="18K",(0.75*1.05*K59),0))))*0.5</f>
        <v/>
      </c>
      <c r="AA59" s="269">
        <f>2*K59</f>
        <v/>
      </c>
      <c r="AB59" s="269" t="n">
        <v>897.16</v>
      </c>
      <c r="AC59" s="269" t="n">
        <v>4066.61587536844</v>
      </c>
      <c r="AD59" s="269" t="n">
        <v>4963.77587536844</v>
      </c>
      <c r="AE59" s="269">
        <f>IF(LEFT(F59,3)="10K",(0.417*1.07*K59),IF(LEFT(F59,3)="14K",(0.585*1.05*K59),IF(LEFT(F59,3)="18K",(0.75*1.05*K59),0)))</f>
        <v/>
      </c>
      <c r="AG59" s="270">
        <f>X59</f>
        <v/>
      </c>
    </row>
    <row r="60" ht="27.75" customFormat="1" customHeight="1" s="257">
      <c r="A60" s="258" t="n">
        <v>7</v>
      </c>
      <c r="B60" s="259" t="inlineStr">
        <is>
          <t>K01552B01 6.75"</t>
        </is>
      </c>
      <c r="C60" s="259" t="inlineStr">
        <is>
          <t>FSBG5193S8YW</t>
        </is>
      </c>
      <c r="D60" s="259" t="n">
        <v>148391</v>
      </c>
      <c r="E60" s="259" t="n">
        <v>107</v>
      </c>
      <c r="F60" s="259" t="inlineStr">
        <is>
          <t>14K WYG</t>
        </is>
      </c>
      <c r="G60" s="260" t="n">
        <v>1</v>
      </c>
      <c r="H60" s="261" t="n">
        <v>13.53</v>
      </c>
      <c r="I60" s="261" t="n">
        <v>0.14</v>
      </c>
      <c r="J60" s="261" t="n">
        <v>0.67</v>
      </c>
      <c r="K60" s="262">
        <f>H60-I60-J60</f>
        <v/>
      </c>
      <c r="L60" s="263" t="n">
        <v>1.45</v>
      </c>
      <c r="M60" s="263" t="inlineStr">
        <is>
          <t>W</t>
        </is>
      </c>
      <c r="N60" s="264" t="n">
        <v>55</v>
      </c>
      <c r="O60" s="265">
        <f>8.5+2</f>
        <v/>
      </c>
      <c r="P60" s="266" t="n">
        <v>0.7</v>
      </c>
      <c r="Q60" s="267" t="n"/>
      <c r="R60" s="267" t="n"/>
      <c r="S60" s="267">
        <f>G60*0.02*N60</f>
        <v/>
      </c>
      <c r="T60" s="267">
        <f>G60*4.6</f>
        <v/>
      </c>
      <c r="U60" s="267">
        <f>IF(RIGHT(F60,2)="WG",K60*$AB$4,IF(RIGHT(F60,3)="WRG",K60*$AB$4+3*G60,IF(RIGHT(F60,3)="WYG",K60*$AB$4+3*G60,IF(RIGHT(F60,3)="WYR",K60*$AB$4+3*G60,0))))</f>
        <v/>
      </c>
      <c r="V60" s="267" t="n"/>
      <c r="W60" s="267">
        <f>G60*N60*0.3</f>
        <v/>
      </c>
      <c r="X60" s="267">
        <f>K60*O60</f>
        <v/>
      </c>
      <c r="Y60" s="267">
        <f>($Y$57/31.1035*IF(LEFT(F60,3)="10K",(0.417*1.07*K60),IF(LEFT(F60,3)="14K",(0.585*1.05*K60),IF(LEFT(F60,3)="18K",(0.75*1.05*K60),0))))*0.5</f>
        <v/>
      </c>
      <c r="Z60" s="268">
        <f>($Z$57/31.1035*IF(LEFT(F60,3)="10K",(0.417*1.07*K60),IF(LEFT(F60,3)="14K",(0.585*1.05*K60),IF(LEFT(F60,3)="18K",(0.75*1.05*K60),0))))*0.5</f>
        <v/>
      </c>
      <c r="AA60" s="269">
        <f>2*K60</f>
        <v/>
      </c>
      <c r="AB60" s="269" t="n">
        <v>136.3728</v>
      </c>
      <c r="AC60" s="269" t="n">
        <v>807.510704563607</v>
      </c>
      <c r="AD60" s="269" t="n">
        <v>943.8835045636069</v>
      </c>
      <c r="AE60" s="269">
        <f>IF(LEFT(F60,3)="10K",(0.417*1.07*K60),IF(LEFT(F60,3)="14K",(0.585*1.05*K60),IF(LEFT(F60,3)="18K",(0.75*1.05*K60),0)))</f>
        <v/>
      </c>
      <c r="AG60" s="270">
        <f>X60</f>
        <v/>
      </c>
    </row>
    <row r="61" ht="15.75" customFormat="1" customHeight="1" s="271">
      <c r="A61" s="272" t="inlineStr">
        <is>
          <t>SUBTOTAL</t>
        </is>
      </c>
      <c r="B61" s="273" t="n"/>
      <c r="C61" s="273" t="n"/>
      <c r="D61" s="273" t="n"/>
      <c r="E61" s="273" t="n"/>
      <c r="F61" s="273" t="n"/>
      <c r="G61" s="274">
        <f>SUM(G59:G60)</f>
        <v/>
      </c>
      <c r="H61" s="275" t="n"/>
      <c r="I61" s="275" t="n"/>
      <c r="J61" s="275" t="n"/>
      <c r="K61" s="275">
        <f>SUM(K59:K60)</f>
        <v/>
      </c>
      <c r="L61" s="276" t="n"/>
      <c r="M61" s="276" t="n"/>
      <c r="N61" s="276" t="n"/>
      <c r="O61" s="277" t="n"/>
      <c r="P61" s="278">
        <f>SUM(P59:P60)</f>
        <v/>
      </c>
      <c r="Q61" s="279">
        <f>SUM(Q59:Q60)</f>
        <v/>
      </c>
      <c r="R61" s="279">
        <f>SUM(R59:R60)</f>
        <v/>
      </c>
      <c r="S61" s="279">
        <f>SUM(S59:S60)</f>
        <v/>
      </c>
      <c r="T61" s="279">
        <f>SUM(T59:T60)</f>
        <v/>
      </c>
      <c r="U61" s="279">
        <f>SUM(U59:U60)</f>
        <v/>
      </c>
      <c r="V61" s="279">
        <f>SUM(V59:V60)</f>
        <v/>
      </c>
      <c r="W61" s="279">
        <f>SUM(W59:W60)</f>
        <v/>
      </c>
      <c r="X61" s="279">
        <f>SUM(X59:X60)</f>
        <v/>
      </c>
      <c r="Y61" s="279">
        <f>SUM(Y59:Y60)</f>
        <v/>
      </c>
      <c r="Z61" s="280">
        <f>SUM(Z59:Z60)</f>
        <v/>
      </c>
      <c r="AA61" s="269" t="n"/>
      <c r="AB61" s="269" t="n"/>
      <c r="AC61" s="269" t="n"/>
      <c r="AD61" s="269" t="n"/>
      <c r="AE61" s="269" t="n"/>
      <c r="AG61" s="270" t="n"/>
    </row>
    <row r="62" ht="15.75" customHeight="1" s="240">
      <c r="A62" s="241" t="inlineStr">
        <is>
          <t>Buyer Dia</t>
        </is>
      </c>
      <c r="K62" s="242" t="n"/>
      <c r="L62" s="243" t="n"/>
      <c r="M62" s="243" t="n"/>
      <c r="N62" s="243" t="n"/>
      <c r="W62" s="244" t="n"/>
      <c r="X62" s="245" t="inlineStr">
        <is>
          <t>3rd Apr London AM + 2%</t>
        </is>
      </c>
      <c r="Y62" s="246">
        <f>1.02*3128.15</f>
        <v/>
      </c>
      <c r="Z62" s="246">
        <f>1.02*3128.15</f>
        <v/>
      </c>
      <c r="AA62" s="269" t="n"/>
      <c r="AB62" s="269" t="n"/>
      <c r="AC62" s="269" t="n"/>
      <c r="AD62" s="269" t="n"/>
      <c r="AE62" s="269" t="n"/>
      <c r="AG62" s="270" t="n"/>
    </row>
    <row r="63" ht="27" customFormat="1" customHeight="1" s="247">
      <c r="A63" s="248" t="inlineStr">
        <is>
          <t>PO#</t>
        </is>
      </c>
      <c r="B63" s="249" t="inlineStr">
        <is>
          <t>Item No.</t>
        </is>
      </c>
      <c r="C63" s="249" t="inlineStr">
        <is>
          <t>Buyer No.</t>
        </is>
      </c>
      <c r="D63" s="249" t="inlineStr">
        <is>
          <t>Buyer PO</t>
        </is>
      </c>
      <c r="E63" s="249" t="inlineStr">
        <is>
          <t>IDD PO SERIAL#</t>
        </is>
      </c>
      <c r="F63" s="249" t="inlineStr">
        <is>
          <t>Metal</t>
        </is>
      </c>
      <c r="G63" s="249" t="inlineStr">
        <is>
          <t>Q'ty</t>
        </is>
      </c>
      <c r="H63" s="250" t="inlineStr">
        <is>
          <t>Total w't</t>
        </is>
      </c>
      <c r="I63" s="250" t="inlineStr">
        <is>
          <t>Dia w't</t>
        </is>
      </c>
      <c r="J63" s="250" t="inlineStr">
        <is>
          <t>Wire w't</t>
        </is>
      </c>
      <c r="K63" s="250" t="inlineStr">
        <is>
          <t>Gold w't</t>
        </is>
      </c>
      <c r="L63" s="251" t="inlineStr">
        <is>
          <t>Stone</t>
        </is>
      </c>
      <c r="M63" s="251" t="inlineStr">
        <is>
          <t>Color</t>
        </is>
      </c>
      <c r="N63" s="251" t="inlineStr">
        <is>
          <t>Stone Q'ty</t>
        </is>
      </c>
      <c r="O63" s="252" t="inlineStr">
        <is>
          <t>Labor</t>
        </is>
      </c>
      <c r="P63" s="253" t="inlineStr">
        <is>
          <t>Dia Carat</t>
        </is>
      </c>
      <c r="Q63" s="254" t="inlineStr">
        <is>
          <t>Extra Cost</t>
        </is>
      </c>
      <c r="R63" s="254" t="inlineStr">
        <is>
          <t>Dia Packaging Cost</t>
        </is>
      </c>
      <c r="S63" s="254" t="inlineStr">
        <is>
          <t>Dia Handling Cost</t>
        </is>
      </c>
      <c r="T63" s="254" t="inlineStr">
        <is>
          <t>Wire
Cost</t>
        </is>
      </c>
      <c r="U63" s="254" t="inlineStr">
        <is>
          <t>Plating Cost</t>
        </is>
      </c>
      <c r="V63" s="254" t="inlineStr">
        <is>
          <t>Stone
Cost</t>
        </is>
      </c>
      <c r="W63" s="254" t="inlineStr">
        <is>
          <t>Setting
Cost</t>
        </is>
      </c>
      <c r="X63" s="255" t="inlineStr">
        <is>
          <t>Labor
Cost</t>
        </is>
      </c>
      <c r="Y63" s="256" t="inlineStr">
        <is>
          <t>Gold &amp; 5%
Cost</t>
        </is>
      </c>
      <c r="Z63" s="255" t="inlineStr">
        <is>
          <t>Current Gold &amp;
5% Cost</t>
        </is>
      </c>
      <c r="AA63" s="269" t="n"/>
      <c r="AB63" s="269" t="n"/>
      <c r="AC63" s="269" t="n"/>
      <c r="AD63" s="269" t="n"/>
      <c r="AE63" s="269" t="n"/>
      <c r="AG63" s="270" t="n"/>
    </row>
    <row r="64" ht="27.75" customFormat="1" customHeight="1" s="257">
      <c r="A64" s="258" t="inlineStr">
        <is>
          <t>IDD250401RB-2-14K</t>
        </is>
      </c>
      <c r="B64" s="259" t="inlineStr">
        <is>
          <t>K0725N01 16+1+1"</t>
        </is>
      </c>
      <c r="C64" s="259" t="inlineStr">
        <is>
          <t>FSP5013S8Y</t>
        </is>
      </c>
      <c r="D64" s="259" t="n">
        <v>148527</v>
      </c>
      <c r="E64" s="259" t="inlineStr">
        <is>
          <t>103</t>
        </is>
      </c>
      <c r="F64" s="259" t="inlineStr">
        <is>
          <t>14K YG</t>
        </is>
      </c>
      <c r="G64" s="260" t="n">
        <v>7</v>
      </c>
      <c r="H64" s="261" t="n">
        <v>12.59</v>
      </c>
      <c r="I64" s="261" t="n">
        <v>0.23</v>
      </c>
      <c r="J64" s="261" t="n">
        <v>0</v>
      </c>
      <c r="K64" s="262">
        <f>H64-I64-J64</f>
        <v/>
      </c>
      <c r="L64" s="263" t="n">
        <v>2.2</v>
      </c>
      <c r="M64" s="263" t="inlineStr">
        <is>
          <t>W</t>
        </is>
      </c>
      <c r="N64" s="264" t="n">
        <v>4</v>
      </c>
      <c r="O64" s="265" t="n">
        <v>5</v>
      </c>
      <c r="P64" s="266" t="n">
        <v>1.21</v>
      </c>
      <c r="Q64" s="267" t="n"/>
      <c r="R64" s="267" t="n"/>
      <c r="S64" s="267">
        <f>G64*0.02*N64</f>
        <v/>
      </c>
      <c r="T64" s="267" t="n"/>
      <c r="U64" s="267">
        <f>IF(RIGHT(F64,2)="WG",K64*$AB$4,IF(RIGHT(F64,3)="WRG",K64*$AB$4+3*G64,IF(RIGHT(F64,3)="WYG",K64*$AB$4+3*G64,IF(RIGHT(F64,3)="WYR",K64*$AB$4+3*G64,0))))</f>
        <v/>
      </c>
      <c r="V64" s="267" t="n"/>
      <c r="W64" s="267">
        <f>G64*N64*0.3</f>
        <v/>
      </c>
      <c r="X64" s="267">
        <f>K64*O64</f>
        <v/>
      </c>
      <c r="Y64" s="267">
        <f>($Y$62/31.1035*IF(LEFT(F64,3)="10K",(0.417*1.07*K64),IF(LEFT(F64,3)="14K",(0.585*1.05*K64),IF(LEFT(F64,3)="18K",(0.75*1.05*K64),0))))*0.5</f>
        <v/>
      </c>
      <c r="Z64" s="268">
        <f>($Z$62/31.1035*IF(LEFT(F64,3)="10K",(0.417*1.07*K64),IF(LEFT(F64,3)="14K",(0.585*1.05*K64),IF(LEFT(F64,3)="18K",(0.75*1.05*K64),0))))*0.5</f>
        <v/>
      </c>
      <c r="AA64" s="269">
        <f>2*K64</f>
        <v/>
      </c>
      <c r="AB64" s="269" t="n">
        <v>46.04</v>
      </c>
      <c r="AC64" s="269" t="n">
        <v>970.057276174235</v>
      </c>
      <c r="AD64" s="269" t="n">
        <v>1016.09727617424</v>
      </c>
      <c r="AE64" s="269">
        <f>IF(LEFT(F64,3)="10K",(0.417*1.07*K64),IF(LEFT(F64,3)="14K",(0.585*1.05*K64),IF(LEFT(F64,3)="18K",(0.75*1.05*K64),0)))</f>
        <v/>
      </c>
      <c r="AG64" s="270">
        <f>X64</f>
        <v/>
      </c>
    </row>
    <row r="65" ht="15.75" customFormat="1" customHeight="1" s="271">
      <c r="A65" s="272" t="inlineStr">
        <is>
          <t>SUBTOTAL</t>
        </is>
      </c>
      <c r="B65" s="273" t="n"/>
      <c r="C65" s="273" t="n"/>
      <c r="D65" s="273" t="n"/>
      <c r="E65" s="273" t="n"/>
      <c r="F65" s="273" t="n"/>
      <c r="G65" s="274">
        <f>SUM(G64)</f>
        <v/>
      </c>
      <c r="H65" s="275" t="n"/>
      <c r="I65" s="275" t="n"/>
      <c r="J65" s="275" t="n"/>
      <c r="K65" s="275">
        <f>SUM(K64)</f>
        <v/>
      </c>
      <c r="L65" s="276" t="n"/>
      <c r="M65" s="276" t="n"/>
      <c r="N65" s="276" t="n"/>
      <c r="O65" s="277" t="n"/>
      <c r="P65" s="278">
        <f>SUM(P64)</f>
        <v/>
      </c>
      <c r="Q65" s="279">
        <f>SUM(Q64)</f>
        <v/>
      </c>
      <c r="R65" s="279">
        <f>SUM(R64)</f>
        <v/>
      </c>
      <c r="S65" s="279">
        <f>SUM(S64)</f>
        <v/>
      </c>
      <c r="T65" s="279">
        <f>SUM(T64)</f>
        <v/>
      </c>
      <c r="U65" s="279">
        <f>SUM(U64)</f>
        <v/>
      </c>
      <c r="V65" s="279">
        <f>SUM(V64)</f>
        <v/>
      </c>
      <c r="W65" s="279">
        <f>SUM(W64)</f>
        <v/>
      </c>
      <c r="X65" s="279">
        <f>SUM(X64)</f>
        <v/>
      </c>
      <c r="Y65" s="279">
        <f>SUM(Y64)</f>
        <v/>
      </c>
      <c r="Z65" s="280">
        <f>SUM(Z64)</f>
        <v/>
      </c>
      <c r="AA65" s="269" t="n"/>
      <c r="AB65" s="269" t="n"/>
      <c r="AC65" s="269" t="n"/>
      <c r="AD65" s="269" t="n"/>
      <c r="AE65" s="269" t="n"/>
      <c r="AG65" s="270" t="n"/>
    </row>
    <row r="66" ht="15.75" customHeight="1" s="240">
      <c r="A66" s="241" t="inlineStr">
        <is>
          <t>Buyer Dia</t>
        </is>
      </c>
      <c r="K66" s="242" t="n"/>
      <c r="L66" s="243" t="n"/>
      <c r="M66" s="243" t="n"/>
      <c r="N66" s="243" t="n"/>
      <c r="W66" s="244" t="n"/>
      <c r="X66" s="245" t="inlineStr">
        <is>
          <t>7th Apr London AM + 2%</t>
        </is>
      </c>
      <c r="Y66" s="246">
        <f>3025.1*1.02</f>
        <v/>
      </c>
      <c r="Z66" s="246">
        <f>3025.1*1.02</f>
        <v/>
      </c>
      <c r="AA66" s="269" t="n"/>
      <c r="AB66" s="269" t="n"/>
      <c r="AC66" s="269" t="n"/>
      <c r="AD66" s="269" t="n"/>
      <c r="AE66" s="269" t="n"/>
      <c r="AG66" s="270" t="n"/>
    </row>
    <row r="67" ht="27" customFormat="1" customHeight="1" s="247">
      <c r="A67" s="248" t="inlineStr">
        <is>
          <t>PO#</t>
        </is>
      </c>
      <c r="B67" s="249" t="inlineStr">
        <is>
          <t>Item No.</t>
        </is>
      </c>
      <c r="C67" s="249" t="inlineStr">
        <is>
          <t>Buyer No.</t>
        </is>
      </c>
      <c r="D67" s="249" t="inlineStr">
        <is>
          <t>Buyer PO</t>
        </is>
      </c>
      <c r="E67" s="249" t="inlineStr">
        <is>
          <t>IDD PO SERIAL#</t>
        </is>
      </c>
      <c r="F67" s="249" t="inlineStr">
        <is>
          <t>Metal</t>
        </is>
      </c>
      <c r="G67" s="249" t="inlineStr">
        <is>
          <t>Q'ty</t>
        </is>
      </c>
      <c r="H67" s="250" t="inlineStr">
        <is>
          <t>Total w't</t>
        </is>
      </c>
      <c r="I67" s="250" t="inlineStr">
        <is>
          <t>Dia w't</t>
        </is>
      </c>
      <c r="J67" s="250" t="inlineStr">
        <is>
          <t>Wire w't</t>
        </is>
      </c>
      <c r="K67" s="250" t="inlineStr">
        <is>
          <t>Gold w't</t>
        </is>
      </c>
      <c r="L67" s="251" t="inlineStr">
        <is>
          <t>Stone</t>
        </is>
      </c>
      <c r="M67" s="251" t="inlineStr">
        <is>
          <t>Color</t>
        </is>
      </c>
      <c r="N67" s="251" t="inlineStr">
        <is>
          <t>Stone Q'ty</t>
        </is>
      </c>
      <c r="O67" s="252" t="inlineStr">
        <is>
          <t>Labor</t>
        </is>
      </c>
      <c r="P67" s="253" t="inlineStr">
        <is>
          <t>Dia Carat</t>
        </is>
      </c>
      <c r="Q67" s="254" t="inlineStr">
        <is>
          <t>Extra Cost</t>
        </is>
      </c>
      <c r="R67" s="254" t="inlineStr">
        <is>
          <t>Dia Packaging Cost</t>
        </is>
      </c>
      <c r="S67" s="254" t="inlineStr">
        <is>
          <t>Dia Handling Cost</t>
        </is>
      </c>
      <c r="T67" s="254" t="inlineStr">
        <is>
          <t>Wire
Cost</t>
        </is>
      </c>
      <c r="U67" s="254" t="inlineStr">
        <is>
          <t>Plating Cost</t>
        </is>
      </c>
      <c r="V67" s="254" t="inlineStr">
        <is>
          <t>Stone
Cost</t>
        </is>
      </c>
      <c r="W67" s="254" t="inlineStr">
        <is>
          <t>Setting
Cost</t>
        </is>
      </c>
      <c r="X67" s="255" t="inlineStr">
        <is>
          <t>Labor
Cost</t>
        </is>
      </c>
      <c r="Y67" s="256" t="inlineStr">
        <is>
          <t>Gold &amp; 5%
Cost</t>
        </is>
      </c>
      <c r="Z67" s="255" t="inlineStr">
        <is>
          <t>Current Gold &amp;
5% Cost</t>
        </is>
      </c>
      <c r="AA67" s="269" t="n"/>
      <c r="AB67" s="269" t="n"/>
      <c r="AC67" s="269" t="n"/>
      <c r="AD67" s="269" t="n"/>
      <c r="AE67" s="269" t="n"/>
      <c r="AG67" s="270" t="n"/>
    </row>
    <row r="68" ht="27" customFormat="1" customHeight="1" s="257">
      <c r="A68" s="258" t="inlineStr">
        <is>
          <t>IDD250401RB-3-14K</t>
        </is>
      </c>
      <c r="B68" s="259" t="inlineStr">
        <is>
          <t>K02669B01 6.75"</t>
        </is>
      </c>
      <c r="C68" s="259" t="inlineStr">
        <is>
          <t>FSBG5383W</t>
        </is>
      </c>
      <c r="D68" s="259" t="n">
        <v>148519</v>
      </c>
      <c r="E68" s="259" t="n">
        <v>101</v>
      </c>
      <c r="F68" s="259" t="inlineStr">
        <is>
          <t>14K WG</t>
        </is>
      </c>
      <c r="G68" s="260" t="n">
        <v>2</v>
      </c>
      <c r="H68" s="281" t="n">
        <v>17.25</v>
      </c>
      <c r="I68" s="281" t="n">
        <v>0</v>
      </c>
      <c r="J68" s="281" t="n">
        <v>0.64</v>
      </c>
      <c r="K68" s="282">
        <f>H68-I68-J68</f>
        <v/>
      </c>
      <c r="L68" s="263" t="n"/>
      <c r="M68" s="263" t="n"/>
      <c r="N68" s="264" t="n"/>
      <c r="O68" s="265">
        <f>9.5+2</f>
        <v/>
      </c>
      <c r="P68" s="266" t="n">
        <v>0</v>
      </c>
      <c r="Q68" s="267" t="n"/>
      <c r="R68" s="267" t="n"/>
      <c r="S68" s="267" t="n"/>
      <c r="T68" s="267">
        <f>G68*2.3</f>
        <v/>
      </c>
      <c r="U68" s="267">
        <f>IF(RIGHT(F68,2)="WG",K68*$AB$4,IF(RIGHT(F68,3)="WRG",K68*$AB$4+3*G68,IF(RIGHT(F68,3)="WYG",K68*$AB$4+3*G68,IF(RIGHT(F68,3)="WYR",K68*$AB$4+3*G68,0))))</f>
        <v/>
      </c>
      <c r="V68" s="267" t="n"/>
      <c r="W68" s="267">
        <f>G68*N68*0.3</f>
        <v/>
      </c>
      <c r="X68" s="267">
        <f>K68*O68</f>
        <v/>
      </c>
      <c r="Y68" s="267">
        <f>($Y$66/31.1035*IF(LEFT(F68,3)="10K",(0.417*1.07*K68),IF(LEFT(F68,3)="14K",(0.585*1.05*K68),IF(LEFT(F68,3)="18K",(0.75*1.05*K68),0))))*0.5</f>
        <v/>
      </c>
      <c r="Z68" s="268">
        <f>($Z$66/31.1035*IF(LEFT(F68,3)="10K",(0.417*1.07*K68),IF(LEFT(F68,3)="14K",(0.585*1.05*K68),IF(LEFT(F68,3)="18K",(0.75*1.05*K68),0))))*0.5</f>
        <v/>
      </c>
      <c r="AA68" s="269">
        <f>2*K68</f>
        <v/>
      </c>
      <c r="AB68" s="269" t="n">
        <v>166.3814</v>
      </c>
      <c r="AC68" s="269" t="n">
        <v>734.5938599999999</v>
      </c>
      <c r="AD68" s="269" t="n">
        <v>900.97526</v>
      </c>
      <c r="AE68" s="269">
        <f>IF(LEFT(F68,3)="10K",(0.417*1.07*K68),IF(LEFT(F68,3)="14K",(0.585*1.05*K68),IF(LEFT(F68,3)="18K",(0.75*1.05*K68),0)))</f>
        <v/>
      </c>
      <c r="AG68" s="270">
        <f>X68</f>
        <v/>
      </c>
    </row>
    <row r="69" ht="27" customFormat="1" customHeight="1" s="257">
      <c r="A69" s="258" t="n">
        <v>2</v>
      </c>
      <c r="B69" s="259" t="inlineStr">
        <is>
          <t>K0098B191 6.75"</t>
        </is>
      </c>
      <c r="C69" s="259" t="inlineStr">
        <is>
          <t>FSBG5153S8W</t>
        </is>
      </c>
      <c r="D69" s="259" t="n">
        <v>148519</v>
      </c>
      <c r="E69" s="259" t="n">
        <v>103</v>
      </c>
      <c r="F69" s="259" t="inlineStr">
        <is>
          <t>14K WG</t>
        </is>
      </c>
      <c r="G69" s="260" t="n">
        <v>1</v>
      </c>
      <c r="H69" s="281" t="n">
        <v>6.26</v>
      </c>
      <c r="I69" s="281" t="n">
        <v>0.1</v>
      </c>
      <c r="J69" s="281" t="n">
        <v>0.32</v>
      </c>
      <c r="K69" s="282">
        <f>H69-I69-J69</f>
        <v/>
      </c>
      <c r="L69" s="263" t="n">
        <v>2</v>
      </c>
      <c r="M69" s="263" t="inlineStr">
        <is>
          <t>W</t>
        </is>
      </c>
      <c r="N69" s="264" t="n">
        <v>15</v>
      </c>
      <c r="O69" s="265" t="n">
        <v>9.5</v>
      </c>
      <c r="P69" s="266" t="n">
        <v>0.5</v>
      </c>
      <c r="Q69" s="267" t="n"/>
      <c r="R69" s="267" t="n"/>
      <c r="S69" s="267">
        <f>G69*0.02*N69</f>
        <v/>
      </c>
      <c r="T69" s="267">
        <f>G69*2.3</f>
        <v/>
      </c>
      <c r="U69" s="267">
        <f>IF(RIGHT(F69,2)="WG",K69*$AB$4,IF(RIGHT(F69,3)="WRG",K69*$AB$4+3*G69,IF(RIGHT(F69,3)="WYG",K69*$AB$4+3*G69,IF(RIGHT(F69,3)="WYR",K69*$AB$4+3*G69,0))))</f>
        <v/>
      </c>
      <c r="V69" s="267" t="n"/>
      <c r="W69" s="267">
        <f>G69*N69*1</f>
        <v/>
      </c>
      <c r="X69" s="267">
        <f>K69*O69</f>
        <v/>
      </c>
      <c r="Y69" s="267">
        <f>($Y$66/31.1035*IF(LEFT(F69,3)="10K",(0.417*1.07*K69),IF(LEFT(F69,3)="14K",(0.585*1.05*K69),IF(LEFT(F69,3)="18K",(0.75*1.05*K69),0))))*0.5</f>
        <v/>
      </c>
      <c r="Z69" s="268">
        <f>($Z$66/31.1035*IF(LEFT(F69,3)="10K",(0.417*1.07*K69),IF(LEFT(F69,3)="14K",(0.585*1.05*K69),IF(LEFT(F69,3)="18K",(0.75*1.05*K69),0))))*0.5</f>
        <v/>
      </c>
      <c r="AA69" s="269">
        <f>2*K69</f>
        <v/>
      </c>
      <c r="AB69" s="269" t="n">
        <v>62.8016</v>
      </c>
      <c r="AC69" s="269" t="n">
        <v>433.248400402576</v>
      </c>
      <c r="AD69" s="269" t="n">
        <v>496.050000402577</v>
      </c>
      <c r="AE69" s="269">
        <f>IF(LEFT(F69,3)="10K",(0.417*1.07*K69),IF(LEFT(F69,3)="14K",(0.585*1.05*K69),IF(LEFT(F69,3)="18K",(0.75*1.05*K69),0)))</f>
        <v/>
      </c>
      <c r="AG69" s="270">
        <f>X69</f>
        <v/>
      </c>
    </row>
    <row r="70" ht="27" customFormat="1" customHeight="1" s="257">
      <c r="A70" s="258" t="n">
        <v>2</v>
      </c>
      <c r="B70" s="259" t="inlineStr">
        <is>
          <t>K0098B191 6.75"</t>
        </is>
      </c>
      <c r="C70" s="259" t="inlineStr">
        <is>
          <t>FSBG5153S8Y</t>
        </is>
      </c>
      <c r="D70" s="259" t="n">
        <v>148519</v>
      </c>
      <c r="E70" s="259" t="n">
        <v>104</v>
      </c>
      <c r="F70" s="259" t="inlineStr">
        <is>
          <t>14K YG</t>
        </is>
      </c>
      <c r="G70" s="260" t="n">
        <v>3</v>
      </c>
      <c r="H70" s="281" t="n">
        <v>18.4</v>
      </c>
      <c r="I70" s="281" t="n">
        <v>0.3</v>
      </c>
      <c r="J70" s="281" t="n">
        <v>0.95</v>
      </c>
      <c r="K70" s="282">
        <f>H70-I70-J70</f>
        <v/>
      </c>
      <c r="L70" s="263" t="n">
        <v>2</v>
      </c>
      <c r="M70" s="263" t="inlineStr">
        <is>
          <t>W</t>
        </is>
      </c>
      <c r="N70" s="264" t="n">
        <v>15</v>
      </c>
      <c r="O70" s="265" t="n">
        <v>9.5</v>
      </c>
      <c r="P70" s="266" t="n">
        <v>1.51</v>
      </c>
      <c r="Q70" s="267" t="n"/>
      <c r="R70" s="267" t="n"/>
      <c r="S70" s="267">
        <f>G70*0.02*N70</f>
        <v/>
      </c>
      <c r="T70" s="267">
        <f>G70*2.3</f>
        <v/>
      </c>
      <c r="U70" s="267">
        <f>IF(RIGHT(F70,2)="WG",K70*$AB$4,IF(RIGHT(F70,3)="WRG",K70*$AB$4+3*G70,IF(RIGHT(F70,3)="WYG",K70*$AB$4+3*G70,IF(RIGHT(F70,3)="WYR",K70*$AB$4+3*G70,0))))</f>
        <v/>
      </c>
      <c r="V70" s="267" t="n"/>
      <c r="W70" s="267">
        <f>G70*N70*1</f>
        <v/>
      </c>
      <c r="X70" s="267">
        <f>K70*O70</f>
        <v/>
      </c>
      <c r="Y70" s="267">
        <f>($Y$66/31.1035*IF(LEFT(F70,3)="10K",(0.417*1.07*K70),IF(LEFT(F70,3)="14K",(0.585*1.05*K70),IF(LEFT(F70,3)="18K",(0.75*1.05*K70),0))))*0.5</f>
        <v/>
      </c>
      <c r="Z70" s="268">
        <f>($Z$66/31.1035*IF(LEFT(F70,3)="10K",(0.417*1.07*K70),IF(LEFT(F70,3)="14K",(0.585*1.05*K70),IF(LEFT(F70,3)="18K",(0.75*1.05*K70),0))))*0.5</f>
        <v/>
      </c>
      <c r="AA70" s="269">
        <f>2*K70</f>
        <v/>
      </c>
      <c r="AB70" s="269" t="n">
        <v>181.425</v>
      </c>
      <c r="AC70" s="269" t="n">
        <v>1286.88095241578</v>
      </c>
      <c r="AD70" s="269" t="n">
        <v>1468.30595241578</v>
      </c>
      <c r="AE70" s="269">
        <f>IF(LEFT(F70,3)="10K",(0.417*1.07*K70),IF(LEFT(F70,3)="14K",(0.585*1.05*K70),IF(LEFT(F70,3)="18K",(0.75*1.05*K70),0)))</f>
        <v/>
      </c>
      <c r="AG70" s="270">
        <f>X70</f>
        <v/>
      </c>
    </row>
    <row r="71" ht="27" customFormat="1" customHeight="1" s="257">
      <c r="A71" s="258" t="n">
        <v>3</v>
      </c>
      <c r="B71" s="259" t="inlineStr">
        <is>
          <t>K02672B01 6.75"</t>
        </is>
      </c>
      <c r="C71" s="259" t="inlineStr">
        <is>
          <t>FSBG5381W</t>
        </is>
      </c>
      <c r="D71" s="259" t="n">
        <v>148519</v>
      </c>
      <c r="E71" s="259" t="n">
        <v>105</v>
      </c>
      <c r="F71" s="259" t="inlineStr">
        <is>
          <t>14K WG</t>
        </is>
      </c>
      <c r="G71" s="260" t="n">
        <v>2</v>
      </c>
      <c r="H71" s="281" t="n">
        <v>16.05</v>
      </c>
      <c r="I71" s="281" t="n">
        <v>0</v>
      </c>
      <c r="J71" s="281" t="n">
        <v>0.64</v>
      </c>
      <c r="K71" s="282">
        <f>H71-I71-J71</f>
        <v/>
      </c>
      <c r="L71" s="263" t="n"/>
      <c r="M71" s="263" t="n"/>
      <c r="N71" s="264" t="n"/>
      <c r="O71" s="265">
        <f>9.5+2</f>
        <v/>
      </c>
      <c r="P71" s="266" t="n">
        <v>0</v>
      </c>
      <c r="Q71" s="267" t="n"/>
      <c r="R71" s="267" t="n"/>
      <c r="S71" s="267" t="n"/>
      <c r="T71" s="267">
        <f>G71*2.3</f>
        <v/>
      </c>
      <c r="U71" s="267">
        <f>IF(RIGHT(F71,2)="WG",K71*$AB$4,IF(RIGHT(F71,3)="WRG",K71*$AB$4+3*G71,IF(RIGHT(F71,3)="WYG",K71*$AB$4+3*G71,IF(RIGHT(F71,3)="WYR",K71*$AB$4+3*G71,0))))</f>
        <v/>
      </c>
      <c r="V71" s="267" t="n"/>
      <c r="W71" s="267">
        <f>G71*N71*0.3</f>
        <v/>
      </c>
      <c r="X71" s="267">
        <f>K71*O71</f>
        <v/>
      </c>
      <c r="Y71" s="267">
        <f>($Y$66/31.1035*IF(LEFT(F71,3)="10K",(0.417*1.07*K71),IF(LEFT(F71,3)="14K",(0.585*1.05*K71),IF(LEFT(F71,3)="18K",(0.75*1.05*K71),0))))*0.5</f>
        <v/>
      </c>
      <c r="Z71" s="268">
        <f>($Z$66/31.1035*IF(LEFT(F71,3)="10K",(0.417*1.07*K71),IF(LEFT(F71,3)="14K",(0.585*1.05*K71),IF(LEFT(F71,3)="18K",(0.75*1.05*K71),0))))*0.5</f>
        <v/>
      </c>
      <c r="AA71" s="269">
        <f>2*K71</f>
        <v/>
      </c>
      <c r="AB71" s="269" t="n">
        <v>154.6934</v>
      </c>
      <c r="AC71" s="269" t="n">
        <v>681.52266</v>
      </c>
      <c r="AD71" s="269" t="n">
        <v>836.21606</v>
      </c>
      <c r="AE71" s="269">
        <f>IF(LEFT(F71,3)="10K",(0.417*1.07*K71),IF(LEFT(F71,3)="14K",(0.585*1.05*K71),IF(LEFT(F71,3)="18K",(0.75*1.05*K71),0)))</f>
        <v/>
      </c>
      <c r="AG71" s="270">
        <f>X71</f>
        <v/>
      </c>
    </row>
    <row r="72" ht="27" customFormat="1" customHeight="1" s="257">
      <c r="A72" s="258" t="n">
        <v>4</v>
      </c>
      <c r="B72" s="259" t="inlineStr">
        <is>
          <t>K02747B01 6.75"</t>
        </is>
      </c>
      <c r="C72" s="259" t="inlineStr">
        <is>
          <t>FSBG5394W</t>
        </is>
      </c>
      <c r="D72" s="259" t="n">
        <v>148519</v>
      </c>
      <c r="E72" s="259" t="n">
        <v>106</v>
      </c>
      <c r="F72" s="259" t="inlineStr">
        <is>
          <t>14K WG</t>
        </is>
      </c>
      <c r="G72" s="260" t="n">
        <v>2</v>
      </c>
      <c r="H72" s="281" t="n">
        <v>15.94</v>
      </c>
      <c r="I72" s="281" t="n">
        <v>0</v>
      </c>
      <c r="J72" s="281" t="n">
        <v>0.64</v>
      </c>
      <c r="K72" s="282">
        <f>H72-I72-J72</f>
        <v/>
      </c>
      <c r="L72" s="263" t="n"/>
      <c r="M72" s="263" t="n"/>
      <c r="N72" s="264" t="n"/>
      <c r="O72" s="265">
        <f>9.5+2</f>
        <v/>
      </c>
      <c r="P72" s="266" t="n">
        <v>0</v>
      </c>
      <c r="Q72" s="267" t="n"/>
      <c r="R72" s="267" t="n"/>
      <c r="S72" s="267" t="n"/>
      <c r="T72" s="267">
        <f>G72*2.3</f>
        <v/>
      </c>
      <c r="U72" s="267">
        <f>IF(RIGHT(F72,2)="WG",K72*$AB$4,IF(RIGHT(F72,3)="WRG",K72*$AB$4+3*G72,IF(RIGHT(F72,3)="WYG",K72*$AB$4+3*G72,IF(RIGHT(F72,3)="WYR",K72*$AB$4+3*G72,0))))</f>
        <v/>
      </c>
      <c r="V72" s="267" t="n"/>
      <c r="W72" s="267">
        <f>G72*N72*0.3</f>
        <v/>
      </c>
      <c r="X72" s="267">
        <f>K72*O72</f>
        <v/>
      </c>
      <c r="Y72" s="267">
        <f>($Y$66/31.1035*IF(LEFT(F72,3)="10K",(0.417*1.07*K72),IF(LEFT(F72,3)="14K",(0.585*1.05*K72),IF(LEFT(F72,3)="18K",(0.75*1.05*K72),0))))*0.5</f>
        <v/>
      </c>
      <c r="Z72" s="268">
        <f>($Z$66/31.1035*IF(LEFT(F72,3)="10K",(0.417*1.07*K72),IF(LEFT(F72,3)="14K",(0.585*1.05*K72),IF(LEFT(F72,3)="18K",(0.75*1.05*K72),0))))*0.5</f>
        <v/>
      </c>
      <c r="AA72" s="269">
        <f>2*K72</f>
        <v/>
      </c>
      <c r="AB72" s="269" t="n">
        <v>153.622</v>
      </c>
      <c r="AC72" s="269" t="n">
        <v>676.6578</v>
      </c>
      <c r="AD72" s="269" t="n">
        <v>830.2798</v>
      </c>
      <c r="AE72" s="269">
        <f>IF(LEFT(F72,3)="10K",(0.417*1.07*K72),IF(LEFT(F72,3)="14K",(0.585*1.05*K72),IF(LEFT(F72,3)="18K",(0.75*1.05*K72),0)))</f>
        <v/>
      </c>
      <c r="AG72" s="270">
        <f>X72</f>
        <v/>
      </c>
    </row>
    <row r="73" ht="27" customFormat="1" customHeight="1" s="257">
      <c r="A73" s="258" t="n">
        <v>5</v>
      </c>
      <c r="B73" s="259" t="inlineStr">
        <is>
          <t>K0634B01 OV 6.75"</t>
        </is>
      </c>
      <c r="C73" s="259" t="inlineStr">
        <is>
          <t>FSBG5045S8W</t>
        </is>
      </c>
      <c r="D73" s="259" t="n">
        <v>148519</v>
      </c>
      <c r="E73" s="259" t="n">
        <v>110</v>
      </c>
      <c r="F73" s="259" t="inlineStr">
        <is>
          <t>14K WG</t>
        </is>
      </c>
      <c r="G73" s="260" t="n">
        <v>1</v>
      </c>
      <c r="H73" s="281" t="n">
        <v>6.71</v>
      </c>
      <c r="I73" s="281" t="n">
        <v>0.03</v>
      </c>
      <c r="J73" s="281" t="n">
        <v>0.32</v>
      </c>
      <c r="K73" s="282">
        <f>H73-I73-J73</f>
        <v/>
      </c>
      <c r="L73" s="263" t="n">
        <v>1.5</v>
      </c>
      <c r="M73" s="263" t="inlineStr">
        <is>
          <t>W</t>
        </is>
      </c>
      <c r="N73" s="264" t="n">
        <v>13</v>
      </c>
      <c r="O73" s="265" t="n">
        <v>9.5</v>
      </c>
      <c r="P73" s="266" t="n">
        <v>0.17</v>
      </c>
      <c r="Q73" s="267" t="n"/>
      <c r="R73" s="267" t="n"/>
      <c r="S73" s="267">
        <f>G73*0.02*N73</f>
        <v/>
      </c>
      <c r="T73" s="267">
        <f>G73*2.3</f>
        <v/>
      </c>
      <c r="U73" s="267">
        <f>IF(RIGHT(F73,2)="WG",K73*$AB$4,IF(RIGHT(F73,3)="WRG",K73*$AB$4+3*G73,IF(RIGHT(F73,3)="WYG",K73*$AB$4+3*G73,IF(RIGHT(F73,3)="WYR",K73*$AB$4+3*G73,0))))</f>
        <v/>
      </c>
      <c r="V73" s="267" t="n"/>
      <c r="W73" s="267">
        <f>G73*N73*0.3</f>
        <v/>
      </c>
      <c r="X73" s="267">
        <f>K73*O73</f>
        <v/>
      </c>
      <c r="Y73" s="267">
        <f>($Y$66/31.1035*IF(LEFT(F73,3)="10K",(0.417*1.07*K73),IF(LEFT(F73,3)="14K",(0.585*1.05*K73),IF(LEFT(F73,3)="18K",(0.75*1.05*K73),0))))*0.5</f>
        <v/>
      </c>
      <c r="Z73" s="268">
        <f>($Z$66/31.1035*IF(LEFT(F73,3)="10K",(0.417*1.07*K73),IF(LEFT(F73,3)="14K",(0.585*1.05*K73),IF(LEFT(F73,3)="18K",(0.75*1.05*K73),0))))*0.5</f>
        <v/>
      </c>
      <c r="AA73" s="269">
        <f>2*K73</f>
        <v/>
      </c>
      <c r="AB73" s="269" t="n">
        <v>55.6864</v>
      </c>
      <c r="AC73" s="269" t="n">
        <v>340.766670536876</v>
      </c>
      <c r="AD73" s="269" t="n">
        <v>396.453070536876</v>
      </c>
      <c r="AE73" s="269">
        <f>IF(LEFT(F73,3)="10K",(0.417*1.07*K73),IF(LEFT(F73,3)="14K",(0.585*1.05*K73),IF(LEFT(F73,3)="18K",(0.75*1.05*K73),0)))</f>
        <v/>
      </c>
      <c r="AG73" s="270">
        <f>X73</f>
        <v/>
      </c>
    </row>
    <row r="74" ht="27" customFormat="1" customHeight="1" s="257">
      <c r="A74" s="258" t="n">
        <v>5</v>
      </c>
      <c r="B74" s="259" t="inlineStr">
        <is>
          <t>K0634B01 OV 6.75"</t>
        </is>
      </c>
      <c r="C74" s="259" t="inlineStr">
        <is>
          <t>FSBG5045S8Y</t>
        </is>
      </c>
      <c r="D74" s="259" t="n">
        <v>148519</v>
      </c>
      <c r="E74" s="259" t="n">
        <v>109</v>
      </c>
      <c r="F74" s="259" t="inlineStr">
        <is>
          <t>14K YG</t>
        </is>
      </c>
      <c r="G74" s="260" t="n">
        <v>2</v>
      </c>
      <c r="H74" s="281" t="n">
        <v>12.96</v>
      </c>
      <c r="I74" s="281" t="n">
        <v>0.06</v>
      </c>
      <c r="J74" s="281" t="n">
        <v>0.64</v>
      </c>
      <c r="K74" s="282">
        <f>H74-I74-J74</f>
        <v/>
      </c>
      <c r="L74" s="263" t="n">
        <v>1.5</v>
      </c>
      <c r="M74" s="263" t="inlineStr">
        <is>
          <t>W</t>
        </is>
      </c>
      <c r="N74" s="264" t="n">
        <v>13</v>
      </c>
      <c r="O74" s="265" t="n">
        <v>9.5</v>
      </c>
      <c r="P74" s="266" t="n">
        <v>0.32</v>
      </c>
      <c r="Q74" s="267" t="n"/>
      <c r="R74" s="267" t="n"/>
      <c r="S74" s="267">
        <f>G74*0.02*N74</f>
        <v/>
      </c>
      <c r="T74" s="267">
        <f>G74*2.3</f>
        <v/>
      </c>
      <c r="U74" s="267">
        <f>IF(RIGHT(F74,2)="WG",K74*$AB$4,IF(RIGHT(F74,3)="WRG",K74*$AB$4+3*G74,IF(RIGHT(F74,3)="WYG",K74*$AB$4+3*G74,IF(RIGHT(F74,3)="WYR",K74*$AB$4+3*G74,0))))</f>
        <v/>
      </c>
      <c r="V74" s="267" t="n"/>
      <c r="W74" s="267">
        <f>G74*N74*0.3</f>
        <v/>
      </c>
      <c r="X74" s="267">
        <f>K74*O74</f>
        <v/>
      </c>
      <c r="Y74" s="267">
        <f>($Y$66/31.1035*IF(LEFT(F74,3)="10K",(0.417*1.07*K74),IF(LEFT(F74,3)="14K",(0.585*1.05*K74),IF(LEFT(F74,3)="18K",(0.75*1.05*K74),0))))*0.5</f>
        <v/>
      </c>
      <c r="Z74" s="268">
        <f>($Z$66/31.1035*IF(LEFT(F74,3)="10K",(0.417*1.07*K74),IF(LEFT(F74,3)="14K",(0.585*1.05*K74),IF(LEFT(F74,3)="18K",(0.75*1.05*K74),0))))*0.5</f>
        <v/>
      </c>
      <c r="AA74" s="269">
        <f>2*K74</f>
        <v/>
      </c>
      <c r="AB74" s="269" t="n">
        <v>104.87</v>
      </c>
      <c r="AC74" s="269" t="n">
        <v>654.1906386576489</v>
      </c>
      <c r="AD74" s="269" t="n">
        <v>759.060638657649</v>
      </c>
      <c r="AE74" s="269">
        <f>IF(LEFT(F74,3)="10K",(0.417*1.07*K74),IF(LEFT(F74,3)="14K",(0.585*1.05*K74),IF(LEFT(F74,3)="18K",(0.75*1.05*K74),0)))</f>
        <v/>
      </c>
      <c r="AG74" s="270">
        <f>X74</f>
        <v/>
      </c>
    </row>
    <row r="75" ht="27" customFormat="1" customHeight="1" s="257">
      <c r="A75" s="258" t="n">
        <v>6</v>
      </c>
      <c r="B75" s="259" t="inlineStr">
        <is>
          <t>K0098B140 6.75"</t>
        </is>
      </c>
      <c r="C75" s="259" t="inlineStr">
        <is>
          <t>FSBG5232W</t>
        </is>
      </c>
      <c r="D75" s="259" t="n">
        <v>148519</v>
      </c>
      <c r="E75" s="259" t="n">
        <v>111</v>
      </c>
      <c r="F75" s="259" t="inlineStr">
        <is>
          <t>14K WG</t>
        </is>
      </c>
      <c r="G75" s="260" t="n">
        <v>4</v>
      </c>
      <c r="H75" s="281" t="n">
        <v>18.9</v>
      </c>
      <c r="I75" s="281" t="n">
        <v>0</v>
      </c>
      <c r="J75" s="281" t="n">
        <v>1.28</v>
      </c>
      <c r="K75" s="282">
        <f>H75-I75-J75</f>
        <v/>
      </c>
      <c r="L75" s="263" t="n"/>
      <c r="M75" s="263" t="n"/>
      <c r="N75" s="264" t="n"/>
      <c r="O75" s="265" t="n">
        <v>9.5</v>
      </c>
      <c r="P75" s="266" t="n">
        <v>0</v>
      </c>
      <c r="Q75" s="267" t="n"/>
      <c r="R75" s="267" t="n"/>
      <c r="S75" s="267" t="n"/>
      <c r="T75" s="267">
        <f>G75*2.3</f>
        <v/>
      </c>
      <c r="U75" s="267">
        <f>IF(RIGHT(F75,2)="WG",K75*$AB$4,IF(RIGHT(F75,3)="WRG",K75*$AB$4+3*G75,IF(RIGHT(F75,3)="WYG",K75*$AB$4+3*G75,IF(RIGHT(F75,3)="WYR",K75*$AB$4+3*G75,0))))</f>
        <v/>
      </c>
      <c r="V75" s="267" t="n"/>
      <c r="W75" s="267">
        <f>G75*N75*0.3</f>
        <v/>
      </c>
      <c r="X75" s="267">
        <f>K75*O75</f>
        <v/>
      </c>
      <c r="Y75" s="267">
        <f>($Y$66/31.1035*IF(LEFT(F75,3)="10K",(0.417*1.07*K75),IF(LEFT(F75,3)="14K",(0.585*1.05*K75),IF(LEFT(F75,3)="18K",(0.75*1.05*K75),0))))*0.5</f>
        <v/>
      </c>
      <c r="Z75" s="268">
        <f>($Z$66/31.1035*IF(LEFT(F75,3)="10K",(0.417*1.07*K75),IF(LEFT(F75,3)="14K",(0.585*1.05*K75),IF(LEFT(F75,3)="18K",(0.75*1.05*K75),0))))*0.5</f>
        <v/>
      </c>
      <c r="AA75" s="269">
        <f>2*K75</f>
        <v/>
      </c>
      <c r="AB75" s="269" t="n">
        <v>145.5788</v>
      </c>
      <c r="AC75" s="269" t="n">
        <v>779.26212</v>
      </c>
      <c r="AD75" s="269" t="n">
        <v>924.84092</v>
      </c>
      <c r="AE75" s="269">
        <f>IF(LEFT(F75,3)="10K",(0.417*1.07*K75),IF(LEFT(F75,3)="14K",(0.585*1.05*K75),IF(LEFT(F75,3)="18K",(0.75*1.05*K75),0)))</f>
        <v/>
      </c>
      <c r="AG75" s="270">
        <f>X75</f>
        <v/>
      </c>
    </row>
    <row r="76" ht="27" customFormat="1" customHeight="1" s="257">
      <c r="A76" s="258" t="n">
        <v>7</v>
      </c>
      <c r="B76" s="259" t="inlineStr">
        <is>
          <t>K0098B283 6.75"</t>
        </is>
      </c>
      <c r="C76" s="259" t="inlineStr">
        <is>
          <t>FSBG5190S8W</t>
        </is>
      </c>
      <c r="D76" s="259" t="n">
        <v>148519</v>
      </c>
      <c r="E76" s="259" t="n">
        <v>112</v>
      </c>
      <c r="F76" s="259" t="inlineStr">
        <is>
          <t>14K WG</t>
        </is>
      </c>
      <c r="G76" s="260" t="n">
        <v>2</v>
      </c>
      <c r="H76" s="281" t="n">
        <v>10.28</v>
      </c>
      <c r="I76" s="281" t="n">
        <v>0.14</v>
      </c>
      <c r="J76" s="281" t="n">
        <v>0.64</v>
      </c>
      <c r="K76" s="282">
        <f>H76-I76-J76</f>
        <v/>
      </c>
      <c r="L76" s="263" t="n">
        <v>1.9</v>
      </c>
      <c r="M76" s="263" t="inlineStr">
        <is>
          <t>W</t>
        </is>
      </c>
      <c r="N76" s="264" t="n">
        <v>12</v>
      </c>
      <c r="O76" s="265" t="n">
        <v>9.5</v>
      </c>
      <c r="P76" s="266" t="n">
        <v>0.73</v>
      </c>
      <c r="Q76" s="267" t="n"/>
      <c r="R76" s="267" t="n"/>
      <c r="S76" s="267">
        <f>G76*0.02*N76</f>
        <v/>
      </c>
      <c r="T76" s="267">
        <f>G76*2.3</f>
        <v/>
      </c>
      <c r="U76" s="267">
        <f>IF(RIGHT(F76,2)="WG",K76*$AB$4,IF(RIGHT(F76,3)="WRG",K76*$AB$4+3*G76,IF(RIGHT(F76,3)="WYG",K76*$AB$4+3*G76,IF(RIGHT(F76,3)="WYR",K76*$AB$4+3*G76,0))))</f>
        <v/>
      </c>
      <c r="V76" s="267" t="n"/>
      <c r="W76" s="267">
        <f>G76*N76*0.3</f>
        <v/>
      </c>
      <c r="X76" s="267">
        <f>K76*O76</f>
        <v/>
      </c>
      <c r="Y76" s="267">
        <f>($Y$66/31.1035*IF(LEFT(F76,3)="10K",(0.417*1.07*K76),IF(LEFT(F76,3)="14K",(0.585*1.05*K76),IF(LEFT(F76,3)="18K",(0.75*1.05*K76),0))))*0.5</f>
        <v/>
      </c>
      <c r="Z76" s="268">
        <f>($Z$66/31.1035*IF(LEFT(F76,3)="10K",(0.417*1.07*K76),IF(LEFT(F76,3)="14K",(0.585*1.05*K76),IF(LEFT(F76,3)="18K",(0.75*1.05*K76),0))))*0.5</f>
        <v/>
      </c>
      <c r="AA76" s="269">
        <f>2*K76</f>
        <v/>
      </c>
      <c r="AB76" s="269" t="n">
        <v>85.81</v>
      </c>
      <c r="AC76" s="269" t="n">
        <v>675.601098187762</v>
      </c>
      <c r="AD76" s="269" t="n">
        <v>761.411098187762</v>
      </c>
      <c r="AE76" s="269">
        <f>IF(LEFT(F76,3)="10K",(0.417*1.07*K76),IF(LEFT(F76,3)="14K",(0.585*1.05*K76),IF(LEFT(F76,3)="18K",(0.75*1.05*K76),0)))</f>
        <v/>
      </c>
      <c r="AG76" s="270">
        <f>X76</f>
        <v/>
      </c>
    </row>
    <row r="77" ht="27" customFormat="1" customHeight="1" s="257">
      <c r="A77" s="258" t="n">
        <v>8</v>
      </c>
      <c r="B77" s="259" t="inlineStr">
        <is>
          <t>K0098B546 6.75"</t>
        </is>
      </c>
      <c r="C77" s="259" t="inlineStr">
        <is>
          <t>FSBG5291S8Y</t>
        </is>
      </c>
      <c r="D77" s="259" t="n">
        <v>148519</v>
      </c>
      <c r="E77" s="259" t="n">
        <v>113</v>
      </c>
      <c r="F77" s="259" t="inlineStr">
        <is>
          <t>14K YG</t>
        </is>
      </c>
      <c r="G77" s="260" t="n">
        <v>2</v>
      </c>
      <c r="H77" s="281" t="n">
        <v>12.04</v>
      </c>
      <c r="I77" s="281" t="n">
        <v>0.36</v>
      </c>
      <c r="J77" s="281" t="n">
        <v>0.64</v>
      </c>
      <c r="K77" s="282">
        <f>H77-I77-J77</f>
        <v/>
      </c>
      <c r="L77" s="263" t="n">
        <v>2.1</v>
      </c>
      <c r="M77" s="263" t="inlineStr">
        <is>
          <t>W</t>
        </is>
      </c>
      <c r="N77" s="264" t="n">
        <v>24</v>
      </c>
      <c r="O77" s="265" t="n">
        <v>9.5</v>
      </c>
      <c r="P77" s="266" t="n">
        <v>1.83</v>
      </c>
      <c r="Q77" s="267" t="n"/>
      <c r="R77" s="267" t="n"/>
      <c r="S77" s="267">
        <f>G77*0.02*N77</f>
        <v/>
      </c>
      <c r="T77" s="267">
        <f>G77*2.3</f>
        <v/>
      </c>
      <c r="U77" s="267">
        <f>IF(RIGHT(F77,2)="WG",K77*$AB$4,IF(RIGHT(F77,3)="WRG",K77*$AB$4+3*G77,IF(RIGHT(F77,3)="WYG",K77*$AB$4+3*G77,IF(RIGHT(F77,3)="WYR",K77*$AB$4+3*G77,0))))</f>
        <v/>
      </c>
      <c r="V77" s="267" t="n"/>
      <c r="W77" s="267">
        <f>G77*N77*0.3</f>
        <v/>
      </c>
      <c r="X77" s="267">
        <f>K77*O77</f>
        <v/>
      </c>
      <c r="Y77" s="267">
        <f>($Y$66/31.1035*IF(LEFT(F77,3)="10K",(0.417*1.07*K77),IF(LEFT(F77,3)="14K",(0.585*1.05*K77),IF(LEFT(F77,3)="18K",(0.75*1.05*K77),0))))*0.5</f>
        <v/>
      </c>
      <c r="Z77" s="268">
        <f>($Z$66/31.1035*IF(LEFT(F77,3)="10K",(0.417*1.07*K77),IF(LEFT(F77,3)="14K",(0.585*1.05*K77),IF(LEFT(F77,3)="18K",(0.75*1.05*K77),0))))*0.5</f>
        <v/>
      </c>
      <c r="AA77" s="269">
        <f>2*K77</f>
        <v/>
      </c>
      <c r="AB77" s="269" t="n">
        <v>102.76</v>
      </c>
      <c r="AC77" s="269" t="n">
        <v>1128.63997107343</v>
      </c>
      <c r="AD77" s="269" t="n">
        <v>1231.39997107343</v>
      </c>
      <c r="AE77" s="269">
        <f>IF(LEFT(F77,3)="10K",(0.417*1.07*K77),IF(LEFT(F77,3)="14K",(0.585*1.05*K77),IF(LEFT(F77,3)="18K",(0.75*1.05*K77),0)))</f>
        <v/>
      </c>
      <c r="AG77" s="270">
        <f>X77</f>
        <v/>
      </c>
    </row>
    <row r="78" ht="42" customFormat="1" customHeight="1" s="257">
      <c r="A78" s="258" t="n">
        <v>10</v>
      </c>
      <c r="B78" s="259" t="inlineStr">
        <is>
          <t>K0629B02 OV 6.75"</t>
        </is>
      </c>
      <c r="C78" s="259" t="inlineStr">
        <is>
          <t>FSBG5044K6Y</t>
        </is>
      </c>
      <c r="D78" s="259" t="n">
        <v>148519</v>
      </c>
      <c r="E78" s="259" t="n">
        <v>115</v>
      </c>
      <c r="F78" s="259" t="inlineStr">
        <is>
          <t>14K YG</t>
        </is>
      </c>
      <c r="G78" s="260" t="n">
        <v>1</v>
      </c>
      <c r="H78" s="281" t="n">
        <v>7.08</v>
      </c>
      <c r="I78" s="281" t="n">
        <v>0.08</v>
      </c>
      <c r="J78" s="281" t="n">
        <v>0.32</v>
      </c>
      <c r="K78" s="282">
        <f>H78-I78-J78</f>
        <v/>
      </c>
      <c r="L78" s="263" t="inlineStr">
        <is>
          <t>1.30mm
BT 2.60*1.30</t>
        </is>
      </c>
      <c r="M78" s="263" t="inlineStr">
        <is>
          <t>W
W</t>
        </is>
      </c>
      <c r="N78" s="264" t="inlineStr">
        <is>
          <t>10pcs
11pcs</t>
        </is>
      </c>
      <c r="O78" s="265" t="n">
        <v>8.5</v>
      </c>
      <c r="P78" s="266" t="n">
        <v>0.38</v>
      </c>
      <c r="Q78" s="267" t="n"/>
      <c r="R78" s="267" t="n"/>
      <c r="S78" s="267">
        <f>G78*0.02*(10+11)</f>
        <v/>
      </c>
      <c r="T78" s="267">
        <f>G78*2.3</f>
        <v/>
      </c>
      <c r="U78" s="267">
        <f>IF(RIGHT(F78,2)="WG",K78*$AB$4,IF(RIGHT(F78,3)="WRG",K78*$AB$4+3*G78,IF(RIGHT(F78,3)="WYG",K78*$AB$4+3*G78,IF(RIGHT(F78,3)="WYR",K78*$AB$4+3*G78,0))))</f>
        <v/>
      </c>
      <c r="V78" s="267" t="n"/>
      <c r="W78" s="267">
        <f>G78*(10*0.3+11*1)</f>
        <v/>
      </c>
      <c r="X78" s="267">
        <f>K78*O78</f>
        <v/>
      </c>
      <c r="Y78" s="267">
        <f>($Y$66/31.1035*IF(LEFT(F78,3)="10K",(0.417*1.07*K78),IF(LEFT(F78,3)="14K",(0.585*1.05*K78),IF(LEFT(F78,3)="18K",(0.75*1.05*K78),0))))*0.5</f>
        <v/>
      </c>
      <c r="Z78" s="268">
        <f>($Z$66/31.1035*IF(LEFT(F78,3)="10K",(0.417*1.07*K78),IF(LEFT(F78,3)="14K",(0.585*1.05*K78),IF(LEFT(F78,3)="18K",(0.75*1.05*K78),0))))*0.5</f>
        <v/>
      </c>
      <c r="AA78" s="269">
        <f>2*K78</f>
        <v/>
      </c>
      <c r="AB78" s="269" t="n">
        <v>60.14</v>
      </c>
      <c r="AC78" s="269" t="n">
        <v>428.405785905958</v>
      </c>
      <c r="AD78" s="269" t="n">
        <v>488.545785905958</v>
      </c>
      <c r="AE78" s="269">
        <f>IF(LEFT(F78,3)="10K",(0.417*1.07*K78),IF(LEFT(F78,3)="14K",(0.585*1.05*K78),IF(LEFT(F78,3)="18K",(0.75*1.05*K78),0)))</f>
        <v/>
      </c>
      <c r="AG78" s="270">
        <f>X78</f>
        <v/>
      </c>
    </row>
    <row r="79" ht="15.75" customFormat="1" customHeight="1" s="271">
      <c r="A79" s="272" t="inlineStr">
        <is>
          <t>SUBTOTAL</t>
        </is>
      </c>
      <c r="B79" s="273" t="n"/>
      <c r="C79" s="273" t="n"/>
      <c r="D79" s="273" t="n"/>
      <c r="E79" s="273" t="n"/>
      <c r="F79" s="273" t="n"/>
      <c r="G79" s="274">
        <f>SUM(G68:G78)</f>
        <v/>
      </c>
      <c r="H79" s="283" t="n"/>
      <c r="I79" s="283" t="n"/>
      <c r="J79" s="283" t="n"/>
      <c r="K79" s="283">
        <f>SUM(K68:K78)</f>
        <v/>
      </c>
      <c r="L79" s="276" t="n"/>
      <c r="M79" s="276" t="n"/>
      <c r="N79" s="276" t="n"/>
      <c r="O79" s="277" t="n"/>
      <c r="P79" s="278">
        <f>SUM(P68:P78)</f>
        <v/>
      </c>
      <c r="Q79" s="279">
        <f>SUM(Q68:Q78)</f>
        <v/>
      </c>
      <c r="R79" s="279">
        <f>SUM(R68:R78)</f>
        <v/>
      </c>
      <c r="S79" s="279">
        <f>SUM(S68:S78)</f>
        <v/>
      </c>
      <c r="T79" s="279">
        <f>SUM(T68:T78)</f>
        <v/>
      </c>
      <c r="U79" s="279">
        <f>SUM(U68:U78)</f>
        <v/>
      </c>
      <c r="V79" s="279">
        <f>SUM(V68:V78)</f>
        <v/>
      </c>
      <c r="W79" s="279">
        <f>SUM(W68:W78)</f>
        <v/>
      </c>
      <c r="X79" s="279">
        <f>SUM(X68:X78)</f>
        <v/>
      </c>
      <c r="Y79" s="279">
        <f>SUM(Y68:Y78)</f>
        <v/>
      </c>
      <c r="Z79" s="280">
        <f>SUM(Z68:Z78)</f>
        <v/>
      </c>
      <c r="AA79" s="269" t="n"/>
      <c r="AB79" s="269" t="n"/>
      <c r="AC79" s="269" t="n"/>
      <c r="AD79" s="269" t="n"/>
      <c r="AE79" s="269" t="n"/>
      <c r="AG79" s="270" t="n"/>
    </row>
    <row r="80" ht="15.75" customHeight="1" s="240">
      <c r="A80" s="241" t="inlineStr">
        <is>
          <t>Buyer Dia</t>
        </is>
      </c>
      <c r="K80" s="242" t="n"/>
      <c r="L80" s="243" t="n"/>
      <c r="M80" s="243" t="n"/>
      <c r="N80" s="243" t="n"/>
      <c r="W80" s="244" t="n"/>
      <c r="X80" s="245" t="inlineStr">
        <is>
          <t>7th Apr London AM + 2%</t>
        </is>
      </c>
      <c r="Y80" s="246">
        <f>3025.1*1.02</f>
        <v/>
      </c>
      <c r="Z80" s="246">
        <f>3025.1*1.02</f>
        <v/>
      </c>
      <c r="AA80" s="269" t="n"/>
      <c r="AB80" s="269" t="n"/>
      <c r="AC80" s="269" t="n"/>
      <c r="AD80" s="269" t="n"/>
      <c r="AE80" s="269" t="n"/>
      <c r="AG80" s="270" t="n"/>
    </row>
    <row r="81" ht="27" customFormat="1" customHeight="1" s="247">
      <c r="A81" s="248" t="inlineStr">
        <is>
          <t>PO#</t>
        </is>
      </c>
      <c r="B81" s="249" t="inlineStr">
        <is>
          <t>Item No.</t>
        </is>
      </c>
      <c r="C81" s="249" t="inlineStr">
        <is>
          <t>Buyer No.</t>
        </is>
      </c>
      <c r="D81" s="249" t="inlineStr">
        <is>
          <t>Buyer PO</t>
        </is>
      </c>
      <c r="E81" s="249" t="inlineStr">
        <is>
          <t>IDD PO SERIAL#</t>
        </is>
      </c>
      <c r="F81" s="249" t="inlineStr">
        <is>
          <t>Metal</t>
        </is>
      </c>
      <c r="G81" s="249" t="inlineStr">
        <is>
          <t>Q'ty</t>
        </is>
      </c>
      <c r="H81" s="250" t="inlineStr">
        <is>
          <t>Total w't</t>
        </is>
      </c>
      <c r="I81" s="250" t="inlineStr">
        <is>
          <t>Dia w't</t>
        </is>
      </c>
      <c r="J81" s="250" t="inlineStr">
        <is>
          <t>Wire w't</t>
        </is>
      </c>
      <c r="K81" s="250" t="inlineStr">
        <is>
          <t>Gold w't</t>
        </is>
      </c>
      <c r="L81" s="251" t="inlineStr">
        <is>
          <t>Stone</t>
        </is>
      </c>
      <c r="M81" s="251" t="inlineStr">
        <is>
          <t>Color</t>
        </is>
      </c>
      <c r="N81" s="251" t="inlineStr">
        <is>
          <t>Stone Q'ty</t>
        </is>
      </c>
      <c r="O81" s="252" t="inlineStr">
        <is>
          <t>Labor</t>
        </is>
      </c>
      <c r="P81" s="253" t="inlineStr">
        <is>
          <t>Dia Carat</t>
        </is>
      </c>
      <c r="Q81" s="254" t="inlineStr">
        <is>
          <t>Extra Cost</t>
        </is>
      </c>
      <c r="R81" s="254" t="inlineStr">
        <is>
          <t>Dia Packaging Cost</t>
        </is>
      </c>
      <c r="S81" s="254" t="inlineStr">
        <is>
          <t>Dia Handling Cost</t>
        </is>
      </c>
      <c r="T81" s="254" t="inlineStr">
        <is>
          <t>Wire
Cost</t>
        </is>
      </c>
      <c r="U81" s="254" t="inlineStr">
        <is>
          <t>Plating Cost</t>
        </is>
      </c>
      <c r="V81" s="254" t="inlineStr">
        <is>
          <t>Stone
Cost</t>
        </is>
      </c>
      <c r="W81" s="254" t="inlineStr">
        <is>
          <t>Setting
Cost</t>
        </is>
      </c>
      <c r="X81" s="255" t="inlineStr">
        <is>
          <t>Labor
Cost</t>
        </is>
      </c>
      <c r="Y81" s="256" t="inlineStr">
        <is>
          <t>Gold &amp; 5%
Cost</t>
        </is>
      </c>
      <c r="Z81" s="255" t="inlineStr">
        <is>
          <t>Current Gold &amp;
5% Cost</t>
        </is>
      </c>
      <c r="AA81" s="269" t="n"/>
      <c r="AB81" s="269" t="n"/>
      <c r="AC81" s="269" t="n"/>
      <c r="AD81" s="269" t="n"/>
      <c r="AE81" s="269" t="n"/>
      <c r="AG81" s="270" t="n"/>
    </row>
    <row r="82" ht="69" customFormat="1" customHeight="1" s="257">
      <c r="A82" s="258" t="inlineStr">
        <is>
          <t>IDD250401RB-3-14K-NS</t>
        </is>
      </c>
      <c r="B82" s="259" t="inlineStr">
        <is>
          <t>K01849R02 #6.5-8.0</t>
        </is>
      </c>
      <c r="C82" s="259" t="inlineStr">
        <is>
          <t>FSR5022PLS8Y</t>
        </is>
      </c>
      <c r="D82" s="259" t="n">
        <v>148519</v>
      </c>
      <c r="E82" s="259" t="n">
        <v>102</v>
      </c>
      <c r="F82" s="259" t="inlineStr">
        <is>
          <t>14K YG</t>
        </is>
      </c>
      <c r="G82" s="260" t="n">
        <v>1</v>
      </c>
      <c r="H82" s="261" t="n">
        <v>2.62</v>
      </c>
      <c r="I82" s="261" t="n">
        <v>0.17</v>
      </c>
      <c r="J82" s="261" t="n">
        <v>0.12</v>
      </c>
      <c r="K82" s="262">
        <f>H82-I82-J82</f>
        <v/>
      </c>
      <c r="L82" s="263" t="inlineStr">
        <is>
          <t>1.00mm
CS Flat 7.0
CS Cabachon 2.50</t>
        </is>
      </c>
      <c r="M82" s="263" t="inlineStr">
        <is>
          <t>W
White MOP
Lapiz Lazuli</t>
        </is>
      </c>
      <c r="N82" s="264" t="inlineStr">
        <is>
          <t>24pcs
1pcs
1pcs</t>
        </is>
      </c>
      <c r="O82" s="265">
        <f>12+2</f>
        <v/>
      </c>
      <c r="P82" s="266" t="n">
        <v>0.11</v>
      </c>
      <c r="Q82" s="267">
        <f>G82*1*25</f>
        <v/>
      </c>
      <c r="R82" s="267" t="n"/>
      <c r="S82" s="267">
        <f>G82*0.02*24</f>
        <v/>
      </c>
      <c r="T82" s="267">
        <f>G82*1.45</f>
        <v/>
      </c>
      <c r="U82" s="267">
        <f>IF(RIGHT(F82,2)="WG",K82*$AB$4,IF(RIGHT(F82,3)="WRG",K82*$AB$4+3*G82,IF(RIGHT(F82,3)="WYG",K82*$AB$4+3*G82,IF(RIGHT(F82,3)="WYR",K82*$AB$4+3*G82,0))))</f>
        <v/>
      </c>
      <c r="V82" s="267">
        <f>G82*1*6.5</f>
        <v/>
      </c>
      <c r="W82" s="267">
        <f>G82*24*0.3</f>
        <v/>
      </c>
      <c r="X82" s="267">
        <f>K82*O82</f>
        <v/>
      </c>
      <c r="Y82" s="267">
        <f>($Y$80/31.1035*IF(LEFT(F82,3)="10K",(0.417*1.07*K82),IF(LEFT(F82,3)="14K",(0.585*1.05*K82),IF(LEFT(F82,3)="18K",(0.75*1.05*K82),0))))*0.5</f>
        <v/>
      </c>
      <c r="Z82" s="268">
        <f>($Z$80/31.1035*IF(LEFT(F82,3)="10K",(0.417*1.07*K82),IF(LEFT(F82,3)="14K",(0.585*1.05*K82),IF(LEFT(F82,3)="18K",(0.75*1.05*K82),0))))*0.5</f>
        <v/>
      </c>
      <c r="AA82" s="269">
        <f>2*K82</f>
        <v/>
      </c>
      <c r="AB82" s="269" t="n">
        <v>68.59</v>
      </c>
      <c r="AC82" s="269" t="n">
        <v>141.539663288567</v>
      </c>
      <c r="AD82" s="269" t="n">
        <v>210.129663288567</v>
      </c>
      <c r="AE82" s="269">
        <f>IF(LEFT(F82,3)="10K",(0.417*1.07*K82),IF(LEFT(F82,3)="14K",(0.585*1.05*K82),IF(LEFT(F82,3)="18K",(0.75*1.05*K82),0)))</f>
        <v/>
      </c>
      <c r="AG82" s="270">
        <f>X82</f>
        <v/>
      </c>
    </row>
    <row r="83" ht="179.25" customFormat="1" customHeight="1" s="257">
      <c r="A83" s="258" t="n">
        <v>2</v>
      </c>
      <c r="B83" s="259" t="inlineStr">
        <is>
          <t>K0098B304 6.75"</t>
        </is>
      </c>
      <c r="C83" s="259" t="inlineStr">
        <is>
          <t>FSBG5257PLS8Y</t>
        </is>
      </c>
      <c r="D83" s="259" t="n">
        <v>148519</v>
      </c>
      <c r="E83" s="259" t="n">
        <v>107</v>
      </c>
      <c r="F83" s="259" t="inlineStr">
        <is>
          <t>14K YG</t>
        </is>
      </c>
      <c r="G83" s="260" t="n">
        <v>1</v>
      </c>
      <c r="H83" s="261" t="n">
        <v>10.47</v>
      </c>
      <c r="I83" s="261" t="n">
        <v>0.27</v>
      </c>
      <c r="J83" s="261" t="n">
        <v>1.18</v>
      </c>
      <c r="K83" s="262">
        <f>H83-I83-J83</f>
        <v/>
      </c>
      <c r="L83" s="263" t="inlineStr">
        <is>
          <t>0.90mm
1.00mm
1.10mm
1.30mm
1.60mm
1.80mm
2.00mm
Flower Cabachon 4 petals 7.50
Flower Cabachon 4 petals 10.0</t>
        </is>
      </c>
      <c r="M83" s="263" t="inlineStr">
        <is>
          <t>W
W
W
W
W
W
W
White MOP
White MOP</t>
        </is>
      </c>
      <c r="N83" s="264" t="inlineStr">
        <is>
          <t>8pcs
16pcs
24pcs
8pcs
1pcs
2pcs
2pcs
1pcs
1pcs</t>
        </is>
      </c>
      <c r="O83" s="265">
        <f>9.5+2</f>
        <v/>
      </c>
      <c r="P83" s="266" t="n">
        <v>0.44</v>
      </c>
      <c r="Q83" s="267">
        <f>G83*(1*30+1*30)</f>
        <v/>
      </c>
      <c r="R83" s="267" t="n"/>
      <c r="S83" s="267">
        <f>G83*0.02*(8+16+24+8+1+2+2)</f>
        <v/>
      </c>
      <c r="T83" s="267">
        <f>G83*3</f>
        <v/>
      </c>
      <c r="U83" s="267">
        <f>IF(RIGHT(F83,2)="WG",K83*$AB$4,IF(RIGHT(F83,3)="WRG",K83*$AB$4+3*G83,IF(RIGHT(F83,3)="WYG",K83*$AB$4+3*G83,IF(RIGHT(F83,3)="WYR",K83*$AB$4+3*G83,0))))</f>
        <v/>
      </c>
      <c r="V83" s="267" t="n"/>
      <c r="W83" s="267">
        <f>G83*(8+16+24+8+1+2+2)*0.3</f>
        <v/>
      </c>
      <c r="X83" s="267">
        <f>K83*O83</f>
        <v/>
      </c>
      <c r="Y83" s="267">
        <f>($Y$80/31.1035*IF(LEFT(F83,3)="10K",(0.417*1.07*K83),IF(LEFT(F83,3)="14K",(0.585*1.05*K83),IF(LEFT(F83,3)="18K",(0.75*1.05*K83),0))))*0.5</f>
        <v/>
      </c>
      <c r="Z83" s="268">
        <f>($Z$80/31.1035*IF(LEFT(F83,3)="10K",(0.417*1.07*K83),IF(LEFT(F83,3)="14K",(0.585*1.05*K83),IF(LEFT(F83,3)="18K",(0.75*1.05*K83),0))))*0.5</f>
        <v/>
      </c>
      <c r="AA83" s="269">
        <f>2*K83</f>
        <v/>
      </c>
      <c r="AB83" s="269" t="n">
        <v>168.21</v>
      </c>
      <c r="AC83" s="269" t="n">
        <v>552.890853154267</v>
      </c>
      <c r="AD83" s="269" t="n">
        <v>721.100853154267</v>
      </c>
      <c r="AE83" s="269">
        <f>IF(LEFT(F83,3)="10K",(0.417*1.07*K83),IF(LEFT(F83,3)="14K",(0.585*1.05*K83),IF(LEFT(F83,3)="18K",(0.75*1.05*K83),0)))</f>
        <v/>
      </c>
      <c r="AG83" s="270">
        <f>X83</f>
        <v/>
      </c>
    </row>
    <row r="84" ht="42" customFormat="1" customHeight="1" s="257">
      <c r="A84" s="258" t="n">
        <v>3</v>
      </c>
      <c r="B84" s="259" t="inlineStr">
        <is>
          <t>K0098B280 6.75"</t>
        </is>
      </c>
      <c r="C84" s="259" t="inlineStr">
        <is>
          <t>FSBG5192PLY</t>
        </is>
      </c>
      <c r="D84" s="259" t="n">
        <v>148519</v>
      </c>
      <c r="E84" s="259" t="n">
        <v>108</v>
      </c>
      <c r="F84" s="259" t="inlineStr">
        <is>
          <t>14K YG</t>
        </is>
      </c>
      <c r="G84" s="260" t="n">
        <v>1</v>
      </c>
      <c r="H84" s="261" t="n">
        <v>6.91</v>
      </c>
      <c r="I84" s="261" t="n">
        <v>0.5</v>
      </c>
      <c r="J84" s="261" t="n">
        <v>0.32</v>
      </c>
      <c r="K84" s="262">
        <f>H84-I84-J84</f>
        <v/>
      </c>
      <c r="L84" s="263" t="inlineStr">
        <is>
          <t>Flower Cabachon 6.0</t>
        </is>
      </c>
      <c r="M84" s="263" t="inlineStr">
        <is>
          <t>White MOP</t>
        </is>
      </c>
      <c r="N84" s="264" t="n">
        <v>5</v>
      </c>
      <c r="O84" s="265">
        <f>9.5+2</f>
        <v/>
      </c>
      <c r="P84" s="266" t="n">
        <v>0</v>
      </c>
      <c r="Q84" s="267">
        <f>G84*N84*25</f>
        <v/>
      </c>
      <c r="R84" s="267" t="n"/>
      <c r="S84" s="267" t="n"/>
      <c r="T84" s="267">
        <f>G84*2.3</f>
        <v/>
      </c>
      <c r="U84" s="267">
        <f>IF(RIGHT(F84,2)="WG",K84*$AB$4,IF(RIGHT(F84,3)="WRG",K84*$AB$4+3*G84,IF(RIGHT(F84,3)="WYG",K84*$AB$4+3*G84,IF(RIGHT(F84,3)="WYR",K84*$AB$4+3*G84,0))))</f>
        <v/>
      </c>
      <c r="V84" s="267" t="n"/>
      <c r="W84" s="267" t="n"/>
      <c r="X84" s="267">
        <f>K84*O84</f>
        <v/>
      </c>
      <c r="Y84" s="267">
        <f>($Y$80/31.1035*IF(LEFT(F84,3)="10K",(0.417*1.07*K84),IF(LEFT(F84,3)="14K",(0.585*1.05*K84),IF(LEFT(F84,3)="18K",(0.75*1.05*K84),0))))*0.5</f>
        <v/>
      </c>
      <c r="Z84" s="268">
        <f>($Z$80/31.1035*IF(LEFT(F84,3)="10K",(0.417*1.07*K84),IF(LEFT(F84,3)="14K",(0.585*1.05*K84),IF(LEFT(F84,3)="18K",(0.75*1.05*K84),0))))*0.5</f>
        <v/>
      </c>
      <c r="AA84" s="269">
        <f>2*K84</f>
        <v/>
      </c>
      <c r="AB84" s="269" t="n">
        <v>185.155</v>
      </c>
      <c r="AC84" s="269" t="n">
        <v>269.33634</v>
      </c>
      <c r="AD84" s="269" t="n">
        <v>454.49134</v>
      </c>
      <c r="AE84" s="269">
        <f>IF(LEFT(F84,3)="10K",(0.417*1.07*K84),IF(LEFT(F84,3)="14K",(0.585*1.05*K84),IF(LEFT(F84,3)="18K",(0.75*1.05*K84),0)))</f>
        <v/>
      </c>
      <c r="AG84" s="270">
        <f>X84</f>
        <v/>
      </c>
    </row>
    <row r="85" ht="15.75" customFormat="1" customHeight="1" s="271">
      <c r="A85" s="272" t="inlineStr">
        <is>
          <t>SUBTOTAL</t>
        </is>
      </c>
      <c r="B85" s="273" t="n"/>
      <c r="C85" s="273" t="n"/>
      <c r="D85" s="273" t="n"/>
      <c r="E85" s="273" t="n"/>
      <c r="F85" s="273" t="n"/>
      <c r="G85" s="274">
        <f>SUM(G82:G84)</f>
        <v/>
      </c>
      <c r="H85" s="275" t="n"/>
      <c r="I85" s="275" t="n"/>
      <c r="J85" s="275" t="n"/>
      <c r="K85" s="275">
        <f>SUM(K82:K84)</f>
        <v/>
      </c>
      <c r="L85" s="276" t="n"/>
      <c r="M85" s="276" t="n"/>
      <c r="N85" s="276" t="n"/>
      <c r="O85" s="277" t="n"/>
      <c r="P85" s="278">
        <f>SUM(P82:P84)</f>
        <v/>
      </c>
      <c r="Q85" s="279">
        <f>SUM(Q82:Q84)</f>
        <v/>
      </c>
      <c r="R85" s="279">
        <f>SUM(R82:R84)</f>
        <v/>
      </c>
      <c r="S85" s="279">
        <f>SUM(S82:S84)</f>
        <v/>
      </c>
      <c r="T85" s="279">
        <f>SUM(T82:T84)</f>
        <v/>
      </c>
      <c r="U85" s="279">
        <f>SUM(U82:U84)</f>
        <v/>
      </c>
      <c r="V85" s="279">
        <f>SUM(V82:V84)</f>
        <v/>
      </c>
      <c r="W85" s="279">
        <f>SUM(W82:W84)</f>
        <v/>
      </c>
      <c r="X85" s="279">
        <f>SUM(X82:X84)</f>
        <v/>
      </c>
      <c r="Y85" s="279">
        <f>SUM(Y82:Y84)</f>
        <v/>
      </c>
      <c r="Z85" s="280">
        <f>SUM(Z82:Z84)</f>
        <v/>
      </c>
      <c r="AA85" s="269" t="n"/>
      <c r="AB85" s="269" t="n"/>
      <c r="AC85" s="269" t="n"/>
      <c r="AD85" s="269" t="n"/>
      <c r="AE85" s="269" t="n"/>
      <c r="AG85" s="270" t="n"/>
    </row>
    <row r="86" ht="15.75" customHeight="1" s="240">
      <c r="A86" s="241" t="inlineStr">
        <is>
          <t>Buyer Dia</t>
        </is>
      </c>
      <c r="K86" s="242" t="n"/>
      <c r="L86" s="243" t="n"/>
      <c r="M86" s="243" t="n"/>
      <c r="N86" s="243" t="n"/>
      <c r="W86" s="244" t="n"/>
      <c r="X86" s="245" t="inlineStr">
        <is>
          <t>4th Apr London AM + 2%</t>
        </is>
      </c>
      <c r="Y86" s="246">
        <f>3090.3*1.02</f>
        <v/>
      </c>
      <c r="Z86" s="246">
        <f>3090.3*1.02</f>
        <v/>
      </c>
      <c r="AA86" s="269" t="n"/>
      <c r="AB86" s="269" t="n"/>
      <c r="AC86" s="269" t="n"/>
      <c r="AD86" s="269" t="n"/>
      <c r="AE86" s="269" t="n"/>
      <c r="AG86" s="270" t="n"/>
    </row>
    <row r="87" ht="27" customFormat="1" customHeight="1" s="247">
      <c r="A87" s="248" t="inlineStr">
        <is>
          <t>PO#</t>
        </is>
      </c>
      <c r="B87" s="249" t="inlineStr">
        <is>
          <t>Item No.</t>
        </is>
      </c>
      <c r="C87" s="249" t="inlineStr">
        <is>
          <t>Buyer No.</t>
        </is>
      </c>
      <c r="D87" s="249" t="inlineStr">
        <is>
          <t>Buyer PO</t>
        </is>
      </c>
      <c r="E87" s="249" t="inlineStr">
        <is>
          <t>IDD PO SERIAL#</t>
        </is>
      </c>
      <c r="F87" s="249" t="inlineStr">
        <is>
          <t>Metal</t>
        </is>
      </c>
      <c r="G87" s="249" t="inlineStr">
        <is>
          <t>Q'ty</t>
        </is>
      </c>
      <c r="H87" s="250" t="inlineStr">
        <is>
          <t>Total w't</t>
        </is>
      </c>
      <c r="I87" s="250" t="inlineStr">
        <is>
          <t>Dia w't</t>
        </is>
      </c>
      <c r="J87" s="250" t="inlineStr">
        <is>
          <t>Wire w't</t>
        </is>
      </c>
      <c r="K87" s="250" t="inlineStr">
        <is>
          <t>Gold w't</t>
        </is>
      </c>
      <c r="L87" s="251" t="inlineStr">
        <is>
          <t>Stone</t>
        </is>
      </c>
      <c r="M87" s="251" t="inlineStr">
        <is>
          <t>Color</t>
        </is>
      </c>
      <c r="N87" s="251" t="inlineStr">
        <is>
          <t>Stone Q'ty</t>
        </is>
      </c>
      <c r="O87" s="252" t="inlineStr">
        <is>
          <t>Labor</t>
        </is>
      </c>
      <c r="P87" s="253" t="inlineStr">
        <is>
          <t>Dia Carat</t>
        </is>
      </c>
      <c r="Q87" s="254" t="inlineStr">
        <is>
          <t>Extra Cost</t>
        </is>
      </c>
      <c r="R87" s="254" t="inlineStr">
        <is>
          <t>Dia Packaging Cost</t>
        </is>
      </c>
      <c r="S87" s="254" t="inlineStr">
        <is>
          <t>Dia Handling Cost</t>
        </is>
      </c>
      <c r="T87" s="254" t="inlineStr">
        <is>
          <t>Wire
Cost</t>
        </is>
      </c>
      <c r="U87" s="254" t="inlineStr">
        <is>
          <t>Plating Cost</t>
        </is>
      </c>
      <c r="V87" s="254" t="inlineStr">
        <is>
          <t>Stone
Cost</t>
        </is>
      </c>
      <c r="W87" s="254" t="inlineStr">
        <is>
          <t>Setting
Cost</t>
        </is>
      </c>
      <c r="X87" s="255" t="inlineStr">
        <is>
          <t>Labor
Cost</t>
        </is>
      </c>
      <c r="Y87" s="256" t="inlineStr">
        <is>
          <t>Gold &amp; 5%
Cost</t>
        </is>
      </c>
      <c r="Z87" s="255" t="inlineStr">
        <is>
          <t>Current Gold &amp;
5% Cost</t>
        </is>
      </c>
      <c r="AA87" s="269" t="n"/>
      <c r="AB87" s="269" t="n"/>
      <c r="AC87" s="269" t="n"/>
      <c r="AD87" s="269" t="n"/>
      <c r="AE87" s="269" t="n"/>
      <c r="AG87" s="270" t="n"/>
    </row>
    <row r="88" ht="27" customFormat="1" customHeight="1" s="257">
      <c r="A88" s="258" t="inlineStr">
        <is>
          <t>IDD250401RB-4-14K</t>
        </is>
      </c>
      <c r="B88" s="259" t="inlineStr">
        <is>
          <t>K01494B03 OV H 6.75"</t>
        </is>
      </c>
      <c r="C88" s="259" t="inlineStr">
        <is>
          <t>FSBG5185S8W</t>
        </is>
      </c>
      <c r="D88" s="259" t="n">
        <v>148520</v>
      </c>
      <c r="E88" s="259" t="n">
        <v>102</v>
      </c>
      <c r="F88" s="259" t="inlineStr">
        <is>
          <t>14K WG</t>
        </is>
      </c>
      <c r="G88" s="260" t="n">
        <v>2</v>
      </c>
      <c r="H88" s="281" t="n">
        <v>12.87</v>
      </c>
      <c r="I88" s="281" t="n">
        <v>0.2</v>
      </c>
      <c r="J88" s="281" t="n">
        <v>0.64</v>
      </c>
      <c r="K88" s="282">
        <f>H88-I88-J88</f>
        <v/>
      </c>
      <c r="L88" s="263" t="n">
        <v>1.55</v>
      </c>
      <c r="M88" s="263" t="inlineStr">
        <is>
          <t>W</t>
        </is>
      </c>
      <c r="N88" s="264" t="n">
        <v>39</v>
      </c>
      <c r="O88" s="265" t="n">
        <v>9</v>
      </c>
      <c r="P88" s="266" t="n">
        <v>1.04</v>
      </c>
      <c r="Q88" s="267" t="n"/>
      <c r="R88" s="267" t="n"/>
      <c r="S88" s="267">
        <f>G88*0.02*N88</f>
        <v/>
      </c>
      <c r="T88" s="267">
        <f>G88*2.3</f>
        <v/>
      </c>
      <c r="U88" s="267">
        <f>IF(RIGHT(F88,2)="WG",K88*$AB$4,IF(RIGHT(F88,3)="WRG",K88*$AB$4+3*G88,IF(RIGHT(F88,3)="WYG",K88*$AB$4+3*G88,IF(RIGHT(F88,3)="WYR",K88*$AB$4+3*G88,0))))</f>
        <v/>
      </c>
      <c r="V88" s="267" t="n"/>
      <c r="W88" s="267">
        <f>G88*N88*0.3</f>
        <v/>
      </c>
      <c r="X88" s="267">
        <f>K88*O88</f>
        <v/>
      </c>
      <c r="Y88" s="267">
        <f>($Y$86/31.1035*IF(LEFT(F88,3)="10K",(0.417*1.07*K88),IF(LEFT(F88,3)="14K",(0.585*1.05*K88),IF(LEFT(F88,3)="18K",(0.75*1.05*K88),0))))*0.5</f>
        <v/>
      </c>
      <c r="Z88" s="268">
        <f>($Z$86/31.1035*IF(LEFT(F88,3)="10K",(0.417*1.07*K88),IF(LEFT(F88,3)="14K",(0.585*1.05*K88),IF(LEFT(F88,3)="18K",(0.75*1.05*K88),0))))*0.5</f>
        <v/>
      </c>
      <c r="AA88" s="269">
        <f>2*K88</f>
        <v/>
      </c>
      <c r="AB88" s="269" t="n">
        <v>116.6572</v>
      </c>
      <c r="AC88" s="269" t="n">
        <v>895.973385637359</v>
      </c>
      <c r="AD88" s="269" t="n">
        <v>1012.63058563736</v>
      </c>
      <c r="AE88" s="269">
        <f>IF(LEFT(F88,3)="10K",(0.417*1.07*K88),IF(LEFT(F88,3)="14K",(0.585*1.05*K88),IF(LEFT(F88,3)="18K",(0.75*1.05*K88),0)))</f>
        <v/>
      </c>
      <c r="AG88" s="270">
        <f>X88</f>
        <v/>
      </c>
    </row>
    <row r="89" ht="27" customFormat="1" customHeight="1" s="257">
      <c r="A89" s="258" t="n">
        <v>3</v>
      </c>
      <c r="B89" s="259" t="inlineStr">
        <is>
          <t>K0038B60 OV H 6.75"</t>
        </is>
      </c>
      <c r="C89" s="259" t="inlineStr">
        <is>
          <t>FSBG5040S8W</t>
        </is>
      </c>
      <c r="D89" s="259" t="n">
        <v>148520</v>
      </c>
      <c r="E89" s="259" t="n">
        <v>103</v>
      </c>
      <c r="F89" s="259" t="inlineStr">
        <is>
          <t>14K WG</t>
        </is>
      </c>
      <c r="G89" s="260" t="n">
        <v>2</v>
      </c>
      <c r="H89" s="281" t="n">
        <v>19.62</v>
      </c>
      <c r="I89" s="281" t="n">
        <v>0.57</v>
      </c>
      <c r="J89" s="281" t="n">
        <v>0.64</v>
      </c>
      <c r="K89" s="282">
        <f>H89-I89-J89</f>
        <v/>
      </c>
      <c r="L89" s="263" t="n">
        <v>2.25</v>
      </c>
      <c r="M89" s="263" t="inlineStr">
        <is>
          <t>W</t>
        </is>
      </c>
      <c r="N89" s="264" t="n">
        <v>32</v>
      </c>
      <c r="O89" s="265" t="n">
        <v>8.5</v>
      </c>
      <c r="P89" s="266" t="n">
        <v>2.82</v>
      </c>
      <c r="Q89" s="267" t="n"/>
      <c r="R89" s="267" t="n"/>
      <c r="S89" s="267">
        <f>G89*0.02*N89</f>
        <v/>
      </c>
      <c r="T89" s="267">
        <f>G89*2.3</f>
        <v/>
      </c>
      <c r="U89" s="267">
        <f>IF(RIGHT(F89,2)="WG",K89*$AB$4,IF(RIGHT(F89,3)="WRG",K89*$AB$4+3*G89,IF(RIGHT(F89,3)="WYG",K89*$AB$4+3*G89,IF(RIGHT(F89,3)="WYR",K89*$AB$4+3*G89,0))))</f>
        <v/>
      </c>
      <c r="V89" s="267" t="n"/>
      <c r="W89" s="267">
        <f>G89*N89*0.3</f>
        <v/>
      </c>
      <c r="X89" s="267">
        <f>K89*O89</f>
        <v/>
      </c>
      <c r="Y89" s="267">
        <f>($Y$86/31.1035*IF(LEFT(F89,3)="10K",(0.417*1.07*K89),IF(LEFT(F89,3)="14K",(0.585*1.05*K89),IF(LEFT(F89,3)="18K",(0.75*1.05*K89),0))))*0.5</f>
        <v/>
      </c>
      <c r="Z89" s="268">
        <f>($Z$86/31.1035*IF(LEFT(F89,3)="10K",(0.417*1.07*K89),IF(LEFT(F89,3)="14K",(0.585*1.05*K89),IF(LEFT(F89,3)="18K",(0.75*1.05*K89),0))))*0.5</f>
        <v/>
      </c>
      <c r="AA89" s="269">
        <f>2*K89</f>
        <v/>
      </c>
      <c r="AB89" s="269" t="n">
        <v>149.1634</v>
      </c>
      <c r="AC89" s="269" t="n">
        <v>1801.02334067053</v>
      </c>
      <c r="AD89" s="269" t="n">
        <v>1950.18674067053</v>
      </c>
      <c r="AE89" s="269">
        <f>IF(LEFT(F89,3)="10K",(0.417*1.07*K89),IF(LEFT(F89,3)="14K",(0.585*1.05*K89),IF(LEFT(F89,3)="18K",(0.75*1.05*K89),0)))</f>
        <v/>
      </c>
      <c r="AG89" s="270">
        <f>X89</f>
        <v/>
      </c>
    </row>
    <row r="90" ht="27" customFormat="1" customHeight="1" s="257">
      <c r="A90" s="258" t="n">
        <v>4</v>
      </c>
      <c r="B90" s="259" t="inlineStr">
        <is>
          <t>K0098B282 6.75"</t>
        </is>
      </c>
      <c r="C90" s="259" t="inlineStr">
        <is>
          <t>FSBG5189S8W</t>
        </is>
      </c>
      <c r="D90" s="259" t="n">
        <v>148520</v>
      </c>
      <c r="E90" s="259" t="n">
        <v>104</v>
      </c>
      <c r="F90" s="259" t="inlineStr">
        <is>
          <t>14K WG</t>
        </is>
      </c>
      <c r="G90" s="260" t="n">
        <v>2</v>
      </c>
      <c r="H90" s="281" t="n">
        <v>8.98</v>
      </c>
      <c r="I90" s="281" t="n">
        <v>0.06</v>
      </c>
      <c r="J90" s="281" t="n">
        <v>0.64</v>
      </c>
      <c r="K90" s="282">
        <f>H90-I90-J90</f>
        <v/>
      </c>
      <c r="L90" s="263" t="n">
        <v>2.2</v>
      </c>
      <c r="M90" s="263" t="inlineStr">
        <is>
          <t>W</t>
        </is>
      </c>
      <c r="N90" s="264" t="n">
        <v>4</v>
      </c>
      <c r="O90" s="265" t="n">
        <v>9.5</v>
      </c>
      <c r="P90" s="266" t="n">
        <v>0.34</v>
      </c>
      <c r="Q90" s="267" t="n"/>
      <c r="R90" s="267" t="n"/>
      <c r="S90" s="267">
        <f>G90*0.02*N90</f>
        <v/>
      </c>
      <c r="T90" s="267">
        <f>G90*2.3</f>
        <v/>
      </c>
      <c r="U90" s="267">
        <f>IF(RIGHT(F90,2)="WG",K90*$AB$4,IF(RIGHT(F90,3)="WRG",K90*$AB$4+3*G90,IF(RIGHT(F90,3)="WYG",K90*$AB$4+3*G90,IF(RIGHT(F90,3)="WYR",K90*$AB$4+3*G90,0))))</f>
        <v/>
      </c>
      <c r="V90" s="267" t="n"/>
      <c r="W90" s="267">
        <f>G90*N90*0.3</f>
        <v/>
      </c>
      <c r="X90" s="267">
        <f>K90*O90</f>
        <v/>
      </c>
      <c r="Y90" s="267">
        <f>($Y$86/31.1035*IF(LEFT(F90,3)="10K",(0.417*1.07*K90),IF(LEFT(F90,3)="14K",(0.585*1.05*K90),IF(LEFT(F90,3)="18K",(0.75*1.05*K90),0))))*0.5</f>
        <v/>
      </c>
      <c r="Z90" s="268">
        <f>($Z$86/31.1035*IF(LEFT(F90,3)="10K",(0.417*1.07*K90),IF(LEFT(F90,3)="14K",(0.585*1.05*K90),IF(LEFT(F90,3)="18K",(0.75*1.05*K90),0))))*0.5</f>
        <v/>
      </c>
      <c r="AA90" s="269">
        <f>2*K90</f>
        <v/>
      </c>
      <c r="AB90" s="269" t="n">
        <v>71.24720000000001</v>
      </c>
      <c r="AC90" s="269" t="n">
        <v>485.169901073752</v>
      </c>
      <c r="AD90" s="269" t="n">
        <v>556.417101073752</v>
      </c>
      <c r="AE90" s="269">
        <f>IF(LEFT(F90,3)="10K",(0.417*1.07*K90),IF(LEFT(F90,3)="14K",(0.585*1.05*K90),IF(LEFT(F90,3)="18K",(0.75*1.05*K90),0)))</f>
        <v/>
      </c>
      <c r="AG90" s="270">
        <f>X90</f>
        <v/>
      </c>
    </row>
    <row r="91" ht="96" customFormat="1" customHeight="1" s="257">
      <c r="A91" s="258" t="n">
        <v>6</v>
      </c>
      <c r="B91" s="259" t="inlineStr">
        <is>
          <t>K0098B688 6.75"</t>
        </is>
      </c>
      <c r="C91" s="259" t="inlineStr">
        <is>
          <t>FSBG5371S8Y</t>
        </is>
      </c>
      <c r="D91" s="259" t="n">
        <v>148520</v>
      </c>
      <c r="E91" s="259" t="n">
        <v>106</v>
      </c>
      <c r="F91" s="259" t="inlineStr">
        <is>
          <t>14K YG</t>
        </is>
      </c>
      <c r="G91" s="260" t="n">
        <v>3</v>
      </c>
      <c r="H91" s="281" t="n">
        <v>14.82</v>
      </c>
      <c r="I91" s="281" t="n">
        <v>0.27</v>
      </c>
      <c r="J91" s="281" t="n">
        <v>0.96</v>
      </c>
      <c r="K91" s="282">
        <f>H91-I91-J91</f>
        <v/>
      </c>
      <c r="L91" s="263" t="inlineStr">
        <is>
          <t>1.00mm
1.20mm
1.40mm
1.50mm
1.60mm
1.80mm
2.00mm</t>
        </is>
      </c>
      <c r="M91" s="263" t="inlineStr">
        <is>
          <t>W
W
W
W
W
W
W</t>
        </is>
      </c>
      <c r="N91" s="264" t="inlineStr">
        <is>
          <t>4pcs
6pcs
1pcs
2pcs
4pcs
3pcs
6pcs</t>
        </is>
      </c>
      <c r="O91" s="265" t="n">
        <v>9.5</v>
      </c>
      <c r="P91" s="266" t="n">
        <v>1.34</v>
      </c>
      <c r="Q91" s="267" t="n"/>
      <c r="R91" s="267" t="n"/>
      <c r="S91" s="267">
        <f>G91*0.02*(4+6+1+2+4+3+6)</f>
        <v/>
      </c>
      <c r="T91" s="267">
        <f>G91*2.3</f>
        <v/>
      </c>
      <c r="U91" s="267">
        <f>IF(RIGHT(F91,2)="WG",K91*$AB$4,IF(RIGHT(F91,3)="WRG",K91*$AB$4+3*G91,IF(RIGHT(F91,3)="WYG",K91*$AB$4+3*G91,IF(RIGHT(F91,3)="WYR",K91*$AB$4+3*G91,0))))</f>
        <v/>
      </c>
      <c r="V91" s="267" t="n"/>
      <c r="W91" s="267">
        <f>G91*(4+6+1+2+4+3+6)*0.3</f>
        <v/>
      </c>
      <c r="X91" s="267">
        <f>K91*O91</f>
        <v/>
      </c>
      <c r="Y91" s="267">
        <f>($Y$86/31.1035*IF(LEFT(F91,3)="10K",(0.417*1.07*K91),IF(LEFT(F91,3)="14K",(0.585*1.05*K91),IF(LEFT(F91,3)="18K",(0.75*1.05*K91),0))))*0.5</f>
        <v/>
      </c>
      <c r="Z91" s="268">
        <f>($Z$86/31.1035*IF(LEFT(F91,3)="10K",(0.417*1.07*K91),IF(LEFT(F91,3)="14K",(0.585*1.05*K91),IF(LEFT(F91,3)="18K",(0.75*1.05*K91),0))))*0.5</f>
        <v/>
      </c>
      <c r="AA91" s="269">
        <f>2*K91</f>
        <v/>
      </c>
      <c r="AB91" s="269" t="n">
        <v>133.785</v>
      </c>
      <c r="AC91" s="269" t="n">
        <v>1069.94708187891</v>
      </c>
      <c r="AD91" s="269" t="n">
        <v>1203.7320818789</v>
      </c>
      <c r="AE91" s="269">
        <f>IF(LEFT(F91,3)="10K",(0.417*1.07*K91),IF(LEFT(F91,3)="14K",(0.585*1.05*K91),IF(LEFT(F91,3)="18K",(0.75*1.05*K91),0)))</f>
        <v/>
      </c>
      <c r="AG91" s="270">
        <f>X91</f>
        <v/>
      </c>
    </row>
    <row r="92" ht="27" customFormat="1" customHeight="1" s="257">
      <c r="A92" s="258" t="n">
        <v>9</v>
      </c>
      <c r="B92" s="259" t="inlineStr">
        <is>
          <t>K0107R99 #6.5-8.0</t>
        </is>
      </c>
      <c r="C92" s="259" t="inlineStr">
        <is>
          <t>FSRT5062RDS8Y4</t>
        </is>
      </c>
      <c r="D92" s="259" t="n">
        <v>148520</v>
      </c>
      <c r="E92" s="259" t="n">
        <v>109</v>
      </c>
      <c r="F92" s="259" t="inlineStr">
        <is>
          <t>14K YG</t>
        </is>
      </c>
      <c r="G92" s="260" t="n">
        <v>3</v>
      </c>
      <c r="H92" s="281" t="n">
        <v>14.51</v>
      </c>
      <c r="I92" s="281" t="n">
        <v>0.29</v>
      </c>
      <c r="J92" s="281" t="n">
        <v>0.54</v>
      </c>
      <c r="K92" s="282">
        <f>H92-I92-J92</f>
        <v/>
      </c>
      <c r="L92" s="263" t="n">
        <v>2.3</v>
      </c>
      <c r="M92" s="263" t="inlineStr">
        <is>
          <t>W</t>
        </is>
      </c>
      <c r="N92" s="264" t="n">
        <v>11</v>
      </c>
      <c r="O92" s="265" t="n">
        <v>11</v>
      </c>
      <c r="P92" s="266" t="n">
        <v>1.43</v>
      </c>
      <c r="Q92" s="267" t="n"/>
      <c r="R92" s="267" t="n"/>
      <c r="S92" s="267">
        <f>G92*0.02*N92</f>
        <v/>
      </c>
      <c r="T92" s="267">
        <f>G92*3.3</f>
        <v/>
      </c>
      <c r="U92" s="267">
        <f>IF(RIGHT(F92,2)="WG",K92*$AB$4,IF(RIGHT(F92,3)="WRG",K92*$AB$4+3*G92,IF(RIGHT(F92,3)="WYG",K92*$AB$4+3*G92,IF(RIGHT(F92,3)="WYR",K92*$AB$4+3*G92,0))))</f>
        <v/>
      </c>
      <c r="V92" s="267" t="n"/>
      <c r="W92" s="267">
        <f>G92*N92*0.3</f>
        <v/>
      </c>
      <c r="X92" s="267">
        <f>K92*O92</f>
        <v/>
      </c>
      <c r="Y92" s="267">
        <f>($Y$86/31.1035*IF(LEFT(F92,3)="10K",(0.417*1.07*K92),IF(LEFT(F92,3)="14K",(0.585*1.05*K92),IF(LEFT(F92,3)="18K",(0.75*1.05*K92),0))))*0.5</f>
        <v/>
      </c>
      <c r="Z92" s="268">
        <f>($Z$86/31.1035*IF(LEFT(F92,3)="10K",(0.417*1.07*K92),IF(LEFT(F92,3)="14K",(0.585*1.05*K92),IF(LEFT(F92,3)="18K",(0.75*1.05*K92),0))))*0.5</f>
        <v/>
      </c>
      <c r="AA92" s="269">
        <f>2*K92</f>
        <v/>
      </c>
      <c r="AB92" s="269" t="n">
        <v>143.58</v>
      </c>
      <c r="AC92" s="269" t="n">
        <v>1105.42176275137</v>
      </c>
      <c r="AD92" s="269" t="n">
        <v>1249.00176275137</v>
      </c>
      <c r="AE92" s="269">
        <f>IF(LEFT(F92,3)="10K",(0.417*1.07*K92),IF(LEFT(F92,3)="14K",(0.585*1.05*K92),IF(LEFT(F92,3)="18K",(0.75*1.05*K92),0)))</f>
        <v/>
      </c>
      <c r="AG92" s="270">
        <f>X92</f>
        <v/>
      </c>
    </row>
    <row r="93" ht="27.75" customFormat="1" customHeight="1" s="257">
      <c r="A93" s="258" t="n">
        <v>10</v>
      </c>
      <c r="B93" s="259" t="inlineStr">
        <is>
          <t>K0107R152 #6.5-8.0</t>
        </is>
      </c>
      <c r="C93" s="259" t="inlineStr">
        <is>
          <t>FSRT5068RDS8YW4</t>
        </is>
      </c>
      <c r="D93" s="259" t="n">
        <v>148520</v>
      </c>
      <c r="E93" s="259" t="n">
        <v>110</v>
      </c>
      <c r="F93" s="259" t="inlineStr">
        <is>
          <t>14K WYG</t>
        </is>
      </c>
      <c r="G93" s="260" t="n">
        <v>3</v>
      </c>
      <c r="H93" s="281" t="n">
        <v>22.08</v>
      </c>
      <c r="I93" s="281" t="n">
        <v>0.66</v>
      </c>
      <c r="J93" s="281" t="n">
        <v>0.72</v>
      </c>
      <c r="K93" s="282">
        <f>H93-I93-J93</f>
        <v/>
      </c>
      <c r="L93" s="263" t="n">
        <v>2.3</v>
      </c>
      <c r="M93" s="263" t="inlineStr">
        <is>
          <t>W</t>
        </is>
      </c>
      <c r="N93" s="264" t="n">
        <v>25</v>
      </c>
      <c r="O93" s="265" t="n">
        <v>10</v>
      </c>
      <c r="P93" s="266" t="n">
        <v>3.33</v>
      </c>
      <c r="Q93" s="267" t="n"/>
      <c r="R93" s="267" t="n"/>
      <c r="S93" s="267">
        <f>G93*0.02*N93</f>
        <v/>
      </c>
      <c r="T93" s="267">
        <f>G93*3.45</f>
        <v/>
      </c>
      <c r="U93" s="267">
        <f>IF(RIGHT(F93,2)="WG",K93*$AB$4,IF(RIGHT(F93,3)="WRG",K93*$AB$4+3*G93,IF(RIGHT(F93,3)="WYG",K93*$AB$4+3*G93,IF(RIGHT(F93,3)="WYR",K93*$AB$4+3*G93,0))))</f>
        <v/>
      </c>
      <c r="V93" s="267" t="n"/>
      <c r="W93" s="267">
        <f>G93*N93*0.3</f>
        <v/>
      </c>
      <c r="X93" s="267">
        <f>K93*O93</f>
        <v/>
      </c>
      <c r="Y93" s="267">
        <f>($Y$86/31.1035*IF(LEFT(F93,3)="10K",(0.417*1.07*K93),IF(LEFT(F93,3)="14K",(0.585*1.05*K93),IF(LEFT(F93,3)="18K",(0.75*1.05*K93),0))))*0.5</f>
        <v/>
      </c>
      <c r="Z93" s="268">
        <f>($Z$86/31.1035*IF(LEFT(F93,3)="10K",(0.417*1.07*K93),IF(LEFT(F93,3)="14K",(0.585*1.05*K93),IF(LEFT(F93,3)="18K",(0.75*1.05*K93),0))))*0.5</f>
        <v/>
      </c>
      <c r="AA93" s="269">
        <f>2*K93</f>
        <v/>
      </c>
      <c r="AB93" s="269" t="n">
        <v>213.918</v>
      </c>
      <c r="AC93" s="269" t="n">
        <v>2080.76881228116</v>
      </c>
      <c r="AD93" s="269" t="n">
        <v>2294.68681228116</v>
      </c>
      <c r="AE93" s="269">
        <f>IF(LEFT(F93,3)="10K",(0.417*1.07*K93),IF(LEFT(F93,3)="14K",(0.585*1.05*K93),IF(LEFT(F93,3)="18K",(0.75*1.05*K93),0)))</f>
        <v/>
      </c>
      <c r="AG93" s="270">
        <f>X93</f>
        <v/>
      </c>
    </row>
    <row r="94" ht="15.75" customFormat="1" customHeight="1" s="271">
      <c r="A94" s="272" t="inlineStr">
        <is>
          <t>SUBTOTAL</t>
        </is>
      </c>
      <c r="B94" s="273" t="n"/>
      <c r="C94" s="273" t="n"/>
      <c r="D94" s="273" t="n"/>
      <c r="E94" s="273" t="n"/>
      <c r="F94" s="273" t="n"/>
      <c r="G94" s="274">
        <f>SUM(G88:G93)</f>
        <v/>
      </c>
      <c r="H94" s="283" t="n"/>
      <c r="I94" s="283" t="n"/>
      <c r="J94" s="283" t="n"/>
      <c r="K94" s="283">
        <f>SUM(K88:K93)</f>
        <v/>
      </c>
      <c r="L94" s="276" t="n"/>
      <c r="M94" s="276" t="n"/>
      <c r="N94" s="276" t="n"/>
      <c r="O94" s="277" t="n"/>
      <c r="P94" s="278">
        <f>SUM(P88:P93)</f>
        <v/>
      </c>
      <c r="Q94" s="279">
        <f>SUM(Q88:Q93)</f>
        <v/>
      </c>
      <c r="R94" s="279">
        <f>SUM(R88:R93)</f>
        <v/>
      </c>
      <c r="S94" s="279">
        <f>SUM(S88:S93)</f>
        <v/>
      </c>
      <c r="T94" s="279">
        <f>SUM(T88:T93)</f>
        <v/>
      </c>
      <c r="U94" s="279">
        <f>SUM(U88:U93)</f>
        <v/>
      </c>
      <c r="V94" s="279">
        <f>SUM(V88:V93)</f>
        <v/>
      </c>
      <c r="W94" s="279">
        <f>SUM(W88:W93)</f>
        <v/>
      </c>
      <c r="X94" s="279">
        <f>SUM(X88:X93)</f>
        <v/>
      </c>
      <c r="Y94" s="279">
        <f>SUM(Y88:Y93)</f>
        <v/>
      </c>
      <c r="Z94" s="280">
        <f>SUM(Z88:Z93)</f>
        <v/>
      </c>
      <c r="AA94" s="269" t="n"/>
      <c r="AB94" s="269" t="n"/>
      <c r="AC94" s="269" t="n"/>
      <c r="AD94" s="269" t="n"/>
      <c r="AE94" s="269" t="n"/>
      <c r="AG94" s="270" t="n"/>
    </row>
    <row r="95" ht="15.75" customHeight="1" s="240">
      <c r="A95" s="241" t="inlineStr">
        <is>
          <t>Buyer Dia</t>
        </is>
      </c>
      <c r="K95" s="242" t="n"/>
      <c r="L95" s="243" t="n"/>
      <c r="M95" s="243" t="n"/>
      <c r="N95" s="243" t="n"/>
      <c r="W95" s="244" t="n"/>
      <c r="X95" s="245" t="inlineStr">
        <is>
          <t>4th Apr London AM + 2%</t>
        </is>
      </c>
      <c r="Y95" s="246">
        <f>3090.3*1.02</f>
        <v/>
      </c>
      <c r="Z95" s="246">
        <f>3090.3*1.02</f>
        <v/>
      </c>
      <c r="AA95" s="269" t="n"/>
      <c r="AB95" s="269" t="n"/>
      <c r="AC95" s="269" t="n"/>
      <c r="AD95" s="269" t="n"/>
      <c r="AE95" s="269" t="n"/>
      <c r="AG95" s="270" t="n"/>
    </row>
    <row r="96" ht="27" customFormat="1" customHeight="1" s="247">
      <c r="A96" s="248" t="inlineStr">
        <is>
          <t>PO#</t>
        </is>
      </c>
      <c r="B96" s="249" t="inlineStr">
        <is>
          <t>Item No.</t>
        </is>
      </c>
      <c r="C96" s="249" t="inlineStr">
        <is>
          <t>Buyer No.</t>
        </is>
      </c>
      <c r="D96" s="249" t="inlineStr">
        <is>
          <t>Buyer PO</t>
        </is>
      </c>
      <c r="E96" s="249" t="inlineStr">
        <is>
          <t>IDD PO SERIAL#</t>
        </is>
      </c>
      <c r="F96" s="249" t="inlineStr">
        <is>
          <t>Metal</t>
        </is>
      </c>
      <c r="G96" s="249" t="inlineStr">
        <is>
          <t>Q'ty</t>
        </is>
      </c>
      <c r="H96" s="250" t="inlineStr">
        <is>
          <t>Total w't</t>
        </is>
      </c>
      <c r="I96" s="250" t="inlineStr">
        <is>
          <t>Dia w't</t>
        </is>
      </c>
      <c r="J96" s="250" t="inlineStr">
        <is>
          <t>Wire w't</t>
        </is>
      </c>
      <c r="K96" s="250" t="inlineStr">
        <is>
          <t>Gold w't</t>
        </is>
      </c>
      <c r="L96" s="251" t="inlineStr">
        <is>
          <t>Stone</t>
        </is>
      </c>
      <c r="M96" s="251" t="inlineStr">
        <is>
          <t>Color</t>
        </is>
      </c>
      <c r="N96" s="251" t="inlineStr">
        <is>
          <t>Stone Q'ty</t>
        </is>
      </c>
      <c r="O96" s="252" t="inlineStr">
        <is>
          <t>Labor</t>
        </is>
      </c>
      <c r="P96" s="253" t="inlineStr">
        <is>
          <t>Dia Carat</t>
        </is>
      </c>
      <c r="Q96" s="254" t="inlineStr">
        <is>
          <t>Extra Cost</t>
        </is>
      </c>
      <c r="R96" s="254" t="inlineStr">
        <is>
          <t>Dia Packaging Cost</t>
        </is>
      </c>
      <c r="S96" s="254" t="inlineStr">
        <is>
          <t>Dia Handling Cost</t>
        </is>
      </c>
      <c r="T96" s="254" t="inlineStr">
        <is>
          <t>Wire
Cost</t>
        </is>
      </c>
      <c r="U96" s="254" t="inlineStr">
        <is>
          <t>Plating Cost</t>
        </is>
      </c>
      <c r="V96" s="254" t="inlineStr">
        <is>
          <t>Stone
Cost</t>
        </is>
      </c>
      <c r="W96" s="254" t="inlineStr">
        <is>
          <t>Setting
Cost</t>
        </is>
      </c>
      <c r="X96" s="255" t="inlineStr">
        <is>
          <t>Labor
Cost</t>
        </is>
      </c>
      <c r="Y96" s="256" t="inlineStr">
        <is>
          <t>Gold &amp; 5%
Cost</t>
        </is>
      </c>
      <c r="Z96" s="255" t="inlineStr">
        <is>
          <t>Current Gold &amp;
5% Cost</t>
        </is>
      </c>
      <c r="AA96" s="269" t="n"/>
      <c r="AB96" s="269" t="n"/>
      <c r="AC96" s="269" t="n"/>
      <c r="AD96" s="269" t="n"/>
      <c r="AE96" s="269" t="n"/>
      <c r="AG96" s="270" t="n"/>
    </row>
    <row r="97" ht="27" customFormat="1" customHeight="1" s="257">
      <c r="A97" s="258" t="inlineStr">
        <is>
          <t>IDD250401RB-5-14K</t>
        </is>
      </c>
      <c r="B97" s="259" t="inlineStr">
        <is>
          <t>K0634B01 OV 6.75"</t>
        </is>
      </c>
      <c r="C97" s="259" t="inlineStr">
        <is>
          <t>FSBG5045S8W</t>
        </is>
      </c>
      <c r="D97" s="259" t="n">
        <v>148533</v>
      </c>
      <c r="E97" s="259" t="inlineStr">
        <is>
          <t>101</t>
        </is>
      </c>
      <c r="F97" s="259" t="inlineStr">
        <is>
          <t>14K WG</t>
        </is>
      </c>
      <c r="G97" s="260" t="n">
        <v>2</v>
      </c>
      <c r="H97" s="281" t="n">
        <v>13.04</v>
      </c>
      <c r="I97" s="281" t="n">
        <v>0.06</v>
      </c>
      <c r="J97" s="281" t="n">
        <v>0.64</v>
      </c>
      <c r="K97" s="282">
        <f>H97-I97-J97</f>
        <v/>
      </c>
      <c r="L97" s="263" t="n">
        <v>1.5</v>
      </c>
      <c r="M97" s="263" t="inlineStr">
        <is>
          <t>W</t>
        </is>
      </c>
      <c r="N97" s="264" t="n">
        <v>13</v>
      </c>
      <c r="O97" s="265" t="n">
        <v>9.5</v>
      </c>
      <c r="P97" s="266" t="n">
        <v>0.34</v>
      </c>
      <c r="Q97" s="267" t="n"/>
      <c r="R97" s="267" t="n"/>
      <c r="S97" s="267">
        <f>G97*0.02*N97</f>
        <v/>
      </c>
      <c r="T97" s="267">
        <f>G97*2.3</f>
        <v/>
      </c>
      <c r="U97" s="267">
        <f>IF(RIGHT(F97,2)="WG",K97*$AB$4,IF(RIGHT(F97,3)="WRG",K97*$AB$4+3*G97,IF(RIGHT(F97,3)="WYG",K97*$AB$4+3*G97,IF(RIGHT(F97,3)="WYR",K97*$AB$4+3*G97,0))))</f>
        <v/>
      </c>
      <c r="V97" s="267" t="n"/>
      <c r="W97" s="267">
        <f>G97*N97*0.3</f>
        <v/>
      </c>
      <c r="X97" s="267">
        <f>K97*O97</f>
        <v/>
      </c>
      <c r="Y97" s="267">
        <f>($Y$95/31.1035*IF(LEFT(F97,3)="10K",(0.417*1.07*K97),IF(LEFT(F97,3)="14K",(0.585*1.05*K97),IF(LEFT(F97,3)="18K",(0.75*1.05*K97),0))))*0.5</f>
        <v/>
      </c>
      <c r="Z97" s="268">
        <f>($Z$95/31.1035*IF(LEFT(F97,3)="10K",(0.417*1.07*K97),IF(LEFT(F97,3)="14K",(0.585*1.05*K97),IF(LEFT(F97,3)="18K",(0.75*1.05*K97),0))))*0.5</f>
        <v/>
      </c>
      <c r="AA97" s="269">
        <f>2*K97</f>
        <v/>
      </c>
      <c r="AB97" s="269" t="n">
        <v>108.4316</v>
      </c>
      <c r="AC97" s="269" t="n">
        <v>664.727461073752</v>
      </c>
      <c r="AD97" s="269" t="n">
        <v>773.159061073752</v>
      </c>
      <c r="AE97" s="269">
        <f>IF(LEFT(F97,3)="10K",(0.417*1.07*K97),IF(LEFT(F97,3)="14K",(0.585*1.05*K97),IF(LEFT(F97,3)="18K",(0.75*1.05*K97),0)))</f>
        <v/>
      </c>
      <c r="AG97" s="270">
        <f>X97</f>
        <v/>
      </c>
    </row>
    <row r="98" ht="27" customFormat="1" customHeight="1" s="257">
      <c r="A98" s="258" t="n">
        <v>2</v>
      </c>
      <c r="B98" s="259" t="inlineStr">
        <is>
          <t>K0634B01 OV 6.75"</t>
        </is>
      </c>
      <c r="C98" s="259" t="inlineStr">
        <is>
          <t>FSBG5045S8Y</t>
        </is>
      </c>
      <c r="D98" s="259" t="n">
        <v>148533</v>
      </c>
      <c r="E98" s="259" t="inlineStr">
        <is>
          <t>102</t>
        </is>
      </c>
      <c r="F98" s="259" t="inlineStr">
        <is>
          <t>14K YG</t>
        </is>
      </c>
      <c r="G98" s="260" t="n">
        <v>3</v>
      </c>
      <c r="H98" s="281" t="n">
        <v>19.38</v>
      </c>
      <c r="I98" s="281" t="n">
        <v>0.09</v>
      </c>
      <c r="J98" s="281" t="n">
        <v>0.96</v>
      </c>
      <c r="K98" s="282">
        <f>H98-I98-J98</f>
        <v/>
      </c>
      <c r="L98" s="263" t="n">
        <v>1.5</v>
      </c>
      <c r="M98" s="263" t="inlineStr">
        <is>
          <t>W</t>
        </is>
      </c>
      <c r="N98" s="264" t="n">
        <v>13</v>
      </c>
      <c r="O98" s="265" t="n">
        <v>9.5</v>
      </c>
      <c r="P98" s="266" t="n">
        <v>0.51</v>
      </c>
      <c r="Q98" s="267" t="n"/>
      <c r="R98" s="267" t="n"/>
      <c r="S98" s="267">
        <f>G98*0.02*N98</f>
        <v/>
      </c>
      <c r="T98" s="267">
        <f>G98*2.3</f>
        <v/>
      </c>
      <c r="U98" s="267">
        <f>IF(RIGHT(F98,2)="WG",K98*$AB$4,IF(RIGHT(F98,3)="WRG",K98*$AB$4+3*G98,IF(RIGHT(F98,3)="WYG",K98*$AB$4+3*G98,IF(RIGHT(F98,3)="WYR",K98*$AB$4+3*G98,0))))</f>
        <v/>
      </c>
      <c r="V98" s="267" t="n"/>
      <c r="W98" s="267">
        <f>G98*N98*0.3</f>
        <v/>
      </c>
      <c r="X98" s="267">
        <f>K98*O98</f>
        <v/>
      </c>
      <c r="Y98" s="267">
        <f>($Y$95/31.1035*IF(LEFT(F98,3)="10K",(0.417*1.07*K98),IF(LEFT(F98,3)="14K",(0.585*1.05*K98),IF(LEFT(F98,3)="18K",(0.75*1.05*K98),0))))*0.5</f>
        <v/>
      </c>
      <c r="Z98" s="268">
        <f>($Z$95/31.1035*IF(LEFT(F98,3)="10K",(0.417*1.07*K98),IF(LEFT(F98,3)="14K",(0.585*1.05*K98),IF(LEFT(F98,3)="18K",(0.75*1.05*K98),0))))*0.5</f>
        <v/>
      </c>
      <c r="AA98" s="269">
        <f>2*K98</f>
        <v/>
      </c>
      <c r="AB98" s="269" t="n">
        <v>156.855</v>
      </c>
      <c r="AC98" s="269" t="n">
        <v>989.130511610628</v>
      </c>
      <c r="AD98" s="269" t="n">
        <v>1145.98551161063</v>
      </c>
      <c r="AE98" s="269">
        <f>IF(LEFT(F98,3)="10K",(0.417*1.07*K98),IF(LEFT(F98,3)="14K",(0.585*1.05*K98),IF(LEFT(F98,3)="18K",(0.75*1.05*K98),0)))</f>
        <v/>
      </c>
      <c r="AG98" s="270">
        <f>X98</f>
        <v/>
      </c>
    </row>
    <row r="99" ht="27" customFormat="1" customHeight="1" s="257">
      <c r="A99" s="258" t="n">
        <v>3</v>
      </c>
      <c r="B99" s="259" t="inlineStr">
        <is>
          <t>K0107R128 #6.5-8</t>
        </is>
      </c>
      <c r="C99" s="259" t="inlineStr">
        <is>
          <t>FSR5014K5Y</t>
        </is>
      </c>
      <c r="D99" s="259" t="n">
        <v>148533</v>
      </c>
      <c r="E99" s="259" t="inlineStr">
        <is>
          <t>103</t>
        </is>
      </c>
      <c r="F99" s="259" t="inlineStr">
        <is>
          <t>14K YG</t>
        </is>
      </c>
      <c r="G99" s="260" t="n">
        <v>1</v>
      </c>
      <c r="H99" s="281" t="n">
        <v>6.13</v>
      </c>
      <c r="I99" s="281" t="n">
        <v>0.13</v>
      </c>
      <c r="J99" s="281" t="n">
        <v>0.26</v>
      </c>
      <c r="K99" s="282">
        <f>H99-I99-J99</f>
        <v/>
      </c>
      <c r="L99" s="263" t="inlineStr">
        <is>
          <t>EM 3.4*2.5
1.10mm</t>
        </is>
      </c>
      <c r="M99" s="263" t="inlineStr">
        <is>
          <t>W
W</t>
        </is>
      </c>
      <c r="N99" s="264" t="inlineStr">
        <is>
          <t>2pcs
60pcs</t>
        </is>
      </c>
      <c r="O99" s="265" t="n">
        <v>10</v>
      </c>
      <c r="P99" s="266" t="n">
        <v>0.65</v>
      </c>
      <c r="Q99" s="267" t="n"/>
      <c r="R99" s="267" t="n"/>
      <c r="S99" s="267">
        <f>G99*0.02*(2+60)</f>
        <v/>
      </c>
      <c r="T99" s="267">
        <f>G99*3.45</f>
        <v/>
      </c>
      <c r="U99" s="267">
        <f>IF(RIGHT(F99,2)="WG",K99*$AB$4,IF(RIGHT(F99,3)="WRG",K99*$AB$4+3*G99,IF(RIGHT(F99,3)="WYG",K99*$AB$4+3*G99,IF(RIGHT(F99,3)="WYR",K99*$AB$4+3*G99,0))))</f>
        <v/>
      </c>
      <c r="V99" s="267" t="n"/>
      <c r="W99" s="267">
        <f>G99*(2*3+60*0.3)</f>
        <v/>
      </c>
      <c r="X99" s="267">
        <f>K99*O99</f>
        <v/>
      </c>
      <c r="Y99" s="267">
        <f>($Y$95/31.1035*IF(LEFT(F99,3)="10K",(0.417*1.07*K99),IF(LEFT(F99,3)="14K",(0.585*1.05*K99),IF(LEFT(F99,3)="18K",(0.75*1.05*K99),0))))*0.5</f>
        <v/>
      </c>
      <c r="Z99" s="268">
        <f>($Z$95/31.1035*IF(LEFT(F99,3)="10K",(0.417*1.07*K99),IF(LEFT(F99,3)="14K",(0.585*1.05*K99),IF(LEFT(F99,3)="18K",(0.75*1.05*K99),0))))*0.5</f>
        <v/>
      </c>
      <c r="AA99" s="269">
        <f>2*K99</f>
        <v/>
      </c>
      <c r="AB99" s="269" t="n">
        <v>74.61</v>
      </c>
      <c r="AC99" s="269" t="n">
        <v>481.316368523349</v>
      </c>
      <c r="AD99" s="269" t="n">
        <v>555.926368523349</v>
      </c>
      <c r="AE99" s="269">
        <f>IF(LEFT(F99,3)="10K",(0.417*1.07*K99),IF(LEFT(F99,3)="14K",(0.585*1.05*K99),IF(LEFT(F99,3)="18K",(0.75*1.05*K99),0)))</f>
        <v/>
      </c>
      <c r="AG99" s="270">
        <f>X99</f>
        <v/>
      </c>
    </row>
    <row r="100" ht="54.75" customFormat="1" customHeight="1" s="257">
      <c r="A100" s="258" t="n">
        <v>4</v>
      </c>
      <c r="B100" s="259" t="inlineStr">
        <is>
          <t>K0107R149 #6.5-8</t>
        </is>
      </c>
      <c r="C100" s="259" t="inlineStr">
        <is>
          <t>FSRT5066RDS8Y4</t>
        </is>
      </c>
      <c r="D100" s="259" t="n">
        <v>148533</v>
      </c>
      <c r="E100" s="259" t="n">
        <v>104</v>
      </c>
      <c r="F100" s="259" t="inlineStr">
        <is>
          <t>14K YG</t>
        </is>
      </c>
      <c r="G100" s="260" t="n">
        <v>2</v>
      </c>
      <c r="H100" s="281" t="n">
        <v>6.57</v>
      </c>
      <c r="I100" s="281" t="n">
        <v>0.39</v>
      </c>
      <c r="J100" s="281" t="n">
        <v>0.36</v>
      </c>
      <c r="K100" s="282">
        <f>H100-I100-J100</f>
        <v/>
      </c>
      <c r="L100" s="263" t="inlineStr">
        <is>
          <t>1.50mm
1.80mm
2.10mm
2.30mm</t>
        </is>
      </c>
      <c r="M100" s="263" t="inlineStr">
        <is>
          <t>W
W
W
W</t>
        </is>
      </c>
      <c r="N100" s="264" t="inlineStr">
        <is>
          <t>41pcs
2pcs
2pcs
8pcs</t>
        </is>
      </c>
      <c r="O100" s="265" t="n">
        <v>10</v>
      </c>
      <c r="P100" s="266" t="n">
        <v>1.97</v>
      </c>
      <c r="Q100" s="267" t="n"/>
      <c r="R100" s="267" t="n"/>
      <c r="S100" s="267">
        <f>G100*0.02*(41+2+2+8)</f>
        <v/>
      </c>
      <c r="T100" s="267">
        <f>G100*3.45</f>
        <v/>
      </c>
      <c r="U100" s="267">
        <f>IF(RIGHT(F100,2)="WG",K100*$AB$4,IF(RIGHT(F100,3)="WRG",K100*$AB$4+3*G100,IF(RIGHT(F100,3)="WYG",K100*$AB$4+3*G100,IF(RIGHT(F100,3)="WYR",K100*$AB$4+3*G100,0))))</f>
        <v/>
      </c>
      <c r="V100" s="267" t="n"/>
      <c r="W100" s="267">
        <f>G100*(41+2+2+8)*0.3</f>
        <v/>
      </c>
      <c r="X100" s="267">
        <f>K100*O100</f>
        <v/>
      </c>
      <c r="Y100" s="267">
        <f>($Y$95/31.1035*IF(LEFT(F100,3)="10K",(0.417*1.07*K100),IF(LEFT(F100,3)="14K",(0.585*1.05*K100),IF(LEFT(F100,3)="18K",(0.75*1.05*K100),0))))*0.5</f>
        <v/>
      </c>
      <c r="Z100" s="268">
        <f>($Z$95/31.1035*IF(LEFT(F100,3)="10K",(0.417*1.07*K100),IF(LEFT(F100,3)="14K",(0.585*1.05*K100),IF(LEFT(F100,3)="18K",(0.75*1.05*K100),0))))*0.5</f>
        <v/>
      </c>
      <c r="AA100" s="269">
        <f>2*K100</f>
        <v/>
      </c>
      <c r="AB100" s="269" t="n">
        <v>87.38</v>
      </c>
      <c r="AC100" s="269" t="n">
        <v>946.771447986151</v>
      </c>
      <c r="AD100" s="269" t="n">
        <v>1034.15144798615</v>
      </c>
      <c r="AE100" s="269">
        <f>IF(LEFT(F100,3)="10K",(0.417*1.07*K100),IF(LEFT(F100,3)="14K",(0.585*1.05*K100),IF(LEFT(F100,3)="18K",(0.75*1.05*K100),0)))</f>
        <v/>
      </c>
      <c r="AG100" s="270">
        <f>X100</f>
        <v/>
      </c>
    </row>
    <row r="101" ht="27" customFormat="1" customHeight="1" s="257">
      <c r="A101" s="258" t="n">
        <v>7</v>
      </c>
      <c r="B101" s="259" t="inlineStr">
        <is>
          <t>K0038B59 OV F 6.75"</t>
        </is>
      </c>
      <c r="C101" s="259" t="inlineStr">
        <is>
          <t>FSBG5036S8W</t>
        </is>
      </c>
      <c r="D101" s="259" t="n">
        <v>148533</v>
      </c>
      <c r="E101" s="259" t="n">
        <v>107</v>
      </c>
      <c r="F101" s="259" t="inlineStr">
        <is>
          <t>14K WG</t>
        </is>
      </c>
      <c r="G101" s="260" t="n">
        <v>3</v>
      </c>
      <c r="H101" s="281" t="n">
        <v>18.28</v>
      </c>
      <c r="I101" s="281" t="n">
        <v>0.87</v>
      </c>
      <c r="J101" s="281" t="n">
        <v>0.96</v>
      </c>
      <c r="K101" s="282">
        <f>H101-I101-J101</f>
        <v/>
      </c>
      <c r="L101" s="263" t="n">
        <v>1.65</v>
      </c>
      <c r="M101" s="263" t="inlineStr">
        <is>
          <t>W</t>
        </is>
      </c>
      <c r="N101" s="264" t="n">
        <v>85</v>
      </c>
      <c r="O101" s="265" t="n">
        <v>8.5</v>
      </c>
      <c r="P101" s="266" t="n">
        <v>4.35</v>
      </c>
      <c r="Q101" s="267" t="n"/>
      <c r="R101" s="267" t="n"/>
      <c r="S101" s="267">
        <f>G101*0.02*N101</f>
        <v/>
      </c>
      <c r="T101" s="267">
        <f>G101*2.3</f>
        <v/>
      </c>
      <c r="U101" s="267">
        <f>IF(RIGHT(F101,2)="WG",K101*$AB$4,IF(RIGHT(F101,3)="WRG",K101*$AB$4+3*G101,IF(RIGHT(F101,3)="WYG",K101*$AB$4+3*G101,IF(RIGHT(F101,3)="WYR",K101*$AB$4+3*G101,0))))</f>
        <v/>
      </c>
      <c r="V101" s="267" t="n"/>
      <c r="W101" s="267">
        <f>G101*N101*0.3</f>
        <v/>
      </c>
      <c r="X101" s="267">
        <f>K101*O101</f>
        <v/>
      </c>
      <c r="Y101" s="267">
        <f>($Y$95/31.1035*IF(LEFT(F101,3)="10K",(0.417*1.07*K101),IF(LEFT(F101,3)="14K",(0.585*1.05*K101),IF(LEFT(F101,3)="18K",(0.75*1.05*K101),0))))*0.5</f>
        <v/>
      </c>
      <c r="Z101" s="268">
        <f>($Z$95/31.1035*IF(LEFT(F101,3)="10K",(0.417*1.07*K101),IF(LEFT(F101,3)="14K",(0.585*1.05*K101),IF(LEFT(F101,3)="18K",(0.75*1.05*K101),0))))*0.5</f>
        <v/>
      </c>
      <c r="AA101" s="269">
        <f>2*K101</f>
        <v/>
      </c>
      <c r="AB101" s="269" t="n">
        <v>199.373</v>
      </c>
      <c r="AC101" s="269" t="n">
        <v>2249.74417550242</v>
      </c>
      <c r="AD101" s="269" t="n">
        <v>2449.11717550242</v>
      </c>
      <c r="AE101" s="269">
        <f>IF(LEFT(F101,3)="10K",(0.417*1.07*K101),IF(LEFT(F101,3)="14K",(0.585*1.05*K101),IF(LEFT(F101,3)="18K",(0.75*1.05*K101),0)))</f>
        <v/>
      </c>
      <c r="AG101" s="270">
        <f>X101</f>
        <v/>
      </c>
    </row>
    <row r="102" ht="27.75" customFormat="1" customHeight="1" s="257">
      <c r="A102" s="258" t="n">
        <v>8</v>
      </c>
      <c r="B102" s="259" t="inlineStr">
        <is>
          <t>K0038B59 OV F 6.75"</t>
        </is>
      </c>
      <c r="C102" s="259" t="inlineStr">
        <is>
          <t>FSBG5036S8Y</t>
        </is>
      </c>
      <c r="D102" s="259" t="n">
        <v>148533</v>
      </c>
      <c r="E102" s="259" t="n">
        <v>108</v>
      </c>
      <c r="F102" s="259" t="inlineStr">
        <is>
          <t>14K YG</t>
        </is>
      </c>
      <c r="G102" s="260" t="n">
        <v>4</v>
      </c>
      <c r="H102" s="281" t="n">
        <v>24.19</v>
      </c>
      <c r="I102" s="281" t="n">
        <v>1.12</v>
      </c>
      <c r="J102" s="281" t="n">
        <v>1.28</v>
      </c>
      <c r="K102" s="282">
        <f>H102-I102-J102</f>
        <v/>
      </c>
      <c r="L102" s="263" t="n">
        <v>1.65</v>
      </c>
      <c r="M102" s="263" t="inlineStr">
        <is>
          <t>W</t>
        </is>
      </c>
      <c r="N102" s="264" t="n">
        <v>85</v>
      </c>
      <c r="O102" s="265" t="n">
        <v>8.5</v>
      </c>
      <c r="P102" s="266" t="n">
        <v>5.68</v>
      </c>
      <c r="Q102" s="267" t="n"/>
      <c r="R102" s="267" t="n"/>
      <c r="S102" s="267">
        <f>G102*0.02*N102</f>
        <v/>
      </c>
      <c r="T102" s="267">
        <f>G102*2.3</f>
        <v/>
      </c>
      <c r="U102" s="267">
        <f>IF(RIGHT(F102,2)="WG",K102*$AB$4,IF(RIGHT(F102,3)="WRG",K102*$AB$4+3*G102,IF(RIGHT(F102,3)="WYG",K102*$AB$4+3*G102,IF(RIGHT(F102,3)="WYR",K102*$AB$4+3*G102,0))))</f>
        <v/>
      </c>
      <c r="V102" s="267" t="n"/>
      <c r="W102" s="267">
        <f>G102*N102*0.3</f>
        <v/>
      </c>
      <c r="X102" s="267">
        <f>K102*O102</f>
        <v/>
      </c>
      <c r="Y102" s="267">
        <f>($Y$95/31.1035*IF(LEFT(F102,3)="10K",(0.417*1.07*K102),IF(LEFT(F102,3)="14K",(0.585*1.05*K102),IF(LEFT(F102,3)="18K",(0.75*1.05*K102),0))))*0.5</f>
        <v/>
      </c>
      <c r="Z102" s="268">
        <f>($Z$95/31.1035*IF(LEFT(F102,3)="10K",(0.417*1.07*K102),IF(LEFT(F102,3)="14K",(0.585*1.05*K102),IF(LEFT(F102,3)="18K",(0.75*1.05*K102),0))))*0.5</f>
        <v/>
      </c>
      <c r="AA102" s="269">
        <f>2*K102</f>
        <v/>
      </c>
      <c r="AB102" s="269" t="n">
        <v>259.635</v>
      </c>
      <c r="AC102" s="269" t="n">
        <v>2951.32738617327</v>
      </c>
      <c r="AD102" s="269" t="n">
        <v>3210.96238617327</v>
      </c>
      <c r="AE102" s="269">
        <f>IF(LEFT(F102,3)="10K",(0.417*1.07*K102),IF(LEFT(F102,3)="14K",(0.585*1.05*K102),IF(LEFT(F102,3)="18K",(0.75*1.05*K102),0)))</f>
        <v/>
      </c>
      <c r="AG102" s="270">
        <f>X102</f>
        <v/>
      </c>
    </row>
    <row r="103" ht="15.75" customFormat="1" customHeight="1" s="271">
      <c r="A103" s="272" t="inlineStr">
        <is>
          <t>SUBTOTAL</t>
        </is>
      </c>
      <c r="B103" s="273" t="n"/>
      <c r="C103" s="273" t="n"/>
      <c r="D103" s="273" t="n"/>
      <c r="E103" s="273" t="n"/>
      <c r="F103" s="273" t="n"/>
      <c r="G103" s="274">
        <f>SUM(G97:G102)</f>
        <v/>
      </c>
      <c r="H103" s="283" t="n"/>
      <c r="I103" s="283" t="n"/>
      <c r="J103" s="283" t="n"/>
      <c r="K103" s="283">
        <f>SUM(K97:K102)</f>
        <v/>
      </c>
      <c r="L103" s="276" t="n"/>
      <c r="M103" s="276" t="n"/>
      <c r="N103" s="276" t="n"/>
      <c r="O103" s="277" t="n"/>
      <c r="P103" s="278">
        <f>SUM(P97:P102)</f>
        <v/>
      </c>
      <c r="Q103" s="279">
        <f>SUM(Q97:Q102)</f>
        <v/>
      </c>
      <c r="R103" s="279">
        <f>SUM(R97:R102)</f>
        <v/>
      </c>
      <c r="S103" s="279">
        <f>SUM(S97:S102)</f>
        <v/>
      </c>
      <c r="T103" s="279">
        <f>SUM(T97:T102)</f>
        <v/>
      </c>
      <c r="U103" s="279">
        <f>SUM(U97:U102)</f>
        <v/>
      </c>
      <c r="V103" s="279">
        <f>SUM(V97:V102)</f>
        <v/>
      </c>
      <c r="W103" s="279">
        <f>SUM(W97:W102)</f>
        <v/>
      </c>
      <c r="X103" s="279">
        <f>SUM(X97:X102)</f>
        <v/>
      </c>
      <c r="Y103" s="279">
        <f>SUM(Y97:Y102)</f>
        <v/>
      </c>
      <c r="Z103" s="280">
        <f>SUM(Z97:Z102)</f>
        <v/>
      </c>
      <c r="AA103" s="269" t="n"/>
      <c r="AB103" s="269" t="n"/>
      <c r="AC103" s="269" t="n"/>
      <c r="AD103" s="269" t="n"/>
      <c r="AE103" s="269" t="n"/>
      <c r="AG103" s="270" t="n"/>
    </row>
    <row r="104" ht="16.5" customHeight="1" s="240">
      <c r="A104" s="241" t="inlineStr">
        <is>
          <t>Buyer Dia</t>
        </is>
      </c>
      <c r="K104" s="242" t="n"/>
      <c r="L104" s="243" t="n"/>
      <c r="M104" s="243" t="n"/>
      <c r="N104" s="243" t="n"/>
      <c r="W104" s="244" t="n"/>
      <c r="X104" s="245" t="inlineStr">
        <is>
          <t>7th Apr London AM + 2%</t>
        </is>
      </c>
      <c r="Y104" s="246">
        <f>3025.1*1.02</f>
        <v/>
      </c>
      <c r="Z104" s="246">
        <f>3025.1*1.02</f>
        <v/>
      </c>
      <c r="AA104" s="269" t="n"/>
      <c r="AB104" s="269" t="n"/>
      <c r="AC104" s="269" t="n"/>
      <c r="AD104" s="269" t="n"/>
      <c r="AE104" s="269" t="n"/>
      <c r="AG104" s="270" t="n"/>
    </row>
    <row r="105" ht="27" customFormat="1" customHeight="1" s="247">
      <c r="A105" s="248" t="inlineStr">
        <is>
          <t>PO#</t>
        </is>
      </c>
      <c r="B105" s="249" t="inlineStr">
        <is>
          <t>Item No.</t>
        </is>
      </c>
      <c r="C105" s="249" t="inlineStr">
        <is>
          <t>Buyer No.</t>
        </is>
      </c>
      <c r="D105" s="249" t="inlineStr">
        <is>
          <t>Buyer PO</t>
        </is>
      </c>
      <c r="E105" s="249" t="inlineStr">
        <is>
          <t>IDD PO SERIAL#</t>
        </is>
      </c>
      <c r="F105" s="249" t="inlineStr">
        <is>
          <t>Metal</t>
        </is>
      </c>
      <c r="G105" s="249" t="inlineStr">
        <is>
          <t>Q'ty</t>
        </is>
      </c>
      <c r="H105" s="250" t="inlineStr">
        <is>
          <t>Total w't</t>
        </is>
      </c>
      <c r="I105" s="250" t="inlineStr">
        <is>
          <t>Dia w't</t>
        </is>
      </c>
      <c r="J105" s="250" t="inlineStr">
        <is>
          <t>Wire w't</t>
        </is>
      </c>
      <c r="K105" s="250" t="inlineStr">
        <is>
          <t>Gold w't</t>
        </is>
      </c>
      <c r="L105" s="251" t="inlineStr">
        <is>
          <t>Stone</t>
        </is>
      </c>
      <c r="M105" s="251" t="inlineStr">
        <is>
          <t>Color</t>
        </is>
      </c>
      <c r="N105" s="251" t="inlineStr">
        <is>
          <t>Stone Q'ty</t>
        </is>
      </c>
      <c r="O105" s="252" t="inlineStr">
        <is>
          <t>Labor</t>
        </is>
      </c>
      <c r="P105" s="253" t="inlineStr">
        <is>
          <t>Dia Carat</t>
        </is>
      </c>
      <c r="Q105" s="254" t="inlineStr">
        <is>
          <t>Extra Cost</t>
        </is>
      </c>
      <c r="R105" s="254" t="inlineStr">
        <is>
          <t>Dia Packaging Cost</t>
        </is>
      </c>
      <c r="S105" s="254" t="inlineStr">
        <is>
          <t>Dia Handling Cost</t>
        </is>
      </c>
      <c r="T105" s="254" t="inlineStr">
        <is>
          <t>Wire
Cost</t>
        </is>
      </c>
      <c r="U105" s="254" t="inlineStr">
        <is>
          <t>Plating Cost</t>
        </is>
      </c>
      <c r="V105" s="254" t="inlineStr">
        <is>
          <t>Stone
Cost</t>
        </is>
      </c>
      <c r="W105" s="254" t="inlineStr">
        <is>
          <t>Setting
Cost</t>
        </is>
      </c>
      <c r="X105" s="255" t="inlineStr">
        <is>
          <t>Labor
Cost</t>
        </is>
      </c>
      <c r="Y105" s="256" t="inlineStr">
        <is>
          <t>Gold &amp; 5%
Cost</t>
        </is>
      </c>
      <c r="Z105" s="255" t="inlineStr">
        <is>
          <t>Current Gold &amp;
5% Cost</t>
        </is>
      </c>
      <c r="AA105" s="269" t="n"/>
      <c r="AB105" s="269" t="n"/>
      <c r="AC105" s="269" t="n"/>
      <c r="AD105" s="269" t="n"/>
      <c r="AE105" s="269" t="n"/>
      <c r="AG105" s="270" t="n"/>
    </row>
    <row r="106" ht="27" customFormat="1" customHeight="1" s="257">
      <c r="A106" s="258" t="inlineStr">
        <is>
          <t>IDD250401RB-7-14K</t>
        </is>
      </c>
      <c r="B106" s="259" t="inlineStr">
        <is>
          <t>K0132B06 OV 6.50"</t>
        </is>
      </c>
      <c r="C106" s="259" t="inlineStr">
        <is>
          <t>FSBG5023S8YW</t>
        </is>
      </c>
      <c r="D106" s="259" t="inlineStr">
        <is>
          <t>VPO#148544</t>
        </is>
      </c>
      <c r="E106" s="259" t="inlineStr">
        <is>
          <t>101</t>
        </is>
      </c>
      <c r="F106" s="259" t="inlineStr">
        <is>
          <t>14K WYG</t>
        </is>
      </c>
      <c r="G106" s="260" t="n">
        <v>1</v>
      </c>
      <c r="H106" s="281" t="n">
        <v>10.7</v>
      </c>
      <c r="I106" s="281" t="n">
        <v>0.55</v>
      </c>
      <c r="J106" s="281" t="n">
        <v>0.65</v>
      </c>
      <c r="K106" s="282">
        <f>H106-I106-J106</f>
        <v/>
      </c>
      <c r="L106" s="263" t="n">
        <v>1.6</v>
      </c>
      <c r="M106" s="263" t="inlineStr">
        <is>
          <t>W</t>
        </is>
      </c>
      <c r="N106" s="264" t="n">
        <v>184</v>
      </c>
      <c r="O106" s="265" t="n">
        <v>8.5</v>
      </c>
      <c r="P106" s="266" t="n">
        <v>2.75</v>
      </c>
      <c r="Q106" s="267" t="n"/>
      <c r="R106" s="267" t="n"/>
      <c r="S106" s="267">
        <f>G106*0.02*N106</f>
        <v/>
      </c>
      <c r="T106" s="267">
        <f>G106*4.6</f>
        <v/>
      </c>
      <c r="U106" s="267">
        <f>IF(RIGHT(F106,2)="WG",K106*$AB$4,IF(RIGHT(F106,3)="WRG",K106*$AB$4+3*G106,IF(RIGHT(F106,3)="WYG",K106*$AB$4+3*G106,IF(RIGHT(F106,3)="WYR",K106*$AB$4+3*G106,0))))</f>
        <v/>
      </c>
      <c r="V106" s="267" t="n"/>
      <c r="W106" s="267">
        <f>G106*N106*0.3</f>
        <v/>
      </c>
      <c r="X106" s="267">
        <f>K106*O106</f>
        <v/>
      </c>
      <c r="Y106" s="267">
        <f>($Y$104/31.1035*IF(LEFT(F106,3)="10K",(0.417*1.07*K106),IF(LEFT(F106,3)="14K",(0.585*1.05*K106),IF(LEFT(F106,3)="18K",(0.75*1.05*K106),0))))*0.5</f>
        <v/>
      </c>
      <c r="Z106" s="268">
        <f>($Z$104/31.1035*IF(LEFT(F106,3)="10K",(0.417*1.07*K106),IF(LEFT(F106,3)="14K",(0.585*1.05*K106),IF(LEFT(F106,3)="18K",(0.75*1.05*K106),0))))*0.5</f>
        <v/>
      </c>
      <c r="AA106" s="269">
        <f>2*K106</f>
        <v/>
      </c>
      <c r="AB106" s="269" t="n">
        <v>130.51</v>
      </c>
      <c r="AC106" s="269" t="n">
        <v>1382.47408221417</v>
      </c>
      <c r="AD106" s="269" t="n">
        <v>1512.98408221417</v>
      </c>
      <c r="AE106" s="269">
        <f>IF(LEFT(F106,3)="10K",(0.417*1.07*K106),IF(LEFT(F106,3)="14K",(0.585*1.05*K106),IF(LEFT(F106,3)="18K",(0.75*1.05*K106),0)))</f>
        <v/>
      </c>
      <c r="AG106" s="270">
        <f>X106</f>
        <v/>
      </c>
    </row>
    <row r="107" ht="123.75" customFormat="1" customHeight="1" s="257">
      <c r="A107" s="258" t="n">
        <v>4</v>
      </c>
      <c r="B107" s="259" t="inlineStr">
        <is>
          <t>K0039B01 6.75"</t>
        </is>
      </c>
      <c r="C107" s="259" t="inlineStr">
        <is>
          <t>FSBG5007S8W</t>
        </is>
      </c>
      <c r="D107" s="259" t="n">
        <v>148544</v>
      </c>
      <c r="E107" s="259" t="n">
        <v>105</v>
      </c>
      <c r="F107" s="259" t="inlineStr">
        <is>
          <t>14K WG</t>
        </is>
      </c>
      <c r="G107" s="260" t="n">
        <v>3</v>
      </c>
      <c r="H107" s="281" t="n">
        <v>21.33</v>
      </c>
      <c r="I107" s="281" t="n">
        <v>0.55</v>
      </c>
      <c r="J107" s="281" t="n">
        <v>0.96</v>
      </c>
      <c r="K107" s="282">
        <f>H107-I107-J107</f>
        <v/>
      </c>
      <c r="L107" s="263" t="inlineStr">
        <is>
          <t>1.40mm
1.60mm
1.80mm
1.90mm
2.20mm
2.50mm
2.70mm
2.90mm
3.50mm</t>
        </is>
      </c>
      <c r="M107" s="263" t="inlineStr">
        <is>
          <t>W
W
W
W
W
W
W
W
W</t>
        </is>
      </c>
      <c r="N107" s="264" t="inlineStr">
        <is>
          <t>4pcs
2pcs
2pcs
2pcs
2pcs
2pcs
2pcs
2pcs
1pcs</t>
        </is>
      </c>
      <c r="O107" s="265" t="n">
        <v>8.5</v>
      </c>
      <c r="P107" s="266" t="n">
        <v>2.745</v>
      </c>
      <c r="Q107" s="267" t="n"/>
      <c r="R107" s="267" t="n"/>
      <c r="S107" s="267">
        <f>G107*0.02*(4+2+2+2+2+2+2+2+1)</f>
        <v/>
      </c>
      <c r="T107" s="267">
        <f>G107*2.3</f>
        <v/>
      </c>
      <c r="U107" s="267">
        <f>IF(RIGHT(F107,2)="WG",K107*$AB$4,IF(RIGHT(F107,3)="WRG",K107*$AB$4+3*G107,IF(RIGHT(F107,3)="WYG",K107*$AB$4+3*G107,IF(RIGHT(F107,3)="WYR",K107*$AB$4+3*G107,0))))</f>
        <v/>
      </c>
      <c r="V107" s="267" t="n"/>
      <c r="W107" s="267">
        <f>G107*9.6</f>
        <v/>
      </c>
      <c r="X107" s="267">
        <f>K107*O107</f>
        <v/>
      </c>
      <c r="Y107" s="267">
        <f>($Y$104/31.1035*IF(LEFT(F107,3)="10K",(0.417*1.07*K107),IF(LEFT(F107,3)="14K",(0.585*1.05*K107),IF(LEFT(F107,3)="18K",(0.75*1.05*K107),0))))*0.5</f>
        <v/>
      </c>
      <c r="Z107" s="268">
        <f>($Z$104/31.1035*IF(LEFT(F107,3)="10K",(0.417*1.07*K107),IF(LEFT(F107,3)="14K",(0.585*1.05*K107),IF(LEFT(F107,3)="18K",(0.75*1.05*K107),0))))*0.5</f>
        <v/>
      </c>
      <c r="AA107" s="269">
        <f>2*K107</f>
        <v/>
      </c>
      <c r="AB107" s="269" t="n">
        <v>170.4268</v>
      </c>
      <c r="AC107" s="269" t="n">
        <v>1837.13671661015</v>
      </c>
      <c r="AD107" s="269" t="n">
        <v>2007.56351661015</v>
      </c>
      <c r="AE107" s="269">
        <f>IF(LEFT(F107,3)="10K",(0.417*1.07*K107),IF(LEFT(F107,3)="14K",(0.585*1.05*K107),IF(LEFT(F107,3)="18K",(0.75*1.05*K107),0)))</f>
        <v/>
      </c>
      <c r="AG107" s="270">
        <f>X107</f>
        <v/>
      </c>
    </row>
    <row r="108" ht="27" customFormat="1" customHeight="1" s="257">
      <c r="A108" s="258" t="n">
        <v>5</v>
      </c>
      <c r="B108" s="259" t="inlineStr">
        <is>
          <t>K0038B59 OV F 6.00"</t>
        </is>
      </c>
      <c r="C108" s="259" t="inlineStr">
        <is>
          <t>FSBG5036S8W-6A</t>
        </is>
      </c>
      <c r="D108" s="259" t="n">
        <v>148544</v>
      </c>
      <c r="E108" s="259" t="n">
        <v>106</v>
      </c>
      <c r="F108" s="259" t="inlineStr">
        <is>
          <t>14K WG</t>
        </is>
      </c>
      <c r="G108" s="260" t="n">
        <v>4</v>
      </c>
      <c r="H108" s="281" t="n">
        <v>23.24</v>
      </c>
      <c r="I108" s="281" t="n">
        <v>1.04</v>
      </c>
      <c r="J108" s="281" t="n">
        <v>1.12</v>
      </c>
      <c r="K108" s="282">
        <f>H108-I108-J108</f>
        <v/>
      </c>
      <c r="L108" s="263" t="n">
        <v>1.65</v>
      </c>
      <c r="M108" s="263" t="inlineStr">
        <is>
          <t>W</t>
        </is>
      </c>
      <c r="N108" s="264" t="n">
        <v>75</v>
      </c>
      <c r="O108" s="265" t="n">
        <v>8.5</v>
      </c>
      <c r="P108" s="266" t="n">
        <v>5.13</v>
      </c>
      <c r="Q108" s="267" t="n"/>
      <c r="R108" s="267" t="n"/>
      <c r="S108" s="267">
        <f>G108*0.02*N108</f>
        <v/>
      </c>
      <c r="T108" s="267">
        <f>G108*2.3</f>
        <v/>
      </c>
      <c r="U108" s="267">
        <f>IF(RIGHT(F108,2)="WG",K108*$AB$4,IF(RIGHT(F108,3)="WRG",K108*$AB$4+3*G108,IF(RIGHT(F108,3)="WYG",K108*$AB$4+3*G108,IF(RIGHT(F108,3)="WYR",K108*$AB$4+3*G108,0))))</f>
        <v/>
      </c>
      <c r="V108" s="267" t="n"/>
      <c r="W108" s="267">
        <f>G108*N108*0.3</f>
        <v/>
      </c>
      <c r="X108" s="267">
        <f>K108*O108</f>
        <v/>
      </c>
      <c r="Y108" s="267">
        <f>($Y$104/31.1035*IF(LEFT(F108,3)="10K",(0.417*1.07*K108),IF(LEFT(F108,3)="14K",(0.585*1.05*K108),IF(LEFT(F108,3)="18K",(0.75*1.05*K108),0))))*0.5</f>
        <v/>
      </c>
      <c r="Z108" s="268">
        <f>($Z$104/31.1035*IF(LEFT(F108,3)="10K",(0.417*1.07*K108),IF(LEFT(F108,3)="14K",(0.585*1.05*K108),IF(LEFT(F108,3)="18K",(0.75*1.05*K108),0))))*0.5</f>
        <v/>
      </c>
      <c r="AA108" s="269">
        <f>2*K108</f>
        <v/>
      </c>
      <c r="AB108" s="269" t="n">
        <v>247.2792</v>
      </c>
      <c r="AC108" s="269" t="n">
        <v>2727.46150973043</v>
      </c>
      <c r="AD108" s="269" t="n">
        <v>2974.74070973043</v>
      </c>
      <c r="AE108" s="269">
        <f>IF(LEFT(F108,3)="10K",(0.417*1.07*K108),IF(LEFT(F108,3)="14K",(0.585*1.05*K108),IF(LEFT(F108,3)="18K",(0.75*1.05*K108),0)))</f>
        <v/>
      </c>
      <c r="AG108" s="270">
        <f>X108</f>
        <v/>
      </c>
    </row>
    <row r="109" ht="27" customFormat="1" customHeight="1" s="257">
      <c r="A109" s="258" t="n">
        <v>5</v>
      </c>
      <c r="B109" s="259" t="inlineStr">
        <is>
          <t>K0038B59 OV F 6.00"</t>
        </is>
      </c>
      <c r="C109" s="259" t="inlineStr">
        <is>
          <t>FSBG5036S8Y-6A</t>
        </is>
      </c>
      <c r="D109" s="259" t="n">
        <v>148544</v>
      </c>
      <c r="E109" s="259" t="n">
        <v>112</v>
      </c>
      <c r="F109" s="259" t="inlineStr">
        <is>
          <t>14K YG</t>
        </is>
      </c>
      <c r="G109" s="260" t="n">
        <v>5</v>
      </c>
      <c r="H109" s="281" t="n">
        <v>28.36</v>
      </c>
      <c r="I109" s="281" t="n">
        <v>1.3</v>
      </c>
      <c r="J109" s="281" t="n">
        <v>1.4</v>
      </c>
      <c r="K109" s="282">
        <f>H109-I109-J109</f>
        <v/>
      </c>
      <c r="L109" s="263" t="n">
        <v>1.65</v>
      </c>
      <c r="M109" s="263" t="inlineStr">
        <is>
          <t>W</t>
        </is>
      </c>
      <c r="N109" s="264" t="n">
        <v>75</v>
      </c>
      <c r="O109" s="265" t="n">
        <v>8.5</v>
      </c>
      <c r="P109" s="266" t="n">
        <v>6.4</v>
      </c>
      <c r="Q109" s="267" t="n"/>
      <c r="R109" s="267" t="n"/>
      <c r="S109" s="267">
        <f>G109*0.02*N109</f>
        <v/>
      </c>
      <c r="T109" s="267">
        <f>G109*2.3</f>
        <v/>
      </c>
      <c r="U109" s="267">
        <f>IF(RIGHT(F109,2)="WG",K109*$AB$4,IF(RIGHT(F109,3)="WRG",K109*$AB$4+3*G109,IF(RIGHT(F109,3)="WYG",K109*$AB$4+3*G109,IF(RIGHT(F109,3)="WYR",K109*$AB$4+3*G109,0))))</f>
        <v/>
      </c>
      <c r="V109" s="267" t="n"/>
      <c r="W109" s="267">
        <f>G109*N109*0.3</f>
        <v/>
      </c>
      <c r="X109" s="267">
        <f>K109*O109</f>
        <v/>
      </c>
      <c r="Y109" s="267">
        <f>($Y$104/31.1035*IF(LEFT(F109,3)="10K",(0.417*1.07*K109),IF(LEFT(F109,3)="14K",(0.585*1.05*K109),IF(LEFT(F109,3)="18K",(0.75*1.05*K109),0))))*0.5</f>
        <v/>
      </c>
      <c r="Z109" s="268">
        <f>($Z$104/31.1035*IF(LEFT(F109,3)="10K",(0.417*1.07*K109),IF(LEFT(F109,3)="14K",(0.585*1.05*K109),IF(LEFT(F109,3)="18K",(0.75*1.05*K109),0))))*0.5</f>
        <v/>
      </c>
      <c r="AA109" s="269">
        <f>2*K109</f>
        <v/>
      </c>
      <c r="AB109" s="269" t="n">
        <v>298.29</v>
      </c>
      <c r="AC109" s="269" t="n">
        <v>3374.43673315298</v>
      </c>
      <c r="AD109" s="269" t="n">
        <v>3672.72673315298</v>
      </c>
      <c r="AE109" s="269">
        <f>IF(LEFT(F109,3)="10K",(0.417*1.07*K109),IF(LEFT(F109,3)="14K",(0.585*1.05*K109),IF(LEFT(F109,3)="18K",(0.75*1.05*K109),0)))</f>
        <v/>
      </c>
      <c r="AG109" s="270">
        <f>X109</f>
        <v/>
      </c>
    </row>
    <row r="110" ht="27" customFormat="1" customHeight="1" s="257">
      <c r="A110" s="258" t="n">
        <v>6</v>
      </c>
      <c r="B110" s="259" t="inlineStr">
        <is>
          <t>K0038B59 OV F 6.50"</t>
        </is>
      </c>
      <c r="C110" s="259" t="inlineStr">
        <is>
          <t>FSBG5036S8W-6C</t>
        </is>
      </c>
      <c r="D110" s="259" t="n">
        <v>148544</v>
      </c>
      <c r="E110" s="259" t="n">
        <v>108</v>
      </c>
      <c r="F110" s="259" t="inlineStr">
        <is>
          <t>14K WG</t>
        </is>
      </c>
      <c r="G110" s="260" t="n">
        <v>2</v>
      </c>
      <c r="H110" s="281" t="n">
        <v>12.66</v>
      </c>
      <c r="I110" s="281" t="n">
        <v>0.58</v>
      </c>
      <c r="J110" s="281" t="n">
        <v>0.62</v>
      </c>
      <c r="K110" s="282">
        <f>H110-I110-J110</f>
        <v/>
      </c>
      <c r="L110" s="263" t="n">
        <v>1.65</v>
      </c>
      <c r="M110" s="263" t="inlineStr">
        <is>
          <t>W</t>
        </is>
      </c>
      <c r="N110" s="264" t="n">
        <v>83</v>
      </c>
      <c r="O110" s="265" t="n">
        <v>8.5</v>
      </c>
      <c r="P110" s="266" t="n">
        <v>2.89</v>
      </c>
      <c r="Q110" s="267" t="n"/>
      <c r="R110" s="267" t="n"/>
      <c r="S110" s="267">
        <f>G110*0.02*N110</f>
        <v/>
      </c>
      <c r="T110" s="267">
        <f>G110*2.3</f>
        <v/>
      </c>
      <c r="U110" s="267">
        <f>IF(RIGHT(F110,2)="WG",K110*$AB$4,IF(RIGHT(F110,3)="WRG",K110*$AB$4+3*G110,IF(RIGHT(F110,3)="WYG",K110*$AB$4+3*G110,IF(RIGHT(F110,3)="WYR",K110*$AB$4+3*G110,0))))</f>
        <v/>
      </c>
      <c r="V110" s="267" t="n"/>
      <c r="W110" s="267">
        <f>G110*N110*0.3</f>
        <v/>
      </c>
      <c r="X110" s="267">
        <f>K110*O110</f>
        <v/>
      </c>
      <c r="Y110" s="267">
        <f>($Y$104/31.1035*IF(LEFT(F110,3)="10K",(0.417*1.07*K110),IF(LEFT(F110,3)="14K",(0.585*1.05*K110),IF(LEFT(F110,3)="18K",(0.75*1.05*K110),0))))*0.5</f>
        <v/>
      </c>
      <c r="Z110" s="268">
        <f>($Z$104/31.1035*IF(LEFT(F110,3)="10K",(0.417*1.07*K110),IF(LEFT(F110,3)="14K",(0.585*1.05*K110),IF(LEFT(F110,3)="18K",(0.75*1.05*K110),0))))*0.5</f>
        <v/>
      </c>
      <c r="AA110" s="269">
        <f>2*K110</f>
        <v/>
      </c>
      <c r="AB110" s="269" t="n">
        <v>134.9604</v>
      </c>
      <c r="AC110" s="269" t="n">
        <v>1518.14823912689</v>
      </c>
      <c r="AD110" s="269" t="n">
        <v>1653.10863912689</v>
      </c>
      <c r="AE110" s="269">
        <f>IF(LEFT(F110,3)="10K",(0.417*1.07*K110),IF(LEFT(F110,3)="14K",(0.585*1.05*K110),IF(LEFT(F110,3)="18K",(0.75*1.05*K110),0)))</f>
        <v/>
      </c>
      <c r="AG110" s="270">
        <f>X110</f>
        <v/>
      </c>
    </row>
    <row r="111" ht="54.75" customFormat="1" customHeight="1" s="257">
      <c r="A111" s="258" t="n">
        <v>7</v>
      </c>
      <c r="B111" s="259" t="inlineStr">
        <is>
          <t>K0688B01 OV F 6.25"</t>
        </is>
      </c>
      <c r="C111" s="259" t="inlineStr">
        <is>
          <t>FSBG5083S8Y-6B</t>
        </is>
      </c>
      <c r="D111" s="259" t="n">
        <v>148544</v>
      </c>
      <c r="E111" s="259" t="n">
        <v>107</v>
      </c>
      <c r="F111" s="259" t="inlineStr">
        <is>
          <t>14K YG</t>
        </is>
      </c>
      <c r="G111" s="260" t="n">
        <v>2</v>
      </c>
      <c r="H111" s="281" t="n">
        <v>18.98</v>
      </c>
      <c r="I111" s="281" t="n">
        <v>1.46</v>
      </c>
      <c r="J111" s="281" t="n">
        <v>0.6</v>
      </c>
      <c r="K111" s="282">
        <f>H111-I111-J111</f>
        <v/>
      </c>
      <c r="L111" s="263" t="inlineStr">
        <is>
          <t>1.80mm
2.20mm
2.70mm
3.30mm</t>
        </is>
      </c>
      <c r="M111" s="263" t="inlineStr">
        <is>
          <t>W
W
W
W</t>
        </is>
      </c>
      <c r="N111" s="264" t="inlineStr">
        <is>
          <t>16pcs
16pcs
18pcs
9pcs</t>
        </is>
      </c>
      <c r="O111" s="265">
        <f>8.5+2</f>
        <v/>
      </c>
      <c r="P111" s="266" t="n">
        <v>7.3</v>
      </c>
      <c r="Q111" s="267" t="n"/>
      <c r="R111" s="267" t="n"/>
      <c r="S111" s="267">
        <f>G111*0.02*(16+16+18+9)</f>
        <v/>
      </c>
      <c r="T111" s="267">
        <f>G111*2.3</f>
        <v/>
      </c>
      <c r="U111" s="267">
        <f>IF(RIGHT(F111,2)="WG",K111*$AB$4,IF(RIGHT(F111,3)="WRG",K111*$AB$4+3*G111,IF(RIGHT(F111,3)="WYG",K111*$AB$4+3*G111,IF(RIGHT(F111,3)="WYR",K111*$AB$4+3*G111,0))))</f>
        <v/>
      </c>
      <c r="V111" s="267" t="n"/>
      <c r="W111" s="267">
        <f>G111*((16+16)*0.3+(18+9)*0.5)</f>
        <v/>
      </c>
      <c r="X111" s="267">
        <f>K111*O111</f>
        <v/>
      </c>
      <c r="Y111" s="267">
        <f>($Y$104/31.1035*IF(LEFT(F111,3)="10K",(0.417*1.07*K111),IF(LEFT(F111,3)="14K",(0.585*1.05*K111),IF(LEFT(F111,3)="18K",(0.75*1.05*K111),0))))*0.5</f>
        <v/>
      </c>
      <c r="Z111" s="268">
        <f>($Z$104/31.1035*IF(LEFT(F111,3)="10K",(0.417*1.07*K111),IF(LEFT(F111,3)="14K",(0.585*1.05*K111),IF(LEFT(F111,3)="18K",(0.75*1.05*K111),0))))*0.5</f>
        <v/>
      </c>
      <c r="AA111" s="269">
        <f>2*K111</f>
        <v/>
      </c>
      <c r="AB111" s="269" t="n">
        <v>196.98</v>
      </c>
      <c r="AC111" s="269" t="n">
        <v>3302.84490187762</v>
      </c>
      <c r="AD111" s="269" t="n">
        <v>3499.82490187762</v>
      </c>
      <c r="AE111" s="269">
        <f>IF(LEFT(F111,3)="10K",(0.417*1.07*K111),IF(LEFT(F111,3)="14K",(0.585*1.05*K111),IF(LEFT(F111,3)="18K",(0.75*1.05*K111),0)))</f>
        <v/>
      </c>
      <c r="AG111" s="270">
        <f>X111</f>
        <v/>
      </c>
    </row>
    <row r="112" ht="27" customFormat="1" customHeight="1" s="257">
      <c r="A112" s="258" t="n">
        <v>8</v>
      </c>
      <c r="B112" s="259" t="inlineStr">
        <is>
          <t>K0038B51 OV F 6.00"</t>
        </is>
      </c>
      <c r="C112" s="259" t="inlineStr">
        <is>
          <t>FSBG5037S8Y-6A</t>
        </is>
      </c>
      <c r="D112" s="259" t="n">
        <v>148544</v>
      </c>
      <c r="E112" s="259" t="n">
        <v>109</v>
      </c>
      <c r="F112" s="259" t="inlineStr">
        <is>
          <t>14K YG</t>
        </is>
      </c>
      <c r="G112" s="260" t="n">
        <v>4</v>
      </c>
      <c r="H112" s="281" t="n">
        <v>28.75</v>
      </c>
      <c r="I112" s="281" t="n">
        <v>1.84</v>
      </c>
      <c r="J112" s="281" t="n">
        <v>1.12</v>
      </c>
      <c r="K112" s="282">
        <f>H112-I112-J112</f>
        <v/>
      </c>
      <c r="L112" s="263" t="n">
        <v>2.25</v>
      </c>
      <c r="M112" s="263" t="inlineStr">
        <is>
          <t>W</t>
        </is>
      </c>
      <c r="N112" s="264" t="n">
        <v>53</v>
      </c>
      <c r="O112" s="265" t="n">
        <v>8.5</v>
      </c>
      <c r="P112" s="266" t="n">
        <v>9.24</v>
      </c>
      <c r="Q112" s="267" t="n"/>
      <c r="R112" s="267" t="n"/>
      <c r="S112" s="267">
        <f>G112*0.02*N112</f>
        <v/>
      </c>
      <c r="T112" s="267">
        <f>G112*2.3</f>
        <v/>
      </c>
      <c r="U112" s="267">
        <f>IF(RIGHT(F112,2)="WG",K112*$AB$4,IF(RIGHT(F112,3)="WRG",K112*$AB$4+3*G112,IF(RIGHT(F112,3)="WYG",K112*$AB$4+3*G112,IF(RIGHT(F112,3)="WYR",K112*$AB$4+3*G112,0))))</f>
        <v/>
      </c>
      <c r="V112" s="267" t="n"/>
      <c r="W112" s="267">
        <f>G112*N112*0.3</f>
        <v/>
      </c>
      <c r="X112" s="267">
        <f>K112*O112</f>
        <v/>
      </c>
      <c r="Y112" s="267">
        <f>($Y$104/31.1035*IF(LEFT(F112,3)="10K",(0.417*1.07*K112),IF(LEFT(F112,3)="14K",(0.585*1.05*K112),IF(LEFT(F112,3)="18K",(0.75*1.05*K112),0))))*0.5</f>
        <v/>
      </c>
      <c r="Z112" s="268">
        <f>($Z$104/31.1035*IF(LEFT(F112,3)="10K",(0.417*1.07*K112),IF(LEFT(F112,3)="14K",(0.585*1.05*K112),IF(LEFT(F112,3)="18K",(0.75*1.05*K112),0))))*0.5</f>
        <v/>
      </c>
      <c r="AA112" s="269">
        <f>2*K112</f>
        <v/>
      </c>
      <c r="AB112" s="269" t="n">
        <v>244.675</v>
      </c>
      <c r="AC112" s="269" t="n">
        <v>4374.00753623961</v>
      </c>
      <c r="AD112" s="269" t="n">
        <v>4618.68253623961</v>
      </c>
      <c r="AE112" s="269">
        <f>IF(LEFT(F112,3)="10K",(0.417*1.07*K112),IF(LEFT(F112,3)="14K",(0.585*1.05*K112),IF(LEFT(F112,3)="18K",(0.75*1.05*K112),0)))</f>
        <v/>
      </c>
      <c r="AG112" s="270">
        <f>X112</f>
        <v/>
      </c>
    </row>
    <row r="113" ht="27" customFormat="1" customHeight="1" s="257">
      <c r="A113" s="258" t="n">
        <v>9</v>
      </c>
      <c r="B113" s="259" t="inlineStr">
        <is>
          <t>K0038B19 OV F 6.00"</t>
        </is>
      </c>
      <c r="C113" s="259" t="inlineStr">
        <is>
          <t>FSBG5038S8Y-6A</t>
        </is>
      </c>
      <c r="D113" s="259" t="n">
        <v>148544</v>
      </c>
      <c r="E113" s="259" t="n">
        <v>110</v>
      </c>
      <c r="F113" s="259" t="inlineStr">
        <is>
          <t>14K YG</t>
        </is>
      </c>
      <c r="G113" s="260" t="n">
        <v>3</v>
      </c>
      <c r="H113" s="281" t="n">
        <v>24.42</v>
      </c>
      <c r="I113" s="281" t="n">
        <v>1.9</v>
      </c>
      <c r="J113" s="281" t="n">
        <v>0.84</v>
      </c>
      <c r="K113" s="282">
        <f>H113-I113-J113</f>
        <v/>
      </c>
      <c r="L113" s="263" t="n">
        <v>2.55</v>
      </c>
      <c r="M113" s="263" t="inlineStr">
        <is>
          <t>W</t>
        </is>
      </c>
      <c r="N113" s="264" t="n">
        <v>52</v>
      </c>
      <c r="O113" s="265" t="n">
        <v>8.5</v>
      </c>
      <c r="P113" s="266" t="n">
        <v>9.460000000000001</v>
      </c>
      <c r="Q113" s="267" t="n"/>
      <c r="R113" s="267" t="n"/>
      <c r="S113" s="267">
        <f>G113*0.02*N113</f>
        <v/>
      </c>
      <c r="T113" s="267">
        <f>G113*2.3</f>
        <v/>
      </c>
      <c r="U113" s="267">
        <f>IF(RIGHT(F113,2)="WG",K113*$AB$4,IF(RIGHT(F113,3)="WRG",K113*$AB$4+3*G113,IF(RIGHT(F113,3)="WYG",K113*$AB$4+3*G113,IF(RIGHT(F113,3)="WYR",K113*$AB$4+3*G113,0))))</f>
        <v/>
      </c>
      <c r="V113" s="267" t="n"/>
      <c r="W113" s="267">
        <f>G113*N113*0.4</f>
        <v/>
      </c>
      <c r="X113" s="267">
        <f>K113*O113</f>
        <v/>
      </c>
      <c r="Y113" s="267">
        <f>($Y$104/31.1035*IF(LEFT(F113,3)="10K",(0.417*1.07*K113),IF(LEFT(F113,3)="14K",(0.585*1.05*K113),IF(LEFT(F113,3)="18K",(0.75*1.05*K113),0))))*0.5</f>
        <v/>
      </c>
      <c r="Z113" s="268">
        <f>($Z$104/31.1035*IF(LEFT(F113,3)="10K",(0.417*1.07*K113),IF(LEFT(F113,3)="14K",(0.585*1.05*K113),IF(LEFT(F113,3)="18K",(0.75*1.05*K113),0))))*0.5</f>
        <v/>
      </c>
      <c r="AA113" s="269">
        <f>2*K113</f>
        <v/>
      </c>
      <c r="AB113" s="269" t="n">
        <v>213.34</v>
      </c>
      <c r="AC113" s="269" t="n">
        <v>4269.22484281675</v>
      </c>
      <c r="AD113" s="269" t="n">
        <v>4482.56484281675</v>
      </c>
      <c r="AE113" s="269">
        <f>IF(LEFT(F113,3)="10K",(0.417*1.07*K113),IF(LEFT(F113,3)="14K",(0.585*1.05*K113),IF(LEFT(F113,3)="18K",(0.75*1.05*K113),0)))</f>
        <v/>
      </c>
      <c r="AG113" s="270">
        <f>X113</f>
        <v/>
      </c>
    </row>
    <row r="114" ht="27" customFormat="1" customHeight="1" s="257">
      <c r="A114" s="258" t="n">
        <v>10</v>
      </c>
      <c r="B114" s="259" t="inlineStr">
        <is>
          <t>K0098B191 6.00"</t>
        </is>
      </c>
      <c r="C114" s="259" t="inlineStr">
        <is>
          <t>FSBG5153S8Y-6A</t>
        </is>
      </c>
      <c r="D114" s="259" t="n">
        <v>148544</v>
      </c>
      <c r="E114" s="259" t="n">
        <v>104</v>
      </c>
      <c r="F114" s="259" t="inlineStr">
        <is>
          <t>14K YG</t>
        </is>
      </c>
      <c r="G114" s="260" t="n">
        <v>1</v>
      </c>
      <c r="H114" s="281" t="n">
        <v>5.68</v>
      </c>
      <c r="I114" s="281" t="n">
        <v>0.1</v>
      </c>
      <c r="J114" s="281" t="n">
        <v>0.28</v>
      </c>
      <c r="K114" s="282">
        <f>H114-I114-J114</f>
        <v/>
      </c>
      <c r="L114" s="263" t="n">
        <v>2</v>
      </c>
      <c r="M114" s="263" t="inlineStr">
        <is>
          <t>W</t>
        </is>
      </c>
      <c r="N114" s="264" t="n">
        <v>15</v>
      </c>
      <c r="O114" s="265" t="n">
        <v>9.5</v>
      </c>
      <c r="P114" s="266" t="n">
        <v>0.51</v>
      </c>
      <c r="Q114" s="267" t="n"/>
      <c r="R114" s="267" t="n"/>
      <c r="S114" s="267">
        <f>G114*0.02*N114</f>
        <v/>
      </c>
      <c r="T114" s="267">
        <f>G114*2.3</f>
        <v/>
      </c>
      <c r="U114" s="267">
        <f>IF(RIGHT(F114,2)="WG",K114*$AB$4,IF(RIGHT(F114,3)="WRG",K114*$AB$4+3*G114,IF(RIGHT(F114,3)="WYG",K114*$AB$4+3*G114,IF(RIGHT(F114,3)="WYR",K114*$AB$4+3*G114,0))))</f>
        <v/>
      </c>
      <c r="V114" s="267" t="n"/>
      <c r="W114" s="267">
        <f>G114*N114*1</f>
        <v/>
      </c>
      <c r="X114" s="267">
        <f>K114*O114</f>
        <v/>
      </c>
      <c r="Y114" s="267">
        <f>($Y$104/31.1035*IF(LEFT(F114,3)="10K",(0.417*1.07*K114),IF(LEFT(F114,3)="14K",(0.585*1.05*K114),IF(LEFT(F114,3)="18K",(0.75*1.05*K114),0))))*0.5</f>
        <v/>
      </c>
      <c r="Z114" s="268">
        <f>($Z$104/31.1035*IF(LEFT(F114,3)="10K",(0.417*1.07*K114),IF(LEFT(F114,3)="14K",(0.585*1.05*K114),IF(LEFT(F114,3)="18K",(0.75*1.05*K114),0))))*0.5</f>
        <v/>
      </c>
      <c r="AA114" s="269">
        <f>2*K114</f>
        <v/>
      </c>
      <c r="AB114" s="269" t="n">
        <v>57.35</v>
      </c>
      <c r="AC114" s="269" t="n">
        <v>412.865731610628</v>
      </c>
      <c r="AD114" s="269" t="n">
        <v>470.215731610628</v>
      </c>
      <c r="AE114" s="269">
        <f>IF(LEFT(F114,3)="10K",(0.417*1.07*K114),IF(LEFT(F114,3)="14K",(0.585*1.05*K114),IF(LEFT(F114,3)="18K",(0.75*1.05*K114),0)))</f>
        <v/>
      </c>
      <c r="AG114" s="270">
        <f>X114</f>
        <v/>
      </c>
    </row>
    <row r="115" ht="27" customFormat="1" customHeight="1" s="257">
      <c r="A115" s="258" t="n">
        <v>11</v>
      </c>
      <c r="B115" s="259" t="inlineStr">
        <is>
          <t>K0098B191 6.50"</t>
        </is>
      </c>
      <c r="C115" s="259" t="inlineStr">
        <is>
          <t>FSBG5153S8W-6C</t>
        </is>
      </c>
      <c r="D115" s="259" t="n">
        <v>148544</v>
      </c>
      <c r="E115" s="259" t="inlineStr">
        <is>
          <t>113</t>
        </is>
      </c>
      <c r="F115" s="259" t="inlineStr">
        <is>
          <t>14K WG</t>
        </is>
      </c>
      <c r="G115" s="260" t="n">
        <v>1</v>
      </c>
      <c r="H115" s="281" t="n">
        <v>6.07</v>
      </c>
      <c r="I115" s="281" t="n">
        <v>0.1</v>
      </c>
      <c r="J115" s="281" t="n">
        <v>0.31</v>
      </c>
      <c r="K115" s="282">
        <f>H115-I115-J115</f>
        <v/>
      </c>
      <c r="L115" s="263" t="n">
        <v>2</v>
      </c>
      <c r="M115" s="263" t="inlineStr">
        <is>
          <t>W</t>
        </is>
      </c>
      <c r="N115" s="264" t="n">
        <v>15</v>
      </c>
      <c r="O115" s="265" t="n">
        <v>9.5</v>
      </c>
      <c r="P115" s="266" t="n">
        <v>0.5</v>
      </c>
      <c r="Q115" s="267" t="n"/>
      <c r="R115" s="267" t="n"/>
      <c r="S115" s="267">
        <f>G115*0.02*N115</f>
        <v/>
      </c>
      <c r="T115" s="267">
        <f>G115*2.3</f>
        <v/>
      </c>
      <c r="U115" s="267">
        <f>IF(RIGHT(F115,2)="WG",K115*$AB$4,IF(RIGHT(F115,3)="WRG",K115*$AB$4+3*G115,IF(RIGHT(F115,3)="WYG",K115*$AB$4+3*G115,IF(RIGHT(F115,3)="WYR",K115*$AB$4+3*G115,0))))</f>
        <v/>
      </c>
      <c r="V115" s="267" t="n"/>
      <c r="W115" s="267">
        <f>G115*N115*1</f>
        <v/>
      </c>
      <c r="X115" s="267">
        <f>K115*O115</f>
        <v/>
      </c>
      <c r="Y115" s="267">
        <f>($Y$104/31.1035*IF(LEFT(F115,3)="10K",(0.417*1.07*K115),IF(LEFT(F115,3)="14K",(0.585*1.05*K115),IF(LEFT(F115,3)="18K",(0.75*1.05*K115),0))))*0.5</f>
        <v/>
      </c>
      <c r="Z115" s="268">
        <f>($Z$104/31.1035*IF(LEFT(F115,3)="10K",(0.417*1.07*K115),IF(LEFT(F115,3)="14K",(0.585*1.05*K115),IF(LEFT(F115,3)="18K",(0.75*1.05*K115),0))))*0.5</f>
        <v/>
      </c>
      <c r="AA115" s="269">
        <f>2*K115</f>
        <v/>
      </c>
      <c r="AB115" s="269" t="n">
        <v>61.4084</v>
      </c>
      <c r="AC115" s="269" t="n">
        <v>425.287720402577</v>
      </c>
      <c r="AD115" s="269" t="n">
        <v>486.696120402577</v>
      </c>
      <c r="AE115" s="269">
        <f>IF(LEFT(F115,3)="10K",(0.417*1.07*K115),IF(LEFT(F115,3)="14K",(0.585*1.05*K115),IF(LEFT(F115,3)="18K",(0.75*1.05*K115),0)))</f>
        <v/>
      </c>
      <c r="AG115" s="270">
        <f>X115</f>
        <v/>
      </c>
    </row>
    <row r="116" ht="27" customFormat="1" customHeight="1" s="257">
      <c r="A116" s="258" t="n">
        <v>11</v>
      </c>
      <c r="B116" s="259" t="inlineStr">
        <is>
          <t>K0098B191 6.50"</t>
        </is>
      </c>
      <c r="C116" s="259" t="inlineStr">
        <is>
          <t>FSBG5153S8Y-6C</t>
        </is>
      </c>
      <c r="D116" s="259" t="n">
        <v>148544</v>
      </c>
      <c r="E116" s="259" t="n">
        <v>114</v>
      </c>
      <c r="F116" s="259" t="inlineStr">
        <is>
          <t>14K YG</t>
        </is>
      </c>
      <c r="G116" s="260" t="n">
        <v>2</v>
      </c>
      <c r="H116" s="281" t="n">
        <v>12.01</v>
      </c>
      <c r="I116" s="281" t="n">
        <v>0.2</v>
      </c>
      <c r="J116" s="281" t="n">
        <v>0.62</v>
      </c>
      <c r="K116" s="282">
        <f>H116-I116-J116</f>
        <v/>
      </c>
      <c r="L116" s="263" t="n">
        <v>2</v>
      </c>
      <c r="M116" s="263" t="inlineStr">
        <is>
          <t>W</t>
        </is>
      </c>
      <c r="N116" s="264" t="n">
        <v>15</v>
      </c>
      <c r="O116" s="265" t="n">
        <v>9.5</v>
      </c>
      <c r="P116" s="266" t="n">
        <v>1.01</v>
      </c>
      <c r="Q116" s="267" t="n"/>
      <c r="R116" s="267" t="n"/>
      <c r="S116" s="267">
        <f>G116*0.02*N116</f>
        <v/>
      </c>
      <c r="T116" s="267">
        <f>G116*2.3</f>
        <v/>
      </c>
      <c r="U116" s="267">
        <f>IF(RIGHT(F116,2)="WG",K116*$AB$4,IF(RIGHT(F116,3)="WRG",K116*$AB$4+3*G116,IF(RIGHT(F116,3)="WYG",K116*$AB$4+3*G116,IF(RIGHT(F116,3)="WYR",K116*$AB$4+3*G116,0))))</f>
        <v/>
      </c>
      <c r="V116" s="267" t="n"/>
      <c r="W116" s="267">
        <f>G116*N116*1</f>
        <v/>
      </c>
      <c r="X116" s="267">
        <f>K116*O116</f>
        <v/>
      </c>
      <c r="Y116" s="267">
        <f>($Y$104/31.1035*IF(LEFT(F116,3)="10K",(0.417*1.07*K116),IF(LEFT(F116,3)="14K",(0.585*1.05*K116),IF(LEFT(F116,3)="18K",(0.75*1.05*K116),0))))*0.5</f>
        <v/>
      </c>
      <c r="Z116" s="268">
        <f>($Z$104/31.1035*IF(LEFT(F116,3)="10K",(0.417*1.07*K116),IF(LEFT(F116,3)="14K",(0.585*1.05*K116),IF(LEFT(F116,3)="18K",(0.75*1.05*K116),0))))*0.5</f>
        <v/>
      </c>
      <c r="AA116" s="269">
        <f>2*K116</f>
        <v/>
      </c>
      <c r="AB116" s="269" t="n">
        <v>119.125</v>
      </c>
      <c r="AC116" s="269" t="n">
        <v>848.325432013205</v>
      </c>
      <c r="AD116" s="269" t="n">
        <v>967.450432013205</v>
      </c>
      <c r="AE116" s="269">
        <f>IF(LEFT(F116,3)="10K",(0.417*1.07*K116),IF(LEFT(F116,3)="14K",(0.585*1.05*K116),IF(LEFT(F116,3)="18K",(0.75*1.05*K116),0)))</f>
        <v/>
      </c>
      <c r="AG116" s="270">
        <f>X116</f>
        <v/>
      </c>
    </row>
    <row r="117" ht="27" customFormat="1" customHeight="1" s="257">
      <c r="A117" s="258" t="n">
        <v>12</v>
      </c>
      <c r="B117" s="259" t="inlineStr">
        <is>
          <t>K01494B03 OV H 6.75"</t>
        </is>
      </c>
      <c r="C117" s="259" t="inlineStr">
        <is>
          <t>FSBG5185S8W</t>
        </is>
      </c>
      <c r="D117" s="259" t="n">
        <v>148544</v>
      </c>
      <c r="E117" s="259" t="n">
        <v>115</v>
      </c>
      <c r="F117" s="259" t="inlineStr">
        <is>
          <t>14K WG</t>
        </is>
      </c>
      <c r="G117" s="260" t="n">
        <v>1</v>
      </c>
      <c r="H117" s="281" t="n">
        <v>6.25</v>
      </c>
      <c r="I117" s="281" t="n">
        <v>0.1</v>
      </c>
      <c r="J117" s="281" t="n">
        <v>0.32</v>
      </c>
      <c r="K117" s="282">
        <f>H117-I117-J117</f>
        <v/>
      </c>
      <c r="L117" s="263" t="n">
        <v>1.55</v>
      </c>
      <c r="M117" s="263" t="inlineStr">
        <is>
          <t>W</t>
        </is>
      </c>
      <c r="N117" s="264" t="n">
        <v>39</v>
      </c>
      <c r="O117" s="265" t="n">
        <v>9</v>
      </c>
      <c r="P117" s="266" t="n">
        <v>0.52</v>
      </c>
      <c r="Q117" s="267" t="n"/>
      <c r="R117" s="267" t="n"/>
      <c r="S117" s="267">
        <f>G117*0.02*N117</f>
        <v/>
      </c>
      <c r="T117" s="267">
        <f>G117*2.3</f>
        <v/>
      </c>
      <c r="U117" s="267">
        <f>IF(RIGHT(F117,2)="WG",K117*$AB$4,IF(RIGHT(F117,3)="WRG",K117*$AB$4+3*G117,IF(RIGHT(F117,3)="WYG",K117*$AB$4+3*G117,IF(RIGHT(F117,3)="WYR",K117*$AB$4+3*G117,0))))</f>
        <v/>
      </c>
      <c r="V117" s="267" t="n"/>
      <c r="W117" s="267">
        <f>G117*N117*0.3</f>
        <v/>
      </c>
      <c r="X117" s="267">
        <f>K117*O117</f>
        <v/>
      </c>
      <c r="Y117" s="267">
        <f>($Y$104/31.1035*IF(LEFT(F117,3)="10K",(0.417*1.07*K117),IF(LEFT(F117,3)="14K",(0.585*1.05*K117),IF(LEFT(F117,3)="18K",(0.75*1.05*K117),0))))*0.5</f>
        <v/>
      </c>
      <c r="Z117" s="268">
        <f>($Z$104/31.1035*IF(LEFT(F117,3)="10K",(0.417*1.07*K117),IF(LEFT(F117,3)="14K",(0.585*1.05*K117),IF(LEFT(F117,3)="18K",(0.75*1.05*K117),0))))*0.5</f>
        <v/>
      </c>
      <c r="AA117" s="269">
        <f>2*K117</f>
        <v/>
      </c>
      <c r="AB117" s="269" t="n">
        <v>56.9892</v>
      </c>
      <c r="AC117" s="269" t="n">
        <v>439.80488281868</v>
      </c>
      <c r="AD117" s="269" t="n">
        <v>496.79408281868</v>
      </c>
      <c r="AE117" s="269">
        <f>IF(LEFT(F117,3)="10K",(0.417*1.07*K117),IF(LEFT(F117,3)="14K",(0.585*1.05*K117),IF(LEFT(F117,3)="18K",(0.75*1.05*K117),0)))</f>
        <v/>
      </c>
      <c r="AG117" s="270">
        <f>X117</f>
        <v/>
      </c>
    </row>
    <row r="118" ht="27.75" customFormat="1" customHeight="1" s="257">
      <c r="A118" s="258" t="n">
        <v>12</v>
      </c>
      <c r="B118" s="259" t="inlineStr">
        <is>
          <t>K01494B03 OV H 6.75"</t>
        </is>
      </c>
      <c r="C118" s="259" t="inlineStr">
        <is>
          <t>FSBG5185S8Y</t>
        </is>
      </c>
      <c r="D118" s="259" t="n">
        <v>148544</v>
      </c>
      <c r="E118" s="259" t="n">
        <v>116</v>
      </c>
      <c r="F118" s="259" t="inlineStr">
        <is>
          <t>14K YG</t>
        </is>
      </c>
      <c r="G118" s="260" t="n">
        <v>2</v>
      </c>
      <c r="H118" s="281" t="n">
        <v>12.65</v>
      </c>
      <c r="I118" s="281" t="n">
        <v>0.22</v>
      </c>
      <c r="J118" s="281" t="n">
        <v>0.64</v>
      </c>
      <c r="K118" s="282">
        <f>H118-I118-J118</f>
        <v/>
      </c>
      <c r="L118" s="263" t="n">
        <v>1.55</v>
      </c>
      <c r="M118" s="263" t="inlineStr">
        <is>
          <t>W</t>
        </is>
      </c>
      <c r="N118" s="264" t="n">
        <v>39</v>
      </c>
      <c r="O118" s="265" t="n">
        <v>9</v>
      </c>
      <c r="P118" s="266" t="n">
        <v>1.06</v>
      </c>
      <c r="Q118" s="267" t="n"/>
      <c r="R118" s="267" t="n"/>
      <c r="S118" s="267">
        <f>G118*0.02*N118</f>
        <v/>
      </c>
      <c r="T118" s="267">
        <f>G118*2.3</f>
        <v/>
      </c>
      <c r="U118" s="267">
        <f>IF(RIGHT(F118,2)="WG",K118*$AB$4,IF(RIGHT(F118,3)="WRG",K118*$AB$4+3*G118,IF(RIGHT(F118,3)="WYG",K118*$AB$4+3*G118,IF(RIGHT(F118,3)="WYR",K118*$AB$4+3*G118,0))))</f>
        <v/>
      </c>
      <c r="V118" s="267" t="n"/>
      <c r="W118" s="267">
        <f>G118*N118*0.3</f>
        <v/>
      </c>
      <c r="X118" s="267">
        <f>K118*O118</f>
        <v/>
      </c>
      <c r="Y118" s="267">
        <f>($Y$104/31.1035*IF(LEFT(F118,3)="10K",(0.417*1.07*K118),IF(LEFT(F118,3)="14K",(0.585*1.05*K118),IF(LEFT(F118,3)="18K",(0.75*1.05*K118),0))))*0.5</f>
        <v/>
      </c>
      <c r="Z118" s="268">
        <f>($Z$104/31.1035*IF(LEFT(F118,3)="10K",(0.417*1.07*K118),IF(LEFT(F118,3)="14K",(0.585*1.05*K118),IF(LEFT(F118,3)="18K",(0.75*1.05*K118),0))))*0.5</f>
        <v/>
      </c>
      <c r="AA118" s="269">
        <f>2*K118</f>
        <v/>
      </c>
      <c r="AB118" s="269" t="n">
        <v>112.09</v>
      </c>
      <c r="AC118" s="269" t="n">
        <v>892.357888053462</v>
      </c>
      <c r="AD118" s="269" t="n">
        <v>1004.44788805346</v>
      </c>
      <c r="AE118" s="269">
        <f>IF(LEFT(F118,3)="10K",(0.417*1.07*K118),IF(LEFT(F118,3)="14K",(0.585*1.05*K118),IF(LEFT(F118,3)="18K",(0.75*1.05*K118),0)))</f>
        <v/>
      </c>
      <c r="AG118" s="270">
        <f>X118</f>
        <v/>
      </c>
    </row>
    <row r="119" ht="16.5" customFormat="1" customHeight="1" s="271">
      <c r="A119" s="272" t="inlineStr">
        <is>
          <t>SUBTOTAL</t>
        </is>
      </c>
      <c r="B119" s="273" t="n"/>
      <c r="C119" s="273" t="n"/>
      <c r="D119" s="273" t="n"/>
      <c r="E119" s="273" t="n"/>
      <c r="F119" s="273" t="n"/>
      <c r="G119" s="274">
        <f>SUM(G106:G118)</f>
        <v/>
      </c>
      <c r="H119" s="283" t="n"/>
      <c r="I119" s="283" t="n"/>
      <c r="J119" s="283" t="n"/>
      <c r="K119" s="283">
        <f>SUM(K106:K118)</f>
        <v/>
      </c>
      <c r="L119" s="276" t="n"/>
      <c r="M119" s="276" t="n"/>
      <c r="N119" s="276" t="n"/>
      <c r="O119" s="277" t="n"/>
      <c r="P119" s="278">
        <f>SUM(P106:P118)</f>
        <v/>
      </c>
      <c r="Q119" s="279">
        <f>SUM(Q106:Q118)</f>
        <v/>
      </c>
      <c r="R119" s="279">
        <f>SUM(R106:R118)</f>
        <v/>
      </c>
      <c r="S119" s="279">
        <f>SUM(S106:S118)</f>
        <v/>
      </c>
      <c r="T119" s="279">
        <f>SUM(T106:T118)</f>
        <v/>
      </c>
      <c r="U119" s="279">
        <f>SUM(U106:U118)</f>
        <v/>
      </c>
      <c r="V119" s="279">
        <f>SUM(V106:V118)</f>
        <v/>
      </c>
      <c r="W119" s="279">
        <f>SUM(W106:W118)</f>
        <v/>
      </c>
      <c r="X119" s="279">
        <f>SUM(X106:X118)</f>
        <v/>
      </c>
      <c r="Y119" s="279">
        <f>SUM(Y106:Y118)</f>
        <v/>
      </c>
      <c r="Z119" s="280">
        <f>SUM(Z106:Z118)</f>
        <v/>
      </c>
      <c r="AA119" s="269" t="n"/>
      <c r="AB119" s="269" t="n"/>
      <c r="AC119" s="269" t="n"/>
      <c r="AD119" s="269" t="n"/>
      <c r="AE119" s="269" t="n"/>
      <c r="AG119" s="270" t="n"/>
    </row>
    <row r="120" ht="16.5" customHeight="1" s="240">
      <c r="A120" s="241" t="inlineStr">
        <is>
          <t>Buyer Dia</t>
        </is>
      </c>
      <c r="K120" s="242" t="n"/>
      <c r="L120" s="243" t="n"/>
      <c r="M120" s="243" t="n"/>
      <c r="N120" s="243" t="n"/>
      <c r="W120" s="244" t="n"/>
      <c r="X120" s="245" t="inlineStr">
        <is>
          <t>3rd Apr London AM + 2%</t>
        </is>
      </c>
      <c r="Y120" s="246">
        <f>3128.15*1.02</f>
        <v/>
      </c>
      <c r="Z120" s="246">
        <f>3128.15*1.02</f>
        <v/>
      </c>
      <c r="AA120" s="269" t="n"/>
      <c r="AB120" s="269" t="n"/>
      <c r="AC120" s="269" t="n"/>
      <c r="AD120" s="269" t="n"/>
      <c r="AE120" s="269" t="n"/>
      <c r="AG120" s="270" t="n"/>
    </row>
    <row r="121" ht="27" customFormat="1" customHeight="1" s="247">
      <c r="A121" s="248" t="inlineStr">
        <is>
          <t>PO#</t>
        </is>
      </c>
      <c r="B121" s="249" t="inlineStr">
        <is>
          <t>Item No.</t>
        </is>
      </c>
      <c r="C121" s="249" t="inlineStr">
        <is>
          <t>Buyer No.</t>
        </is>
      </c>
      <c r="D121" s="249" t="inlineStr">
        <is>
          <t>Buyer PO</t>
        </is>
      </c>
      <c r="E121" s="249" t="inlineStr">
        <is>
          <t>IDD PO SERIAL#</t>
        </is>
      </c>
      <c r="F121" s="249" t="inlineStr">
        <is>
          <t>Metal</t>
        </is>
      </c>
      <c r="G121" s="249" t="inlineStr">
        <is>
          <t>Q'ty</t>
        </is>
      </c>
      <c r="H121" s="250" t="inlineStr">
        <is>
          <t>Total w't</t>
        </is>
      </c>
      <c r="I121" s="250" t="inlineStr">
        <is>
          <t>Dia w't</t>
        </is>
      </c>
      <c r="J121" s="250" t="inlineStr">
        <is>
          <t>Wire w't</t>
        </is>
      </c>
      <c r="K121" s="250" t="inlineStr">
        <is>
          <t>Gold w't</t>
        </is>
      </c>
      <c r="L121" s="251" t="inlineStr">
        <is>
          <t>Stone</t>
        </is>
      </c>
      <c r="M121" s="251" t="inlineStr">
        <is>
          <t>Color</t>
        </is>
      </c>
      <c r="N121" s="251" t="inlineStr">
        <is>
          <t>Stone Q'ty</t>
        </is>
      </c>
      <c r="O121" s="252" t="inlineStr">
        <is>
          <t>Labor</t>
        </is>
      </c>
      <c r="P121" s="253" t="inlineStr">
        <is>
          <t>Dia Carat</t>
        </is>
      </c>
      <c r="Q121" s="254" t="inlineStr">
        <is>
          <t>Extra Cost</t>
        </is>
      </c>
      <c r="R121" s="254" t="inlineStr">
        <is>
          <t>Dia Packaging Cost</t>
        </is>
      </c>
      <c r="S121" s="254" t="inlineStr">
        <is>
          <t>Dia Handling Cost</t>
        </is>
      </c>
      <c r="T121" s="254" t="inlineStr">
        <is>
          <t>Wire
Cost</t>
        </is>
      </c>
      <c r="U121" s="254" t="inlineStr">
        <is>
          <t>Plating Cost</t>
        </is>
      </c>
      <c r="V121" s="254" t="inlineStr">
        <is>
          <t>Stone
Cost</t>
        </is>
      </c>
      <c r="W121" s="254" t="inlineStr">
        <is>
          <t>Setting
Cost</t>
        </is>
      </c>
      <c r="X121" s="255" t="inlineStr">
        <is>
          <t>Labor
Cost</t>
        </is>
      </c>
      <c r="Y121" s="256" t="inlineStr">
        <is>
          <t>Gold &amp; 5%
Cost</t>
        </is>
      </c>
      <c r="Z121" s="255" t="inlineStr">
        <is>
          <t>Current Gold &amp;
5% Cost</t>
        </is>
      </c>
      <c r="AA121" s="269" t="n"/>
      <c r="AB121" s="269" t="n"/>
      <c r="AC121" s="269" t="n"/>
      <c r="AD121" s="269" t="n"/>
      <c r="AE121" s="269" t="n"/>
      <c r="AG121" s="270" t="n"/>
    </row>
    <row r="122" ht="13.5" customFormat="1" customHeight="1" s="257">
      <c r="A122" s="258" t="inlineStr">
        <is>
          <t>IDD250401RB-8-14K</t>
        </is>
      </c>
      <c r="B122" s="259" t="inlineStr">
        <is>
          <t>K0725E02</t>
        </is>
      </c>
      <c r="C122" s="259" t="inlineStr">
        <is>
          <t>FSE5007S8W</t>
        </is>
      </c>
      <c r="D122" s="259" t="n">
        <v>148550</v>
      </c>
      <c r="E122" s="259" t="inlineStr">
        <is>
          <t>101</t>
        </is>
      </c>
      <c r="F122" s="259" t="inlineStr">
        <is>
          <t>14K WG</t>
        </is>
      </c>
      <c r="G122" s="260" t="n">
        <v>3</v>
      </c>
      <c r="H122" s="281" t="n">
        <v>4.77</v>
      </c>
      <c r="I122" s="281" t="n">
        <v>0.15</v>
      </c>
      <c r="J122" s="281" t="n">
        <v>0</v>
      </c>
      <c r="K122" s="282">
        <f>H122-I122-J122</f>
        <v/>
      </c>
      <c r="L122" s="263" t="n">
        <v>1.9</v>
      </c>
      <c r="M122" s="263" t="inlineStr">
        <is>
          <t>W</t>
        </is>
      </c>
      <c r="N122" s="264" t="n">
        <v>8</v>
      </c>
      <c r="O122" s="265" t="n">
        <v>6</v>
      </c>
      <c r="P122" s="266" t="n">
        <v>0.725</v>
      </c>
      <c r="Q122" s="267">
        <f>G122*6.9</f>
        <v/>
      </c>
      <c r="R122" s="267" t="n"/>
      <c r="S122" s="267">
        <f>G122*0.02*N122</f>
        <v/>
      </c>
      <c r="T122" s="267" t="n"/>
      <c r="U122" s="267">
        <f>IF(RIGHT(F122,2)="WG",K122*$AB$4,IF(RIGHT(F122,3)="WRG",K122*$AB$4+3*G122,IF(RIGHT(F122,3)="WYG",K122*$AB$4+3*G122,IF(RIGHT(F122,3)="WYR",K122*$AB$4+3*G122,0))))</f>
        <v/>
      </c>
      <c r="V122" s="267" t="n"/>
      <c r="W122" s="267">
        <f>G122*N122*0.3</f>
        <v/>
      </c>
      <c r="X122" s="267">
        <f>K122*O122</f>
        <v/>
      </c>
      <c r="Y122" s="267">
        <f>($Y$120/31.1035*IF(LEFT(F122,3)="10K",(0.417*1.07*K122),IF(LEFT(F122,3)="14K",(0.585*1.05*K122),IF(LEFT(F122,3)="18K",(0.75*1.05*K122),0))))*0.5</f>
        <v/>
      </c>
      <c r="Z122" s="268">
        <f>($Z$120/31.1035*IF(LEFT(F122,3)="10K",(0.417*1.07*K122),IF(LEFT(F122,3)="14K",(0.585*1.05*K122),IF(LEFT(F122,3)="18K",(0.75*1.05*K122),0))))*0.5</f>
        <v/>
      </c>
      <c r="AA122" s="269">
        <f>2*K122</f>
        <v/>
      </c>
      <c r="AB122" s="269" t="n">
        <v>47.9688</v>
      </c>
      <c r="AC122" s="269" t="n">
        <v>458.028532583736</v>
      </c>
      <c r="AD122" s="269" t="n">
        <v>505.997332583736</v>
      </c>
      <c r="AE122" s="269">
        <f>IF(LEFT(F122,3)="10K",(0.417*1.07*K122),IF(LEFT(F122,3)="14K",(0.585*1.05*K122),IF(LEFT(F122,3)="18K",(0.75*1.05*K122),0)))</f>
        <v/>
      </c>
      <c r="AG122" s="270">
        <f>X122</f>
        <v/>
      </c>
    </row>
    <row r="123" ht="27" customFormat="1" customHeight="1" s="257">
      <c r="A123" s="258" t="n">
        <v>3</v>
      </c>
      <c r="B123" s="259" t="inlineStr">
        <is>
          <t>K0107R122 #6.5-8</t>
        </is>
      </c>
      <c r="C123" s="259" t="inlineStr">
        <is>
          <t>FSRT5064RDS8YW4</t>
        </is>
      </c>
      <c r="D123" s="259" t="n">
        <v>148550</v>
      </c>
      <c r="E123" s="259" t="n">
        <v>103</v>
      </c>
      <c r="F123" s="259" t="inlineStr">
        <is>
          <t>14K WYG</t>
        </is>
      </c>
      <c r="G123" s="260" t="n">
        <v>1</v>
      </c>
      <c r="H123" s="281" t="n">
        <v>10.03</v>
      </c>
      <c r="I123" s="281" t="n">
        <v>0.5</v>
      </c>
      <c r="J123" s="281" t="n">
        <v>0.32</v>
      </c>
      <c r="K123" s="282">
        <f>H123-I123-J123</f>
        <v/>
      </c>
      <c r="L123" s="263" t="n">
        <v>2.3</v>
      </c>
      <c r="M123" s="263" t="inlineStr">
        <is>
          <t>W</t>
        </is>
      </c>
      <c r="N123" s="264" t="n">
        <v>50</v>
      </c>
      <c r="O123" s="265" t="n">
        <v>10</v>
      </c>
      <c r="P123" s="266" t="n">
        <v>2.48</v>
      </c>
      <c r="Q123" s="267" t="n"/>
      <c r="R123" s="267" t="n"/>
      <c r="S123" s="267">
        <f>G123*0.02*N123</f>
        <v/>
      </c>
      <c r="T123" s="267">
        <f>G123*6.6</f>
        <v/>
      </c>
      <c r="U123" s="267">
        <f>IF(RIGHT(F123,2)="WG",K123*$AB$4,IF(RIGHT(F123,3)="WRG",K123*$AB$4+3*G123,IF(RIGHT(F123,3)="WYG",K123*$AB$4+3*G123,IF(RIGHT(F123,3)="WYR",K123*$AB$4+3*G123,0))))</f>
        <v/>
      </c>
      <c r="V123" s="267" t="n"/>
      <c r="W123" s="267">
        <f>G123*N123*0.3</f>
        <v/>
      </c>
      <c r="X123" s="267">
        <f>K123*O123</f>
        <v/>
      </c>
      <c r="Y123" s="267">
        <f>($Y$120/31.1035*IF(LEFT(F123,3)="10K",(0.417*1.07*K123),IF(LEFT(F123,3)="14K",(0.585*1.05*K123),IF(LEFT(F123,3)="18K",(0.75*1.05*K123),0))))*0.5</f>
        <v/>
      </c>
      <c r="Z123" s="268">
        <f>($Z$120/31.1035*IF(LEFT(F123,3)="10K",(0.417*1.07*K123),IF(LEFT(F123,3)="14K",(0.585*1.05*K123),IF(LEFT(F123,3)="18K",(0.75*1.05*K123),0))))*0.5</f>
        <v/>
      </c>
      <c r="AA123" s="269">
        <f>2*K123</f>
        <v/>
      </c>
      <c r="AB123" s="269" t="n">
        <v>101.4904</v>
      </c>
      <c r="AC123" s="269" t="n">
        <v>1275.16551959678</v>
      </c>
      <c r="AD123" s="269" t="n">
        <v>1376.65591959678</v>
      </c>
      <c r="AE123" s="269">
        <f>IF(LEFT(F123,3)="10K",(0.417*1.07*K123),IF(LEFT(F123,3)="14K",(0.585*1.05*K123),IF(LEFT(F123,3)="18K",(0.75*1.05*K123),0)))</f>
        <v/>
      </c>
      <c r="AG123" s="270">
        <f>X123</f>
        <v/>
      </c>
    </row>
    <row r="124" ht="27" customFormat="1" customHeight="1" s="257">
      <c r="A124" s="258" t="n">
        <v>5</v>
      </c>
      <c r="B124" s="259" t="inlineStr">
        <is>
          <t>K0098B282 6.50"</t>
        </is>
      </c>
      <c r="C124" s="259" t="inlineStr">
        <is>
          <t>FSBG5189S8Y-6C</t>
        </is>
      </c>
      <c r="D124" s="259" t="inlineStr">
        <is>
          <t>VPO#148550</t>
        </is>
      </c>
      <c r="E124" s="259" t="n">
        <v>108</v>
      </c>
      <c r="F124" s="259" t="inlineStr">
        <is>
          <t>14K YG</t>
        </is>
      </c>
      <c r="G124" s="260" t="n">
        <v>3</v>
      </c>
      <c r="H124" s="281" t="n">
        <v>12.83</v>
      </c>
      <c r="I124" s="281" t="n">
        <v>0.09</v>
      </c>
      <c r="J124" s="281" t="n">
        <v>0.93</v>
      </c>
      <c r="K124" s="282">
        <f>H124-I124-J124</f>
        <v/>
      </c>
      <c r="L124" s="263" t="n">
        <v>2.2</v>
      </c>
      <c r="M124" s="263" t="inlineStr">
        <is>
          <t>W</t>
        </is>
      </c>
      <c r="N124" s="264" t="n">
        <v>4</v>
      </c>
      <c r="O124" s="265" t="n">
        <v>9.5</v>
      </c>
      <c r="P124" s="266" t="n">
        <v>0.5</v>
      </c>
      <c r="Q124" s="267" t="n"/>
      <c r="R124" s="267" t="n"/>
      <c r="S124" s="267">
        <f>G124*0.02*N124</f>
        <v/>
      </c>
      <c r="T124" s="267">
        <f>G124*2.3</f>
        <v/>
      </c>
      <c r="U124" s="267">
        <f>IF(RIGHT(F124,2)="WG",K124*$AB$4,IF(RIGHT(F124,3)="WRG",K124*$AB$4+3*G124,IF(RIGHT(F124,3)="WYG",K124*$AB$4+3*G124,IF(RIGHT(F124,3)="WYR",K124*$AB$4+3*G124,0))))</f>
        <v/>
      </c>
      <c r="V124" s="267" t="n"/>
      <c r="W124" s="267">
        <f>G124*N124*0.3</f>
        <v/>
      </c>
      <c r="X124" s="267">
        <f>K124*O124</f>
        <v/>
      </c>
      <c r="Y124" s="267">
        <f>($Y$120/31.1035*IF(LEFT(F124,3)="10K",(0.417*1.07*K124),IF(LEFT(F124,3)="14K",(0.585*1.05*K124),IF(LEFT(F124,3)="18K",(0.75*1.05*K124),0))))*0.5</f>
        <v/>
      </c>
      <c r="Z124" s="268">
        <f>($Z$120/31.1035*IF(LEFT(F124,3)="10K",(0.417*1.07*K124),IF(LEFT(F124,3)="14K",(0.585*1.05*K124),IF(LEFT(F124,3)="18K",(0.75*1.05*K124),0))))*0.5</f>
        <v/>
      </c>
      <c r="AA124" s="269">
        <f>2*K124</f>
        <v/>
      </c>
      <c r="AB124" s="269" t="n">
        <v>99.315</v>
      </c>
      <c r="AC124" s="269" t="n">
        <v>697.277620402577</v>
      </c>
      <c r="AD124" s="269" t="n">
        <v>796.592620402577</v>
      </c>
      <c r="AE124" s="269">
        <f>IF(LEFT(F124,3)="10K",(0.417*1.07*K124),IF(LEFT(F124,3)="14K",(0.585*1.05*K124),IF(LEFT(F124,3)="18K",(0.75*1.05*K124),0)))</f>
        <v/>
      </c>
      <c r="AG124" s="270">
        <f>X124</f>
        <v/>
      </c>
    </row>
    <row r="125" ht="27" customFormat="1" customHeight="1" s="257">
      <c r="A125" s="258" t="n">
        <v>6</v>
      </c>
      <c r="B125" s="259" t="inlineStr">
        <is>
          <t>K0098B284 6.50"</t>
        </is>
      </c>
      <c r="C125" s="259" t="inlineStr">
        <is>
          <t>FSBG5191S8Y-6C</t>
        </is>
      </c>
      <c r="D125" s="259" t="inlineStr">
        <is>
          <t>VPO#148550</t>
        </is>
      </c>
      <c r="E125" s="259" t="n">
        <v>109</v>
      </c>
      <c r="F125" s="259" t="inlineStr">
        <is>
          <t>14K YG</t>
        </is>
      </c>
      <c r="G125" s="260" t="n">
        <v>2</v>
      </c>
      <c r="H125" s="281" t="n">
        <v>10.42</v>
      </c>
      <c r="I125" s="281" t="n">
        <v>0.2</v>
      </c>
      <c r="J125" s="281" t="n">
        <v>0.62</v>
      </c>
      <c r="K125" s="282">
        <f>H125-I125-J125</f>
        <v/>
      </c>
      <c r="L125" s="263" t="n">
        <v>1.9</v>
      </c>
      <c r="M125" s="263" t="inlineStr">
        <is>
          <t>W</t>
        </is>
      </c>
      <c r="N125" s="264" t="n">
        <v>16</v>
      </c>
      <c r="O125" s="265" t="n">
        <v>9.5</v>
      </c>
      <c r="P125" s="266" t="n">
        <v>0.96</v>
      </c>
      <c r="Q125" s="267" t="n"/>
      <c r="R125" s="267" t="n"/>
      <c r="S125" s="267">
        <f>G125*0.02*N125</f>
        <v/>
      </c>
      <c r="T125" s="267">
        <f>G125*2.3</f>
        <v/>
      </c>
      <c r="U125" s="267">
        <f>IF(RIGHT(F125,2)="WG",K125*$AB$4,IF(RIGHT(F125,3)="WRG",K125*$AB$4+3*G125,IF(RIGHT(F125,3)="WYG",K125*$AB$4+3*G125,IF(RIGHT(F125,3)="WYR",K125*$AB$4+3*G125,0))))</f>
        <v/>
      </c>
      <c r="V125" s="267" t="n"/>
      <c r="W125" s="267">
        <f>G125*N125*0.3</f>
        <v/>
      </c>
      <c r="X125" s="267">
        <f>K125*O125</f>
        <v/>
      </c>
      <c r="Y125" s="267">
        <f>($Y$120/31.1035*IF(LEFT(F125,3)="10K",(0.417*1.07*K125),IF(LEFT(F125,3)="14K",(0.585*1.05*K125),IF(LEFT(F125,3)="18K",(0.75*1.05*K125),0))))*0.5</f>
        <v/>
      </c>
      <c r="Z125" s="268">
        <f>($Z$120/31.1035*IF(LEFT(F125,3)="10K",(0.417*1.07*K125),IF(LEFT(F125,3)="14K",(0.585*1.05*K125),IF(LEFT(F125,3)="18K",(0.75*1.05*K125),0))))*0.5</f>
        <v/>
      </c>
      <c r="AA125" s="269">
        <f>2*K125</f>
        <v/>
      </c>
      <c r="AB125" s="269" t="n">
        <v>86.84</v>
      </c>
      <c r="AC125" s="269" t="n">
        <v>760.509235972947</v>
      </c>
      <c r="AD125" s="269" t="n">
        <v>847.349235972947</v>
      </c>
      <c r="AE125" s="269">
        <f>IF(LEFT(F125,3)="10K",(0.417*1.07*K125),IF(LEFT(F125,3)="14K",(0.585*1.05*K125),IF(LEFT(F125,3)="18K",(0.75*1.05*K125),0)))</f>
        <v/>
      </c>
      <c r="AG125" s="270">
        <f>X125</f>
        <v/>
      </c>
    </row>
    <row r="126" ht="27" customFormat="1" customHeight="1" s="257">
      <c r="A126" s="258" t="n">
        <v>7</v>
      </c>
      <c r="B126" s="259" t="inlineStr">
        <is>
          <t>K0098B283 6.50"</t>
        </is>
      </c>
      <c r="C126" s="259" t="inlineStr">
        <is>
          <t>FSBG5190S8W-6C</t>
        </is>
      </c>
      <c r="D126" s="259" t="n">
        <v>148550</v>
      </c>
      <c r="E126" s="259" t="n">
        <v>112</v>
      </c>
      <c r="F126" s="259" t="inlineStr">
        <is>
          <t>14K WG</t>
        </is>
      </c>
      <c r="G126" s="260" t="n">
        <v>4</v>
      </c>
      <c r="H126" s="281" t="n">
        <v>19.98</v>
      </c>
      <c r="I126" s="281" t="n">
        <v>0.28</v>
      </c>
      <c r="J126" s="281" t="n">
        <v>1.24</v>
      </c>
      <c r="K126" s="282">
        <f>H126-I126-J126</f>
        <v/>
      </c>
      <c r="L126" s="263" t="n">
        <v>1.9</v>
      </c>
      <c r="M126" s="263" t="inlineStr">
        <is>
          <t>W</t>
        </is>
      </c>
      <c r="N126" s="264" t="n">
        <v>12</v>
      </c>
      <c r="O126" s="265" t="n">
        <v>9.5</v>
      </c>
      <c r="P126" s="266" t="n">
        <v>1.41</v>
      </c>
      <c r="Q126" s="267" t="n"/>
      <c r="R126" s="267" t="n"/>
      <c r="S126" s="267">
        <f>G126*0.02*N126</f>
        <v/>
      </c>
      <c r="T126" s="267">
        <f>G126*2.3</f>
        <v/>
      </c>
      <c r="U126" s="267">
        <f>IF(RIGHT(F126,2)="WG",K126*$AB$4,IF(RIGHT(F126,3)="WRG",K126*$AB$4+3*G126,IF(RIGHT(F126,3)="WYG",K126*$AB$4+3*G126,IF(RIGHT(F126,3)="WYR",K126*$AB$4+3*G126,0))))</f>
        <v/>
      </c>
      <c r="V126" s="267" t="n"/>
      <c r="W126" s="267">
        <f>G126*N126*0.3</f>
        <v/>
      </c>
      <c r="X126" s="267">
        <f>K126*O126</f>
        <v/>
      </c>
      <c r="Y126" s="267">
        <f>($Y$120/31.1035*IF(LEFT(F126,3)="10K",(0.417*1.07*K126),IF(LEFT(F126,3)="14K",(0.585*1.05*K126),IF(LEFT(F126,3)="18K",(0.75*1.05*K126),0))))*0.5</f>
        <v/>
      </c>
      <c r="Z126" s="268">
        <f>($Z$120/31.1035*IF(LEFT(F126,3)="10K",(0.417*1.07*K126),IF(LEFT(F126,3)="14K",(0.585*1.05*K126),IF(LEFT(F126,3)="18K",(0.75*1.05*K126),0))))*0.5</f>
        <v/>
      </c>
      <c r="AA126" s="269">
        <f>2*K126</f>
        <v/>
      </c>
      <c r="AB126" s="269" t="n">
        <v>167.4404</v>
      </c>
      <c r="AC126" s="269" t="n">
        <v>1309.82330033527</v>
      </c>
      <c r="AD126" s="269" t="n">
        <v>1477.26370033527</v>
      </c>
      <c r="AE126" s="269">
        <f>IF(LEFT(F126,3)="10K",(0.417*1.07*K126),IF(LEFT(F126,3)="14K",(0.585*1.05*K126),IF(LEFT(F126,3)="18K",(0.75*1.05*K126),0)))</f>
        <v/>
      </c>
      <c r="AG126" s="270">
        <f>X126</f>
        <v/>
      </c>
    </row>
    <row r="127" ht="27" customFormat="1" customHeight="1" s="257">
      <c r="A127" s="258" t="n">
        <v>7</v>
      </c>
      <c r="B127" s="259" t="inlineStr">
        <is>
          <t>K0098B283 6.50"</t>
        </is>
      </c>
      <c r="C127" s="259" t="inlineStr">
        <is>
          <t>FSBG5190S8Y-6C</t>
        </is>
      </c>
      <c r="D127" s="259" t="n">
        <v>148550</v>
      </c>
      <c r="E127" s="259" t="n">
        <v>111</v>
      </c>
      <c r="F127" s="259" t="inlineStr">
        <is>
          <t>14K YG</t>
        </is>
      </c>
      <c r="G127" s="260" t="n">
        <v>5</v>
      </c>
      <c r="H127" s="281" t="n">
        <v>24.27</v>
      </c>
      <c r="I127" s="281" t="n">
        <v>0.35</v>
      </c>
      <c r="J127" s="281" t="n">
        <v>1.55</v>
      </c>
      <c r="K127" s="282">
        <f>H127-I127-J127</f>
        <v/>
      </c>
      <c r="L127" s="263" t="n">
        <v>1.9</v>
      </c>
      <c r="M127" s="263" t="inlineStr">
        <is>
          <t>W</t>
        </is>
      </c>
      <c r="N127" s="264" t="n">
        <v>12</v>
      </c>
      <c r="O127" s="265" t="n">
        <v>9.5</v>
      </c>
      <c r="P127" s="266" t="n">
        <v>1.83</v>
      </c>
      <c r="Q127" s="267" t="n"/>
      <c r="R127" s="267" t="n"/>
      <c r="S127" s="267">
        <f>G127*0.02*N127</f>
        <v/>
      </c>
      <c r="T127" s="267">
        <f>G127*2.3</f>
        <v/>
      </c>
      <c r="U127" s="267">
        <f>IF(RIGHT(F127,2)="WG",K127*$AB$4,IF(RIGHT(F127,3)="WRG",K127*$AB$4+3*G127,IF(RIGHT(F127,3)="WYG",K127*$AB$4+3*G127,IF(RIGHT(F127,3)="WYR",K127*$AB$4+3*G127,0))))</f>
        <v/>
      </c>
      <c r="V127" s="267" t="n"/>
      <c r="W127" s="267">
        <f>G127*N127*0.3</f>
        <v/>
      </c>
      <c r="X127" s="267">
        <f>K127*O127</f>
        <v/>
      </c>
      <c r="Y127" s="267">
        <f>($Y$120/31.1035*IF(LEFT(F127,3)="10K",(0.417*1.07*K127),IF(LEFT(F127,3)="14K",(0.585*1.05*K127),IF(LEFT(F127,3)="18K",(0.75*1.05*K127),0))))*0.5</f>
        <v/>
      </c>
      <c r="Z127" s="268">
        <f>($Z$120/31.1035*IF(LEFT(F127,3)="10K",(0.417*1.07*K127),IF(LEFT(F127,3)="14K",(0.585*1.05*K127),IF(LEFT(F127,3)="18K",(0.75*1.05*K127),0))))*0.5</f>
        <v/>
      </c>
      <c r="AA127" s="269">
        <f>2*K127</f>
        <v/>
      </c>
      <c r="AB127" s="269" t="n">
        <v>198.475</v>
      </c>
      <c r="AC127" s="269" t="n">
        <v>1629.72055107343</v>
      </c>
      <c r="AD127" s="269" t="n">
        <v>1828.19555107343</v>
      </c>
      <c r="AE127" s="269">
        <f>IF(LEFT(F127,3)="10K",(0.417*1.07*K127),IF(LEFT(F127,3)="14K",(0.585*1.05*K127),IF(LEFT(F127,3)="18K",(0.75*1.05*K127),0)))</f>
        <v/>
      </c>
      <c r="AG127" s="270">
        <f>X127</f>
        <v/>
      </c>
    </row>
    <row r="128" ht="27" customFormat="1" customHeight="1" s="257">
      <c r="A128" s="258" t="n">
        <v>8</v>
      </c>
      <c r="B128" s="259" t="inlineStr">
        <is>
          <t>K0098B140 6.50"</t>
        </is>
      </c>
      <c r="C128" s="259" t="inlineStr">
        <is>
          <t>FSBG5232Y-6C</t>
        </is>
      </c>
      <c r="D128" s="259" t="n">
        <v>148550</v>
      </c>
      <c r="E128" s="259" t="n">
        <v>113</v>
      </c>
      <c r="F128" s="259" t="inlineStr">
        <is>
          <t>14K YG</t>
        </is>
      </c>
      <c r="G128" s="260" t="n">
        <v>5</v>
      </c>
      <c r="H128" s="281" t="n">
        <v>23.09</v>
      </c>
      <c r="I128" s="281" t="n">
        <v>0</v>
      </c>
      <c r="J128" s="281" t="n">
        <v>1.55</v>
      </c>
      <c r="K128" s="282">
        <f>H128-I128-J128</f>
        <v/>
      </c>
      <c r="L128" s="263" t="n"/>
      <c r="M128" s="263" t="n"/>
      <c r="N128" s="264" t="n"/>
      <c r="O128" s="265" t="n">
        <v>9.5</v>
      </c>
      <c r="P128" s="266" t="n">
        <v>0</v>
      </c>
      <c r="Q128" s="267" t="n"/>
      <c r="R128" s="267" t="n"/>
      <c r="S128" s="267" t="n"/>
      <c r="T128" s="267">
        <f>G128*2.3</f>
        <v/>
      </c>
      <c r="U128" s="267">
        <f>IF(RIGHT(F128,2)="WG",K128*$AB$4,IF(RIGHT(F128,3)="WRG",K128*$AB$4+3*G128,IF(RIGHT(F128,3)="WYG",K128*$AB$4+3*G128,IF(RIGHT(F128,3)="WYR",K128*$AB$4+3*G128,0))))</f>
        <v/>
      </c>
      <c r="V128" s="267" t="n"/>
      <c r="W128" s="267">
        <f>G128*N128*0.3</f>
        <v/>
      </c>
      <c r="X128" s="267">
        <f>K128*O128</f>
        <v/>
      </c>
      <c r="Y128" s="267">
        <f>($Y$120/31.1035*IF(LEFT(F128,3)="10K",(0.417*1.07*K128),IF(LEFT(F128,3)="14K",(0.585*1.05*K128),IF(LEFT(F128,3)="18K",(0.75*1.05*K128),0))))*0.5</f>
        <v/>
      </c>
      <c r="Z128" s="268">
        <f>($Z$120/31.1035*IF(LEFT(F128,3)="10K",(0.417*1.07*K128),IF(LEFT(F128,3)="14K",(0.585*1.05*K128),IF(LEFT(F128,3)="18K",(0.75*1.05*K128),0))))*0.5</f>
        <v/>
      </c>
      <c r="AA128" s="269">
        <f>2*K128</f>
        <v/>
      </c>
      <c r="AB128" s="269" t="n">
        <v>173.05</v>
      </c>
      <c r="AC128" s="269" t="n">
        <v>952.6280400000001</v>
      </c>
      <c r="AD128" s="269" t="n">
        <v>1125.67804</v>
      </c>
      <c r="AE128" s="269">
        <f>IF(LEFT(F128,3)="10K",(0.417*1.07*K128),IF(LEFT(F128,3)="14K",(0.585*1.05*K128),IF(LEFT(F128,3)="18K",(0.75*1.05*K128),0)))</f>
        <v/>
      </c>
      <c r="AG128" s="270">
        <f>X128</f>
        <v/>
      </c>
    </row>
    <row r="129" ht="27" customFormat="1" customHeight="1" s="257">
      <c r="A129" s="258" t="n">
        <v>8</v>
      </c>
      <c r="B129" s="259" t="inlineStr">
        <is>
          <t>K0098B140 6.50"</t>
        </is>
      </c>
      <c r="C129" s="259" t="inlineStr">
        <is>
          <t>FSBG5232P-6C</t>
        </is>
      </c>
      <c r="D129" s="259" t="n">
        <v>148550</v>
      </c>
      <c r="E129" s="259" t="n">
        <v>114</v>
      </c>
      <c r="F129" s="259" t="inlineStr">
        <is>
          <t>14K RG</t>
        </is>
      </c>
      <c r="G129" s="260" t="n">
        <v>1</v>
      </c>
      <c r="H129" s="281" t="n">
        <v>4.69</v>
      </c>
      <c r="I129" s="281" t="n">
        <v>0</v>
      </c>
      <c r="J129" s="281" t="n">
        <v>0.31</v>
      </c>
      <c r="K129" s="282">
        <f>H129-I129-J129</f>
        <v/>
      </c>
      <c r="L129" s="263" t="n"/>
      <c r="M129" s="263" t="n"/>
      <c r="N129" s="264" t="n"/>
      <c r="O129" s="265" t="n">
        <v>9.5</v>
      </c>
      <c r="P129" s="266" t="n">
        <v>0</v>
      </c>
      <c r="Q129" s="267" t="n"/>
      <c r="R129" s="267" t="n"/>
      <c r="S129" s="267" t="n"/>
      <c r="T129" s="267">
        <f>G129*2.3</f>
        <v/>
      </c>
      <c r="U129" s="267">
        <f>IF(RIGHT(F129,2)="WG",K129*$AB$4,IF(RIGHT(F129,3)="WRG",K129*$AB$4+3*G129,IF(RIGHT(F129,3)="WYG",K129*$AB$4+3*G129,IF(RIGHT(F129,3)="WYR",K129*$AB$4+3*G129,0))))</f>
        <v/>
      </c>
      <c r="V129" s="267" t="n"/>
      <c r="W129" s="267">
        <f>G129*N129*0.3</f>
        <v/>
      </c>
      <c r="X129" s="267">
        <f>K129*O129</f>
        <v/>
      </c>
      <c r="Y129" s="267">
        <f>($Y$120/31.1035*IF(LEFT(F129,3)="10K",(0.417*1.07*K129),IF(LEFT(F129,3)="14K",(0.585*1.05*K129),IF(LEFT(F129,3)="18K",(0.75*1.05*K129),0))))*0.5</f>
        <v/>
      </c>
      <c r="Z129" s="268">
        <f>($Z$120/31.1035*IF(LEFT(F129,3)="10K",(0.417*1.07*K129),IF(LEFT(F129,3)="14K",(0.585*1.05*K129),IF(LEFT(F129,3)="18K",(0.75*1.05*K129),0))))*0.5</f>
        <v/>
      </c>
      <c r="AA129" s="269">
        <f>2*K129</f>
        <v/>
      </c>
      <c r="AB129" s="269" t="n">
        <v>35.15</v>
      </c>
      <c r="AC129" s="269" t="n">
        <v>193.70988</v>
      </c>
      <c r="AD129" s="269" t="n">
        <v>228.85988</v>
      </c>
      <c r="AE129" s="269">
        <f>IF(LEFT(F129,3)="10K",(0.417*1.07*K129),IF(LEFT(F129,3)="14K",(0.585*1.05*K129),IF(LEFT(F129,3)="18K",(0.75*1.05*K129),0)))</f>
        <v/>
      </c>
      <c r="AG129" s="270">
        <f>X129</f>
        <v/>
      </c>
    </row>
    <row r="130" ht="27" customFormat="1" customHeight="1" s="257">
      <c r="A130" s="258" t="n">
        <v>9</v>
      </c>
      <c r="B130" s="259" t="inlineStr">
        <is>
          <t>K0098B401 6.50"</t>
        </is>
      </c>
      <c r="C130" s="259" t="inlineStr">
        <is>
          <t>FSBG5241S8TWY-6C</t>
        </is>
      </c>
      <c r="D130" s="259" t="n">
        <v>148550</v>
      </c>
      <c r="E130" s="259" t="n">
        <v>115</v>
      </c>
      <c r="F130" s="259" t="inlineStr">
        <is>
          <t>14K WYG</t>
        </is>
      </c>
      <c r="G130" s="260" t="n">
        <v>1</v>
      </c>
      <c r="H130" s="281" t="n">
        <v>5.86</v>
      </c>
      <c r="I130" s="281" t="n">
        <v>0.02</v>
      </c>
      <c r="J130" s="281" t="n">
        <v>0.31</v>
      </c>
      <c r="K130" s="282">
        <f>H130-I130-J130</f>
        <v/>
      </c>
      <c r="L130" s="263" t="n">
        <v>1</v>
      </c>
      <c r="M130" s="263" t="inlineStr">
        <is>
          <t>W</t>
        </is>
      </c>
      <c r="N130" s="264" t="n">
        <v>22</v>
      </c>
      <c r="O130" s="265">
        <f>9.5+2</f>
        <v/>
      </c>
      <c r="P130" s="266" t="n">
        <v>0.1</v>
      </c>
      <c r="Q130" s="267" t="n"/>
      <c r="R130" s="267" t="n"/>
      <c r="S130" s="267">
        <f>G130*0.02*N130</f>
        <v/>
      </c>
      <c r="T130" s="267">
        <f>G130*2.3</f>
        <v/>
      </c>
      <c r="U130" s="267">
        <f>IF(RIGHT(F130,2)="WG",K130*$AB$4,IF(RIGHT(F130,3)="WRG",K130*$AB$4+3*G130,IF(RIGHT(F130,3)="WYG",K130*$AB$4+3*G130,IF(RIGHT(F130,3)="WYR",K130*$AB$4+3*G130,0))))</f>
        <v/>
      </c>
      <c r="V130" s="267" t="n"/>
      <c r="W130" s="267">
        <f>G130*N130*0.3</f>
        <v/>
      </c>
      <c r="X130" s="267">
        <f>K130*O130</f>
        <v/>
      </c>
      <c r="Y130" s="267">
        <f>($Y$120/31.1035*IF(LEFT(F130,3)="10K",(0.417*1.07*K130),IF(LEFT(F130,3)="14K",(0.585*1.05*K130),IF(LEFT(F130,3)="18K",(0.75*1.05*K130),0))))*0.5</f>
        <v/>
      </c>
      <c r="Z130" s="268">
        <f>($Z$120/31.1035*IF(LEFT(F130,3)="10K",(0.417*1.07*K130),IF(LEFT(F130,3)="14K",(0.585*1.05*K130),IF(LEFT(F130,3)="18K",(0.75*1.05*K130),0))))*0.5</f>
        <v/>
      </c>
      <c r="AA130" s="269">
        <f>2*K130</f>
        <v/>
      </c>
      <c r="AB130" s="269" t="n">
        <v>66.2022</v>
      </c>
      <c r="AC130" s="269" t="n">
        <v>279.563492080515</v>
      </c>
      <c r="AD130" s="269" t="n">
        <v>345.765692080515</v>
      </c>
      <c r="AE130" s="269">
        <f>IF(LEFT(F130,3)="10K",(0.417*1.07*K130),IF(LEFT(F130,3)="14K",(0.585*1.05*K130),IF(LEFT(F130,3)="18K",(0.75*1.05*K130),0)))</f>
        <v/>
      </c>
      <c r="AG130" s="270">
        <f>X130</f>
        <v/>
      </c>
    </row>
    <row r="131" ht="27" customFormat="1" customHeight="1" s="257">
      <c r="A131" s="258" t="n">
        <v>10</v>
      </c>
      <c r="B131" s="259" t="inlineStr">
        <is>
          <t>K0165B12 OV H 6.50"</t>
        </is>
      </c>
      <c r="C131" s="259" t="inlineStr">
        <is>
          <t>FSBG5215S8Y-6C</t>
        </is>
      </c>
      <c r="D131" s="259" t="n">
        <v>148550</v>
      </c>
      <c r="E131" s="259" t="n">
        <v>116</v>
      </c>
      <c r="F131" s="259" t="inlineStr">
        <is>
          <t>14K YG</t>
        </is>
      </c>
      <c r="G131" s="260" t="n">
        <v>3</v>
      </c>
      <c r="H131" s="281" t="n">
        <v>19.8</v>
      </c>
      <c r="I131" s="281" t="n">
        <v>0.32</v>
      </c>
      <c r="J131" s="281" t="n">
        <v>0.93</v>
      </c>
      <c r="K131" s="282">
        <f>H131-I131-J131</f>
        <v/>
      </c>
      <c r="L131" s="263" t="n">
        <v>2.1</v>
      </c>
      <c r="M131" s="263" t="inlineStr">
        <is>
          <t>W</t>
        </is>
      </c>
      <c r="N131" s="264" t="n">
        <v>14</v>
      </c>
      <c r="O131" s="265" t="n">
        <v>8.5</v>
      </c>
      <c r="P131" s="266" t="n">
        <v>1.58</v>
      </c>
      <c r="Q131" s="267" t="n"/>
      <c r="R131" s="267" t="n"/>
      <c r="S131" s="267">
        <f>G131*0.02*N131</f>
        <v/>
      </c>
      <c r="T131" s="267">
        <f>G131*2.3</f>
        <v/>
      </c>
      <c r="U131" s="267">
        <f>IF(RIGHT(F131,2)="WG",K131*$AB$4,IF(RIGHT(F131,3)="WRG",K131*$AB$4+3*G131,IF(RIGHT(F131,3)="WYG",K131*$AB$4+3*G131,IF(RIGHT(F131,3)="WYR",K131*$AB$4+3*G131,0))))</f>
        <v/>
      </c>
      <c r="V131" s="267" t="n"/>
      <c r="W131" s="267">
        <f>G131*N131*0.3</f>
        <v/>
      </c>
      <c r="X131" s="267">
        <f>K131*O131</f>
        <v/>
      </c>
      <c r="Y131" s="267">
        <f>($Y$120/31.1035*IF(LEFT(F131,3)="10K",(0.417*1.07*K131),IF(LEFT(F131,3)="14K",(0.585*1.05*K131),IF(LEFT(F131,3)="18K",(0.75*1.05*K131),0))))*0.5</f>
        <v/>
      </c>
      <c r="Z131" s="268">
        <f>($Z$120/31.1035*IF(LEFT(F131,3)="10K",(0.417*1.07*K131),IF(LEFT(F131,3)="14K",(0.585*1.05*K131),IF(LEFT(F131,3)="18K",(0.75*1.05*K131),0))))*0.5</f>
        <v/>
      </c>
      <c r="AA131" s="269">
        <f>2*K131</f>
        <v/>
      </c>
      <c r="AB131" s="269" t="n">
        <v>140.915</v>
      </c>
      <c r="AC131" s="269" t="n">
        <v>1373.29295087214</v>
      </c>
      <c r="AD131" s="269" t="n">
        <v>1514.20795087214</v>
      </c>
      <c r="AE131" s="269">
        <f>IF(LEFT(F131,3)="10K",(0.417*1.07*K131),IF(LEFT(F131,3)="14K",(0.585*1.05*K131),IF(LEFT(F131,3)="18K",(0.75*1.05*K131),0)))</f>
        <v/>
      </c>
      <c r="AG131" s="270">
        <f>X131</f>
        <v/>
      </c>
    </row>
    <row r="132" ht="27.75" customFormat="1" customHeight="1" s="257">
      <c r="A132" s="258" t="n">
        <v>11</v>
      </c>
      <c r="B132" s="259" t="inlineStr">
        <is>
          <t>K01589B03 6.50"</t>
        </is>
      </c>
      <c r="C132" s="259" t="inlineStr">
        <is>
          <t>FSBG5387S8Y-6C</t>
        </is>
      </c>
      <c r="D132" s="259" t="n">
        <v>148550</v>
      </c>
      <c r="E132" s="259" t="n">
        <v>118</v>
      </c>
      <c r="F132" s="259" t="inlineStr">
        <is>
          <t>14K YG</t>
        </is>
      </c>
      <c r="G132" s="260" t="n">
        <v>1</v>
      </c>
      <c r="H132" s="281" t="n">
        <v>9.109999999999999</v>
      </c>
      <c r="I132" s="281" t="n">
        <v>0.2</v>
      </c>
      <c r="J132" s="281" t="n">
        <v>0.31</v>
      </c>
      <c r="K132" s="282">
        <f>H132-I132-J132</f>
        <v/>
      </c>
      <c r="L132" s="263" t="n">
        <v>2</v>
      </c>
      <c r="M132" s="263" t="inlineStr">
        <is>
          <t>W</t>
        </is>
      </c>
      <c r="N132" s="264" t="n">
        <v>29</v>
      </c>
      <c r="O132" s="265" t="n">
        <v>10</v>
      </c>
      <c r="P132" s="266" t="n">
        <v>0.98</v>
      </c>
      <c r="Q132" s="267" t="n"/>
      <c r="R132" s="267" t="n"/>
      <c r="S132" s="267">
        <f>G132*0.02*N132</f>
        <v/>
      </c>
      <c r="T132" s="267">
        <f>G132*2.3</f>
        <v/>
      </c>
      <c r="U132" s="267">
        <f>IF(RIGHT(F132,2)="WG",K132*$AB$4,IF(RIGHT(F132,3)="WRG",K132*$AB$4+3*G132,IF(RIGHT(F132,3)="WYG",K132*$AB$4+3*G132,IF(RIGHT(F132,3)="WYR",K132*$AB$4+3*G132,0))))</f>
        <v/>
      </c>
      <c r="V132" s="267" t="n"/>
      <c r="W132" s="267">
        <f>G132*N132*1</f>
        <v/>
      </c>
      <c r="X132" s="267">
        <f>K132*O132</f>
        <v/>
      </c>
      <c r="Y132" s="267">
        <f>($Y$120/31.1035*IF(LEFT(F132,3)="10K",(0.417*1.07*K132),IF(LEFT(F132,3)="14K",(0.585*1.05*K132),IF(LEFT(F132,3)="18K",(0.75*1.05*K132),0))))*0.5</f>
        <v/>
      </c>
      <c r="Z132" s="268">
        <f>($Z$120/31.1035*IF(LEFT(F132,3)="10K",(0.417*1.07*K132),IF(LEFT(F132,3)="14K",(0.585*1.05*K132),IF(LEFT(F132,3)="18K",(0.75*1.05*K132),0))))*0.5</f>
        <v/>
      </c>
      <c r="AA132" s="269">
        <f>2*K132</f>
        <v/>
      </c>
      <c r="AB132" s="269" t="n">
        <v>100.68</v>
      </c>
      <c r="AC132" s="269" t="n">
        <v>723.28197838905</v>
      </c>
      <c r="AD132" s="269" t="n">
        <v>823.96197838905</v>
      </c>
      <c r="AE132" s="269">
        <f>IF(LEFT(F132,3)="10K",(0.417*1.07*K132),IF(LEFT(F132,3)="14K",(0.585*1.05*K132),IF(LEFT(F132,3)="18K",(0.75*1.05*K132),0)))</f>
        <v/>
      </c>
      <c r="AG132" s="270">
        <f>X132</f>
        <v/>
      </c>
    </row>
    <row r="133" ht="16.5" customFormat="1" customHeight="1" s="271">
      <c r="A133" s="272" t="inlineStr">
        <is>
          <t>SUBTOTAL</t>
        </is>
      </c>
      <c r="B133" s="273" t="n"/>
      <c r="C133" s="273" t="n"/>
      <c r="D133" s="273" t="n"/>
      <c r="E133" s="273" t="n"/>
      <c r="F133" s="273" t="n"/>
      <c r="G133" s="274">
        <f>SUM(G122:G132)</f>
        <v/>
      </c>
      <c r="H133" s="283" t="n"/>
      <c r="I133" s="283" t="n"/>
      <c r="J133" s="283" t="n"/>
      <c r="K133" s="283">
        <f>SUM(K122:K132)</f>
        <v/>
      </c>
      <c r="L133" s="276" t="n"/>
      <c r="M133" s="276" t="n"/>
      <c r="N133" s="276" t="n"/>
      <c r="O133" s="277" t="n"/>
      <c r="P133" s="278">
        <f>SUM(P122:P132)</f>
        <v/>
      </c>
      <c r="Q133" s="279">
        <f>SUM(Q122:Q132)</f>
        <v/>
      </c>
      <c r="R133" s="279">
        <f>SUM(R122:R132)</f>
        <v/>
      </c>
      <c r="S133" s="279">
        <f>SUM(S122:S132)</f>
        <v/>
      </c>
      <c r="T133" s="279">
        <f>SUM(T122:T132)</f>
        <v/>
      </c>
      <c r="U133" s="279">
        <f>SUM(U122:U132)</f>
        <v/>
      </c>
      <c r="V133" s="279">
        <f>SUM(V122:V132)</f>
        <v/>
      </c>
      <c r="W133" s="279">
        <f>SUM(W122:W132)</f>
        <v/>
      </c>
      <c r="X133" s="279">
        <f>SUM(X122:X132)</f>
        <v/>
      </c>
      <c r="Y133" s="279">
        <f>SUM(Y122:Y132)</f>
        <v/>
      </c>
      <c r="Z133" s="280">
        <f>SUM(Z122:Z132)</f>
        <v/>
      </c>
      <c r="AA133" s="269" t="n"/>
      <c r="AB133" s="269" t="n"/>
      <c r="AC133" s="269" t="n"/>
      <c r="AD133" s="269" t="n"/>
      <c r="AE133" s="269" t="n"/>
      <c r="AG133" s="270" t="n"/>
    </row>
    <row r="134" ht="16.5" customHeight="1" s="240">
      <c r="A134" s="241" t="inlineStr">
        <is>
          <t>Buyer Dia</t>
        </is>
      </c>
      <c r="K134" s="242" t="n"/>
      <c r="L134" s="243" t="n"/>
      <c r="M134" s="243" t="n"/>
      <c r="N134" s="243" t="n"/>
      <c r="W134" s="244" t="n"/>
      <c r="X134" s="245" t="inlineStr">
        <is>
          <t>3rd Apr London AM + 2%</t>
        </is>
      </c>
      <c r="Y134" s="246">
        <f>3128.15*1.02</f>
        <v/>
      </c>
      <c r="Z134" s="246">
        <f>3128.15*1.02</f>
        <v/>
      </c>
      <c r="AA134" s="269" t="n"/>
      <c r="AB134" s="269" t="n"/>
      <c r="AC134" s="269" t="n"/>
      <c r="AD134" s="269" t="n"/>
      <c r="AE134" s="269" t="n"/>
      <c r="AG134" s="270" t="n"/>
    </row>
    <row r="135" ht="27" customFormat="1" customHeight="1" s="247">
      <c r="A135" s="248" t="inlineStr">
        <is>
          <t>PO#</t>
        </is>
      </c>
      <c r="B135" s="249" t="inlineStr">
        <is>
          <t>Item No.</t>
        </is>
      </c>
      <c r="C135" s="249" t="inlineStr">
        <is>
          <t>Buyer No.</t>
        </is>
      </c>
      <c r="D135" s="249" t="inlineStr">
        <is>
          <t>Buyer PO</t>
        </is>
      </c>
      <c r="E135" s="249" t="inlineStr">
        <is>
          <t>IDD PO SERIAL#</t>
        </is>
      </c>
      <c r="F135" s="249" t="inlineStr">
        <is>
          <t>Metal</t>
        </is>
      </c>
      <c r="G135" s="249" t="inlineStr">
        <is>
          <t>Q'ty</t>
        </is>
      </c>
      <c r="H135" s="250" t="inlineStr">
        <is>
          <t>Total w't</t>
        </is>
      </c>
      <c r="I135" s="250" t="inlineStr">
        <is>
          <t>Dia w't</t>
        </is>
      </c>
      <c r="J135" s="250" t="inlineStr">
        <is>
          <t>Wire w't</t>
        </is>
      </c>
      <c r="K135" s="250" t="inlineStr">
        <is>
          <t>Gold w't</t>
        </is>
      </c>
      <c r="L135" s="251" t="inlineStr">
        <is>
          <t>Stone</t>
        </is>
      </c>
      <c r="M135" s="251" t="inlineStr">
        <is>
          <t>Color</t>
        </is>
      </c>
      <c r="N135" s="251" t="inlineStr">
        <is>
          <t>Stone Q'ty</t>
        </is>
      </c>
      <c r="O135" s="252" t="inlineStr">
        <is>
          <t>Labor</t>
        </is>
      </c>
      <c r="P135" s="253" t="inlineStr">
        <is>
          <t>Dia Carat</t>
        </is>
      </c>
      <c r="Q135" s="254" t="inlineStr">
        <is>
          <t>Extra Cost</t>
        </is>
      </c>
      <c r="R135" s="254" t="inlineStr">
        <is>
          <t>Dia Packaging Cost</t>
        </is>
      </c>
      <c r="S135" s="254" t="inlineStr">
        <is>
          <t>Dia Handling Cost</t>
        </is>
      </c>
      <c r="T135" s="254" t="inlineStr">
        <is>
          <t>Wire
Cost</t>
        </is>
      </c>
      <c r="U135" s="254" t="inlineStr">
        <is>
          <t>Plating Cost</t>
        </is>
      </c>
      <c r="V135" s="254" t="inlineStr">
        <is>
          <t>Stone
Cost</t>
        </is>
      </c>
      <c r="W135" s="254" t="inlineStr">
        <is>
          <t>Setting
Cost</t>
        </is>
      </c>
      <c r="X135" s="255" t="inlineStr">
        <is>
          <t>Labor
Cost</t>
        </is>
      </c>
      <c r="Y135" s="256" t="inlineStr">
        <is>
          <t>Gold &amp; 5%
Cost</t>
        </is>
      </c>
      <c r="Z135" s="255" t="inlineStr">
        <is>
          <t>Current Gold &amp;
5% Cost</t>
        </is>
      </c>
      <c r="AA135" s="269" t="n"/>
      <c r="AB135" s="269" t="n"/>
      <c r="AC135" s="269" t="n"/>
      <c r="AD135" s="269" t="n"/>
      <c r="AE135" s="269" t="n"/>
      <c r="AG135" s="270" t="n"/>
    </row>
    <row r="136" ht="83.25" customFormat="1" customHeight="1" s="257">
      <c r="A136" s="258" t="inlineStr">
        <is>
          <t>IDD250401RB-8-14K-NS</t>
        </is>
      </c>
      <c r="B136" s="259" t="inlineStr">
        <is>
          <t>K01655N03 16"+1"+1"</t>
        </is>
      </c>
      <c r="C136" s="259" t="inlineStr">
        <is>
          <t>FSP5017PLS8Y</t>
        </is>
      </c>
      <c r="D136" s="259" t="inlineStr">
        <is>
          <t>VPO#148550</t>
        </is>
      </c>
      <c r="E136" s="259" t="n">
        <v>106</v>
      </c>
      <c r="F136" s="259" t="inlineStr">
        <is>
          <t>14K YG</t>
        </is>
      </c>
      <c r="G136" s="260" t="n">
        <v>1</v>
      </c>
      <c r="H136" s="281" t="n">
        <v>2.09</v>
      </c>
      <c r="I136" s="281" t="n">
        <v>0.17</v>
      </c>
      <c r="J136" s="281" t="n"/>
      <c r="K136" s="282">
        <f>H136-I136-J136</f>
        <v/>
      </c>
      <c r="L136" s="263" t="inlineStr">
        <is>
          <t>1.00mm
1.10mm
Flower Cabachon 4 petal 8.00mm</t>
        </is>
      </c>
      <c r="M136" s="263" t="inlineStr">
        <is>
          <t>W
W
White MOP</t>
        </is>
      </c>
      <c r="N136" s="264" t="inlineStr">
        <is>
          <t>8pcs
8pcs
1pcs</t>
        </is>
      </c>
      <c r="O136" s="265">
        <f>7.5+2</f>
        <v/>
      </c>
      <c r="P136" s="266" t="n">
        <v>0.08</v>
      </c>
      <c r="Q136" s="267">
        <f>G136*1*30</f>
        <v/>
      </c>
      <c r="R136" s="267" t="n"/>
      <c r="S136" s="267">
        <f>G136*0.02*(8+8)</f>
        <v/>
      </c>
      <c r="T136" s="267" t="n"/>
      <c r="U136" s="267">
        <f>IF(RIGHT(F136,2)="WG",K136*$AB$4,IF(RIGHT(F136,3)="WRG",K136*$AB$4+3*G136,IF(RIGHT(F136,3)="WYG",K136*$AB$4+3*G136,IF(RIGHT(F136,3)="WYR",K136*$AB$4+3*G136,0))))</f>
        <v/>
      </c>
      <c r="V136" s="267" t="n"/>
      <c r="W136" s="267">
        <f>G136*(8*0.3+8*0.3)</f>
        <v/>
      </c>
      <c r="X136" s="267">
        <f>K136*O136</f>
        <v/>
      </c>
      <c r="Y136" s="267">
        <f>(Y134/31.1035*IF(LEFT(F136,3)="10K",(0.417*1.07*K136),IF(LEFT(F136,3)="14K",(0.585*1.05*K136),IF(LEFT(F136,3)="18K",(0.75*1.05*K136),0))))*0.5</f>
        <v/>
      </c>
      <c r="Z136" s="268">
        <f>($Z$134/31.1035*IF(LEFT(F136,3)="10K",(0.417*1.07*K136),IF(LEFT(F136,3)="14K",(0.585*1.05*K136),IF(LEFT(F136,3)="18K",(0.75*1.05*K136),0))))*0.5</f>
        <v/>
      </c>
      <c r="AA136" s="269">
        <f>2*K136</f>
        <v/>
      </c>
      <c r="AB136" s="269" t="n">
        <v>49.52</v>
      </c>
      <c r="AC136" s="269" t="n">
        <v>112.908889664412</v>
      </c>
      <c r="AD136" s="269" t="n">
        <v>162.428889664412</v>
      </c>
      <c r="AE136" s="269">
        <f>IF(LEFT(F136,3)="10K",(0.417*1.07*K136),IF(LEFT(F136,3)="14K",(0.585*1.05*K136),IF(LEFT(F136,3)="18K",(0.75*1.05*K136),0)))</f>
        <v/>
      </c>
      <c r="AG136" s="270">
        <f>X136</f>
        <v/>
      </c>
    </row>
    <row r="137" ht="16.5" customFormat="1" customHeight="1" s="271">
      <c r="A137" s="272" t="inlineStr">
        <is>
          <t>SUBTOTAL</t>
        </is>
      </c>
      <c r="B137" s="273" t="n"/>
      <c r="C137" s="273" t="n"/>
      <c r="D137" s="273" t="n"/>
      <c r="E137" s="273" t="n"/>
      <c r="F137" s="273" t="n"/>
      <c r="G137" s="274">
        <f>SUM(G136)</f>
        <v/>
      </c>
      <c r="H137" s="283" t="n"/>
      <c r="I137" s="283" t="n"/>
      <c r="J137" s="283" t="n"/>
      <c r="K137" s="283">
        <f>SUM(K136)</f>
        <v/>
      </c>
      <c r="L137" s="276" t="n"/>
      <c r="M137" s="276" t="n"/>
      <c r="N137" s="276" t="n"/>
      <c r="O137" s="277" t="n"/>
      <c r="P137" s="278">
        <f>SUM(P136)</f>
        <v/>
      </c>
      <c r="Q137" s="279">
        <f>SUM(Q136)</f>
        <v/>
      </c>
      <c r="R137" s="279">
        <f>SUM(R136)</f>
        <v/>
      </c>
      <c r="S137" s="279">
        <f>SUM(S136)</f>
        <v/>
      </c>
      <c r="T137" s="279">
        <f>SUM(T136)</f>
        <v/>
      </c>
      <c r="U137" s="279">
        <f>SUM(U136)</f>
        <v/>
      </c>
      <c r="V137" s="279">
        <f>SUM(V136)</f>
        <v/>
      </c>
      <c r="W137" s="279">
        <f>SUM(W136)</f>
        <v/>
      </c>
      <c r="X137" s="279">
        <f>SUM(X136)</f>
        <v/>
      </c>
      <c r="Y137" s="279">
        <f>SUM(Y136)</f>
        <v/>
      </c>
      <c r="Z137" s="280">
        <f>SUM(Z136)</f>
        <v/>
      </c>
      <c r="AA137" s="269" t="n"/>
      <c r="AB137" s="269" t="n"/>
      <c r="AC137" s="269" t="n"/>
      <c r="AD137" s="269" t="n"/>
      <c r="AE137" s="269" t="n"/>
      <c r="AG137" s="270" t="n"/>
    </row>
    <row r="138" ht="15.75" customHeight="1" s="240">
      <c r="A138" s="241" t="inlineStr">
        <is>
          <t>Buyer Dia</t>
        </is>
      </c>
      <c r="K138" s="242" t="n"/>
      <c r="L138" s="243" t="n"/>
      <c r="M138" s="243" t="n"/>
      <c r="N138" s="243" t="n"/>
      <c r="W138" s="244" t="n"/>
      <c r="X138" s="245" t="inlineStr">
        <is>
          <t>7th Apr London AM + 2%</t>
        </is>
      </c>
      <c r="Y138" s="246">
        <f>3025.1*1.02</f>
        <v/>
      </c>
      <c r="Z138" s="246">
        <f>3025.1*1.02</f>
        <v/>
      </c>
      <c r="AA138" s="269" t="n"/>
      <c r="AB138" s="269" t="n"/>
      <c r="AC138" s="269" t="n"/>
      <c r="AD138" s="269" t="n"/>
      <c r="AE138" s="269" t="n"/>
      <c r="AG138" s="270" t="n"/>
    </row>
    <row r="139" ht="27" customFormat="1" customHeight="1" s="247">
      <c r="A139" s="248" t="inlineStr">
        <is>
          <t>PO#</t>
        </is>
      </c>
      <c r="B139" s="249" t="inlineStr">
        <is>
          <t>Item No.</t>
        </is>
      </c>
      <c r="C139" s="249" t="inlineStr">
        <is>
          <t>Buyer No.</t>
        </is>
      </c>
      <c r="D139" s="249" t="inlineStr">
        <is>
          <t>Buyer PO</t>
        </is>
      </c>
      <c r="E139" s="249" t="inlineStr">
        <is>
          <t>IDD PO SERIAL#</t>
        </is>
      </c>
      <c r="F139" s="249" t="inlineStr">
        <is>
          <t>Metal</t>
        </is>
      </c>
      <c r="G139" s="249" t="inlineStr">
        <is>
          <t>Q'ty</t>
        </is>
      </c>
      <c r="H139" s="250" t="inlineStr">
        <is>
          <t>Total w't</t>
        </is>
      </c>
      <c r="I139" s="250" t="inlineStr">
        <is>
          <t>Dia w't</t>
        </is>
      </c>
      <c r="J139" s="250" t="inlineStr">
        <is>
          <t>Wire w't</t>
        </is>
      </c>
      <c r="K139" s="250" t="inlineStr">
        <is>
          <t>Gold w't</t>
        </is>
      </c>
      <c r="L139" s="251" t="inlineStr">
        <is>
          <t>Stone</t>
        </is>
      </c>
      <c r="M139" s="251" t="inlineStr">
        <is>
          <t>Color</t>
        </is>
      </c>
      <c r="N139" s="251" t="inlineStr">
        <is>
          <t>Stone Q'ty</t>
        </is>
      </c>
      <c r="O139" s="252" t="inlineStr">
        <is>
          <t>Labor</t>
        </is>
      </c>
      <c r="P139" s="253" t="inlineStr">
        <is>
          <t>Dia Carat</t>
        </is>
      </c>
      <c r="Q139" s="254" t="inlineStr">
        <is>
          <t>Extra Cost</t>
        </is>
      </c>
      <c r="R139" s="254" t="inlineStr">
        <is>
          <t>Dia Packaging Cost</t>
        </is>
      </c>
      <c r="S139" s="254" t="inlineStr">
        <is>
          <t>Dia Handling Cost</t>
        </is>
      </c>
      <c r="T139" s="254" t="inlineStr">
        <is>
          <t>Wire
Cost</t>
        </is>
      </c>
      <c r="U139" s="254" t="inlineStr">
        <is>
          <t>Plating Cost</t>
        </is>
      </c>
      <c r="V139" s="254" t="inlineStr">
        <is>
          <t>Stone
Cost</t>
        </is>
      </c>
      <c r="W139" s="254" t="inlineStr">
        <is>
          <t>Setting
Cost</t>
        </is>
      </c>
      <c r="X139" s="255" t="inlineStr">
        <is>
          <t>Labor
Cost</t>
        </is>
      </c>
      <c r="Y139" s="256" t="inlineStr">
        <is>
          <t>Gold &amp; 5%
Cost</t>
        </is>
      </c>
      <c r="Z139" s="255" t="inlineStr">
        <is>
          <t>Current Gold &amp;
5% Cost</t>
        </is>
      </c>
      <c r="AA139" s="269" t="n"/>
      <c r="AB139" s="269" t="n"/>
      <c r="AC139" s="269" t="n"/>
      <c r="AD139" s="269" t="n"/>
      <c r="AE139" s="269" t="n"/>
      <c r="AG139" s="270" t="n"/>
    </row>
    <row r="140" ht="27" customFormat="1" customHeight="1" s="257">
      <c r="A140" s="258" t="inlineStr">
        <is>
          <t>IDD250402RB-4-14K</t>
        </is>
      </c>
      <c r="B140" s="259" t="inlineStr">
        <is>
          <t>K0041B05 6.75"</t>
        </is>
      </c>
      <c r="C140" s="259" t="inlineStr">
        <is>
          <t>FSBG5012S8W</t>
        </is>
      </c>
      <c r="D140" s="259" t="n">
        <v>148587</v>
      </c>
      <c r="E140" s="259" t="n">
        <v>101</v>
      </c>
      <c r="F140" s="259" t="inlineStr">
        <is>
          <t>14K WG</t>
        </is>
      </c>
      <c r="G140" s="260" t="n">
        <v>1</v>
      </c>
      <c r="H140" s="281" t="n">
        <v>11.62</v>
      </c>
      <c r="I140" s="281" t="n">
        <v>0.5600000000000001</v>
      </c>
      <c r="J140" s="281" t="n">
        <v>0.32</v>
      </c>
      <c r="K140" s="282">
        <f>H140-I140-J140</f>
        <v/>
      </c>
      <c r="L140" s="263" t="n">
        <v>2.3</v>
      </c>
      <c r="M140" s="263" t="inlineStr">
        <is>
          <t>W</t>
        </is>
      </c>
      <c r="N140" s="264" t="n">
        <v>62</v>
      </c>
      <c r="O140" s="265">
        <f>8.5+2</f>
        <v/>
      </c>
      <c r="P140" s="266" t="n">
        <v>2.78</v>
      </c>
      <c r="Q140" s="267" t="n"/>
      <c r="R140" s="267" t="n"/>
      <c r="S140" s="267">
        <f>G140*0.02*N140</f>
        <v/>
      </c>
      <c r="T140" s="267">
        <f>G140*2.3</f>
        <v/>
      </c>
      <c r="U140" s="267">
        <f>IF(RIGHT(F140,2)="WG",K140*$AB$4,IF(RIGHT(F140,3)="WRG",K140*$AB$4+3*G140,IF(RIGHT(F140,3)="WYG",K140*$AB$4+3*G140,IF(RIGHT(F140,3)="WYR",K140*$AB$4+3*G140,0))))</f>
        <v/>
      </c>
      <c r="V140" s="267" t="n"/>
      <c r="W140" s="267">
        <f>G140*N140*0.3</f>
        <v/>
      </c>
      <c r="X140" s="267">
        <f>K140*O140</f>
        <v/>
      </c>
      <c r="Y140" s="267">
        <f>($Y$138/31.1035*IF(LEFT(F140,3)="10K",(0.417*1.07*K140),IF(LEFT(F140,3)="14K",(0.585*1.05*K140),IF(LEFT(F140,3)="18K",(0.75*1.05*K140),0))))*0.5</f>
        <v/>
      </c>
      <c r="Z140" s="268">
        <f>($Z$138/31.1035*IF(LEFT(F140,3)="10K",(0.417*1.07*K140),IF(LEFT(F140,3)="14K",(0.585*1.05*K140),IF(LEFT(F140,3)="18K",(0.75*1.05*K140),0))))*0.5</f>
        <v/>
      </c>
      <c r="AA140" s="269">
        <f>2*K140</f>
        <v/>
      </c>
      <c r="AB140" s="269" t="n">
        <v>116.0076</v>
      </c>
      <c r="AC140" s="269" t="n">
        <v>1447.81243583833</v>
      </c>
      <c r="AD140" s="269" t="n">
        <v>1563.82003583833</v>
      </c>
      <c r="AE140" s="269">
        <f>IF(LEFT(F140,3)="10K",(0.417*1.07*K140),IF(LEFT(F140,3)="14K",(0.585*1.05*K140),IF(LEFT(F140,3)="18K",(0.75*1.05*K140),0)))</f>
        <v/>
      </c>
      <c r="AG140" s="270">
        <f>X140</f>
        <v/>
      </c>
    </row>
    <row r="141" ht="54.75" customFormat="1" customHeight="1" s="257">
      <c r="A141" s="258" t="n">
        <v>2</v>
      </c>
      <c r="B141" s="259" t="inlineStr">
        <is>
          <t>K0252B01 OV H 6.50"</t>
        </is>
      </c>
      <c r="C141" s="259" t="inlineStr">
        <is>
          <t>FSBG5080S8Y</t>
        </is>
      </c>
      <c r="D141" s="259" t="inlineStr">
        <is>
          <t>148587</t>
        </is>
      </c>
      <c r="E141" s="259" t="n">
        <v>102</v>
      </c>
      <c r="F141" s="259" t="inlineStr">
        <is>
          <t>14K YG</t>
        </is>
      </c>
      <c r="G141" s="260" t="n">
        <v>1</v>
      </c>
      <c r="H141" s="281" t="n">
        <v>5.48</v>
      </c>
      <c r="I141" s="281" t="n">
        <v>0.16</v>
      </c>
      <c r="J141" s="281" t="n">
        <v>0.31</v>
      </c>
      <c r="K141" s="282">
        <f>H141-I141-J141</f>
        <v/>
      </c>
      <c r="L141" s="263" t="inlineStr">
        <is>
          <t>1.30mm
1.50mm
1.70mm
2.00mm</t>
        </is>
      </c>
      <c r="M141" s="263" t="inlineStr">
        <is>
          <t>W
W
W
W</t>
        </is>
      </c>
      <c r="N141" s="264" t="inlineStr">
        <is>
          <t>12pcs
14pcs
14pcs
7pcs</t>
        </is>
      </c>
      <c r="O141" s="265" t="n">
        <v>8.5</v>
      </c>
      <c r="P141" s="266" t="n">
        <v>0.8</v>
      </c>
      <c r="Q141" s="267" t="n"/>
      <c r="R141" s="267" t="n"/>
      <c r="S141" s="267">
        <f>G141*0.02*(12+14+14+7)</f>
        <v/>
      </c>
      <c r="T141" s="267">
        <f>G141*2.3</f>
        <v/>
      </c>
      <c r="U141" s="267">
        <f>IF(RIGHT(F141,2)="WG",K141*$AB$4,IF(RIGHT(F141,3)="WRG",K141*$AB$4+3*G141,IF(RIGHT(F141,3)="WYG",K141*$AB$4+3*G141,IF(RIGHT(F141,3)="WYR",K141*$AB$4+3*G141,0))))</f>
        <v/>
      </c>
      <c r="V141" s="267" t="n"/>
      <c r="W141" s="267">
        <f>G141*(12+14+14+7)*0.3</f>
        <v/>
      </c>
      <c r="X141" s="267">
        <f>K141*O141</f>
        <v/>
      </c>
      <c r="Y141" s="267">
        <f>($Y$138/31.1035*IF(LEFT(F141,3)="10K",(0.417*1.07*K141),IF(LEFT(F141,3)="14K",(0.585*1.05*K141),IF(LEFT(F141,3)="18K",(0.75*1.05*K141),0))))*0.5</f>
        <v/>
      </c>
      <c r="Z141" s="268">
        <f>($Z$138/31.1035*IF(LEFT(F141,3)="10K",(0.417*1.07*K141),IF(LEFT(F141,3)="14K",(0.585*1.05*K141),IF(LEFT(F141,3)="18K",(0.75*1.05*K141),0))))*0.5</f>
        <v/>
      </c>
      <c r="AA141" s="269">
        <f>2*K141</f>
        <v/>
      </c>
      <c r="AB141" s="269" t="n">
        <v>49.905</v>
      </c>
      <c r="AC141" s="269" t="n">
        <v>501.521956644122</v>
      </c>
      <c r="AD141" s="269" t="n">
        <v>551.426956644123</v>
      </c>
      <c r="AE141" s="269">
        <f>IF(LEFT(F141,3)="10K",(0.417*1.07*K141),IF(LEFT(F141,3)="14K",(0.585*1.05*K141),IF(LEFT(F141,3)="18K",(0.75*1.05*K141),0)))</f>
        <v/>
      </c>
      <c r="AG141" s="270">
        <f>X141</f>
        <v/>
      </c>
    </row>
    <row r="142" ht="41.25" customFormat="1" customHeight="1" s="257">
      <c r="A142" s="258" t="n">
        <v>4</v>
      </c>
      <c r="B142" s="259" t="inlineStr">
        <is>
          <t>K01135B03 OV H 6.25"</t>
        </is>
      </c>
      <c r="C142" s="259" t="inlineStr">
        <is>
          <t>FSBG5109S8Y-6B</t>
        </is>
      </c>
      <c r="D142" s="259" t="inlineStr">
        <is>
          <t>148587</t>
        </is>
      </c>
      <c r="E142" s="259" t="n">
        <v>104</v>
      </c>
      <c r="F142" s="259" t="inlineStr">
        <is>
          <t>14K YG</t>
        </is>
      </c>
      <c r="G142" s="260" t="n">
        <v>1</v>
      </c>
      <c r="H142" s="281" t="n">
        <v>9.460000000000001</v>
      </c>
      <c r="I142" s="281" t="n">
        <v>0.21</v>
      </c>
      <c r="J142" s="281" t="n">
        <v>0.3</v>
      </c>
      <c r="K142" s="282">
        <f>H142-I142-J142</f>
        <v/>
      </c>
      <c r="L142" s="263" t="inlineStr">
        <is>
          <t>1.60mm
1.70mm
1.80mm</t>
        </is>
      </c>
      <c r="M142" s="263" t="inlineStr">
        <is>
          <t>W
W
W</t>
        </is>
      </c>
      <c r="N142" s="264" t="inlineStr">
        <is>
          <t>8pcs
32pcs
12pcs</t>
        </is>
      </c>
      <c r="O142" s="265" t="n">
        <v>8.5</v>
      </c>
      <c r="P142" s="266" t="n">
        <v>1.04</v>
      </c>
      <c r="Q142" s="267" t="n"/>
      <c r="R142" s="267" t="n"/>
      <c r="S142" s="267">
        <f>G142*0.02*(8+32+12)</f>
        <v/>
      </c>
      <c r="T142" s="267">
        <f>G142*2.3</f>
        <v/>
      </c>
      <c r="U142" s="267">
        <f>IF(RIGHT(F142,2)="WG",K142*$AB$4,IF(RIGHT(F142,3)="WRG",K142*$AB$4+3*G142,IF(RIGHT(F142,3)="WYG",K142*$AB$4+3*G142,IF(RIGHT(F142,3)="WYR",K142*$AB$4+3*G142,0))))</f>
        <v/>
      </c>
      <c r="V142" s="267" t="n"/>
      <c r="W142" s="267">
        <f>G142*((8+12)*0.6+32*0.3)</f>
        <v/>
      </c>
      <c r="X142" s="267">
        <f>K142*O142</f>
        <v/>
      </c>
      <c r="Y142" s="267">
        <f>($Y$138/31.1035*IF(LEFT(F142,3)="10K",(0.417*1.07*K142),IF(LEFT(F142,3)="14K",(0.585*1.05*K142),IF(LEFT(F142,3)="18K",(0.75*1.05*K142),0))))*0.5</f>
        <v/>
      </c>
      <c r="Z142" s="268">
        <f>($Z$138/31.1035*IF(LEFT(F142,3)="10K",(0.417*1.07*K142),IF(LEFT(F142,3)="14K",(0.585*1.05*K142),IF(LEFT(F142,3)="18K",(0.75*1.05*K142),0))))*0.5</f>
        <v/>
      </c>
      <c r="AA142" s="269">
        <f>2*K142</f>
        <v/>
      </c>
      <c r="AB142" s="269" t="n">
        <v>83.11499999999999</v>
      </c>
      <c r="AC142" s="269" t="n">
        <v>759.757305637359</v>
      </c>
      <c r="AD142" s="269" t="n">
        <v>842.872305637359</v>
      </c>
      <c r="AE142" s="269">
        <f>IF(LEFT(F142,3)="10K",(0.417*1.07*K142),IF(LEFT(F142,3)="14K",(0.585*1.05*K142),IF(LEFT(F142,3)="18K",(0.75*1.05*K142),0)))</f>
        <v/>
      </c>
      <c r="AG142" s="270">
        <f>X142</f>
        <v/>
      </c>
    </row>
    <row r="143" ht="27" customFormat="1" customHeight="1" s="257">
      <c r="A143" s="258" t="n">
        <v>5</v>
      </c>
      <c r="B143" s="259" t="inlineStr">
        <is>
          <t>K0038B76 OV H 6.50"</t>
        </is>
      </c>
      <c r="C143" s="259" t="inlineStr">
        <is>
          <t>FSBG5135S8W-6C</t>
        </is>
      </c>
      <c r="D143" s="259" t="inlineStr">
        <is>
          <t>148587</t>
        </is>
      </c>
      <c r="E143" s="259" t="n">
        <v>105</v>
      </c>
      <c r="F143" s="259" t="inlineStr">
        <is>
          <t>14K WG</t>
        </is>
      </c>
      <c r="G143" s="260" t="n">
        <v>1</v>
      </c>
      <c r="H143" s="281" t="n">
        <v>15.74</v>
      </c>
      <c r="I143" s="281" t="n">
        <v>1.01</v>
      </c>
      <c r="J143" s="281" t="n">
        <v>0.43</v>
      </c>
      <c r="K143" s="282">
        <f>H143-I143-J143</f>
        <v/>
      </c>
      <c r="L143" s="263" t="n">
        <v>4</v>
      </c>
      <c r="M143" s="263" t="inlineStr">
        <is>
          <t>W</t>
        </is>
      </c>
      <c r="N143" s="264" t="n">
        <v>20</v>
      </c>
      <c r="O143" s="265">
        <f>8.5+2</f>
        <v/>
      </c>
      <c r="P143" s="266" t="n">
        <v>5.06</v>
      </c>
      <c r="Q143" s="267" t="n"/>
      <c r="R143" s="267" t="n"/>
      <c r="S143" s="267">
        <f>G143*0.02*N143</f>
        <v/>
      </c>
      <c r="T143" s="267">
        <f>G143*2.3</f>
        <v/>
      </c>
      <c r="U143" s="267">
        <f>IF(RIGHT(F143,2)="WG",K143*$AB$4,IF(RIGHT(F143,3)="WRG",K143*$AB$4+3*G143,IF(RIGHT(F143,3)="WYG",K143*$AB$4+3*G143,IF(RIGHT(F143,3)="WYR",K143*$AB$4+3*G143,0))))</f>
        <v/>
      </c>
      <c r="V143" s="267" t="n"/>
      <c r="W143" s="267">
        <f>G143*N143*0.75</f>
        <v/>
      </c>
      <c r="X143" s="267">
        <f>K143*O143</f>
        <v/>
      </c>
      <c r="Y143" s="267">
        <f>($Y$138/31.1035*IF(LEFT(F143,3)="10K",(0.417*1.07*K143),IF(LEFT(F143,3)="14K",(0.585*1.05*K143),IF(LEFT(F143,3)="18K",(0.75*1.05*K143),0))))*0.5</f>
        <v/>
      </c>
      <c r="Z143" s="268">
        <f>($Z$138/31.1035*IF(LEFT(F143,3)="10K",(0.417*1.07*K143),IF(LEFT(F143,3)="14K",(0.585*1.05*K143),IF(LEFT(F143,3)="18K",(0.75*1.05*K143),0))))*0.5</f>
        <v/>
      </c>
      <c r="AA143" s="269">
        <f>2*K143</f>
        <v/>
      </c>
      <c r="AB143" s="269" t="n">
        <v>142.682</v>
      </c>
      <c r="AC143" s="269" t="n">
        <v>2403.11363127407</v>
      </c>
      <c r="AD143" s="269" t="n">
        <v>2545.79563127407</v>
      </c>
      <c r="AE143" s="269">
        <f>IF(LEFT(F143,3)="10K",(0.417*1.07*K143),IF(LEFT(F143,3)="14K",(0.585*1.05*K143),IF(LEFT(F143,3)="18K",(0.75*1.05*K143),0)))</f>
        <v/>
      </c>
      <c r="AG143" s="270">
        <f>X143</f>
        <v/>
      </c>
    </row>
    <row r="144" ht="27" customFormat="1" customHeight="1" s="257">
      <c r="A144" s="258" t="n">
        <v>6</v>
      </c>
      <c r="B144" s="259" t="inlineStr">
        <is>
          <t>K0098B153 6.75"</t>
        </is>
      </c>
      <c r="C144" s="259" t="inlineStr">
        <is>
          <t>FSBG5148S8W</t>
        </is>
      </c>
      <c r="D144" s="259" t="n">
        <v>148587</v>
      </c>
      <c r="E144" s="259" t="n">
        <v>106</v>
      </c>
      <c r="F144" s="259" t="inlineStr">
        <is>
          <t>14K WG</t>
        </is>
      </c>
      <c r="G144" s="260" t="n">
        <v>2</v>
      </c>
      <c r="H144" s="281" t="n">
        <v>10.8</v>
      </c>
      <c r="I144" s="281" t="n">
        <v>0.12</v>
      </c>
      <c r="J144" s="281" t="n">
        <v>0.64</v>
      </c>
      <c r="K144" s="282">
        <f>H144-I144-J144</f>
        <v/>
      </c>
      <c r="L144" s="263" t="n">
        <v>2.5</v>
      </c>
      <c r="M144" s="263" t="inlineStr">
        <is>
          <t>W</t>
        </is>
      </c>
      <c r="N144" s="264" t="n">
        <v>5</v>
      </c>
      <c r="O144" s="265" t="n">
        <v>9.5</v>
      </c>
      <c r="P144" s="266" t="n">
        <v>0.61</v>
      </c>
      <c r="Q144" s="267" t="n"/>
      <c r="R144" s="267" t="n"/>
      <c r="S144" s="267">
        <f>G144*0.02*N144</f>
        <v/>
      </c>
      <c r="T144" s="267">
        <f>G144*2.3</f>
        <v/>
      </c>
      <c r="U144" s="267">
        <f>IF(RIGHT(F144,2)="WG",K144*$AB$4,IF(RIGHT(F144,3)="WRG",K144*$AB$4+3*G144,IF(RIGHT(F144,3)="WYG",K144*$AB$4+3*G144,IF(RIGHT(F144,3)="WYR",K144*$AB$4+3*G144,0))))</f>
        <v/>
      </c>
      <c r="V144" s="267" t="n"/>
      <c r="W144" s="267">
        <f>G144*N144*0.5</f>
        <v/>
      </c>
      <c r="X144" s="267">
        <f>K144*O144</f>
        <v/>
      </c>
      <c r="Y144" s="267">
        <f>($Y$138/31.1035*IF(LEFT(F144,3)="10K",(0.417*1.07*K144),IF(LEFT(F144,3)="14K",(0.585*1.05*K144),IF(LEFT(F144,3)="18K",(0.75*1.05*K144),0))))*0.5</f>
        <v/>
      </c>
      <c r="Z144" s="268">
        <f>($Z$138/31.1035*IF(LEFT(F144,3)="10K",(0.417*1.07*K144),IF(LEFT(F144,3)="14K",(0.585*1.05*K144),IF(LEFT(F144,3)="18K",(0.75*1.05*K144),0))))*0.5</f>
        <v/>
      </c>
      <c r="AA144" s="269">
        <f>2*K144</f>
        <v/>
      </c>
      <c r="AB144" s="269" t="n">
        <v>87.50960000000001</v>
      </c>
      <c r="AC144" s="269" t="n">
        <v>657.490683691143</v>
      </c>
      <c r="AD144" s="269" t="n">
        <v>745.000283691143</v>
      </c>
      <c r="AE144" s="269">
        <f>IF(LEFT(F144,3)="10K",(0.417*1.07*K144),IF(LEFT(F144,3)="14K",(0.585*1.05*K144),IF(LEFT(F144,3)="18K",(0.75*1.05*K144),0)))</f>
        <v/>
      </c>
      <c r="AG144" s="270">
        <f>X144</f>
        <v/>
      </c>
    </row>
    <row r="145" ht="27" customFormat="1" customHeight="1" s="257">
      <c r="A145" s="258" t="n">
        <v>6</v>
      </c>
      <c r="B145" s="259" t="inlineStr">
        <is>
          <t>K0098B153 6.75"</t>
        </is>
      </c>
      <c r="C145" s="259" t="inlineStr">
        <is>
          <t>FSBG5148S8Y</t>
        </is>
      </c>
      <c r="D145" s="259" t="n">
        <v>148587</v>
      </c>
      <c r="E145" s="259" t="n">
        <v>115</v>
      </c>
      <c r="F145" s="259" t="inlineStr">
        <is>
          <t>14K YG</t>
        </is>
      </c>
      <c r="G145" s="260" t="n">
        <v>4</v>
      </c>
      <c r="H145" s="281" t="n">
        <v>21.23</v>
      </c>
      <c r="I145" s="281" t="n">
        <v>0.24</v>
      </c>
      <c r="J145" s="281" t="n">
        <v>1.28</v>
      </c>
      <c r="K145" s="282">
        <f>H145-I145-J145</f>
        <v/>
      </c>
      <c r="L145" s="263" t="n">
        <v>2.5</v>
      </c>
      <c r="M145" s="263" t="inlineStr">
        <is>
          <t>W</t>
        </is>
      </c>
      <c r="N145" s="264" t="n">
        <v>5</v>
      </c>
      <c r="O145" s="265" t="n">
        <v>9.5</v>
      </c>
      <c r="P145" s="266" t="n">
        <v>1.2</v>
      </c>
      <c r="Q145" s="267" t="n"/>
      <c r="R145" s="267" t="n"/>
      <c r="S145" s="267">
        <f>G145*0.02*N145</f>
        <v/>
      </c>
      <c r="T145" s="267">
        <f>G145*2.3</f>
        <v/>
      </c>
      <c r="U145" s="267">
        <f>IF(RIGHT(F145,2)="WG",K145*$AB$4,IF(RIGHT(F145,3)="WRG",K145*$AB$4+3*G145,IF(RIGHT(F145,3)="WYG",K145*$AB$4+3*G145,IF(RIGHT(F145,3)="WYR",K145*$AB$4+3*G145,0))))</f>
        <v/>
      </c>
      <c r="V145" s="267" t="n"/>
      <c r="W145" s="267">
        <f>G145*N145*0.5</f>
        <v/>
      </c>
      <c r="X145" s="267">
        <f>K145*O145</f>
        <v/>
      </c>
      <c r="Y145" s="267">
        <f>($Y$138/31.1035*IF(LEFT(F145,3)="10K",(0.417*1.07*K145),IF(LEFT(F145,3)="14K",(0.585*1.05*K145),IF(LEFT(F145,3)="18K",(0.75*1.05*K145),0))))*0.5</f>
        <v/>
      </c>
      <c r="Z145" s="268">
        <f>($Z$138/31.1035*IF(LEFT(F145,3)="10K",(0.417*1.07*K145),IF(LEFT(F145,3)="14K",(0.585*1.05*K145),IF(LEFT(F145,3)="18K",(0.75*1.05*K145),0))))*0.5</f>
        <v/>
      </c>
      <c r="AA145" s="269">
        <f>2*K145</f>
        <v/>
      </c>
      <c r="AB145" s="269" t="n">
        <v>167.425</v>
      </c>
      <c r="AC145" s="269" t="n">
        <v>1291.61900496618</v>
      </c>
      <c r="AD145" s="269" t="n">
        <v>1459.04400496618</v>
      </c>
      <c r="AE145" s="269">
        <f>IF(LEFT(F145,3)="10K",(0.417*1.07*K145),IF(LEFT(F145,3)="14K",(0.585*1.05*K145),IF(LEFT(F145,3)="18K",(0.75*1.05*K145),0)))</f>
        <v/>
      </c>
      <c r="AG145" s="270">
        <f>X145</f>
        <v/>
      </c>
    </row>
    <row r="146" ht="27.75" customFormat="1" customHeight="1" s="257">
      <c r="A146" s="258" t="n">
        <v>13</v>
      </c>
      <c r="B146" s="259" t="inlineStr">
        <is>
          <t>K0038B59 6.75"</t>
        </is>
      </c>
      <c r="C146" s="259" t="inlineStr">
        <is>
          <t>FSBG5036S8W</t>
        </is>
      </c>
      <c r="D146" s="259" t="inlineStr">
        <is>
          <t>148587</t>
        </is>
      </c>
      <c r="E146" s="259" t="n">
        <v>116</v>
      </c>
      <c r="F146" s="259" t="inlineStr">
        <is>
          <t>14K WG</t>
        </is>
      </c>
      <c r="G146" s="260" t="n">
        <v>3</v>
      </c>
      <c r="H146" s="281" t="n">
        <v>17.94</v>
      </c>
      <c r="I146" s="281" t="n">
        <v>0.83</v>
      </c>
      <c r="J146" s="281" t="n">
        <v>0.96</v>
      </c>
      <c r="K146" s="282">
        <f>H146-I146-J146</f>
        <v/>
      </c>
      <c r="L146" s="263" t="n">
        <v>1.65</v>
      </c>
      <c r="M146" s="263" t="inlineStr">
        <is>
          <t>W</t>
        </is>
      </c>
      <c r="N146" s="264" t="n">
        <v>85</v>
      </c>
      <c r="O146" s="265" t="n">
        <v>8.5</v>
      </c>
      <c r="P146" s="266" t="n">
        <v>4.17</v>
      </c>
      <c r="Q146" s="267" t="n"/>
      <c r="R146" s="267" t="n"/>
      <c r="S146" s="267">
        <f>G146*0.02*N146</f>
        <v/>
      </c>
      <c r="T146" s="267">
        <f>G146*2.3</f>
        <v/>
      </c>
      <c r="U146" s="267">
        <f>IF(RIGHT(F146,2)="WG",K146*$AB$4,IF(RIGHT(F146,3)="WRG",K146*$AB$4+3*G146,IF(RIGHT(F146,3)="WYG",K146*$AB$4+3*G146,IF(RIGHT(F146,3)="WYR",K146*$AB$4+3*G146,0))))</f>
        <v/>
      </c>
      <c r="V146" s="267" t="n"/>
      <c r="W146" s="267">
        <f>G146*N146*0.3</f>
        <v/>
      </c>
      <c r="X146" s="267">
        <f>K146*O146</f>
        <v/>
      </c>
      <c r="Y146" s="267">
        <f>($Y$138/31.1035*IF(LEFT(F146,3)="10K",(0.417*1.07*K146),IF(LEFT(F146,3)="14K",(0.585*1.05*K146),IF(LEFT(F146,3)="18K",(0.75*1.05*K146),0))))*0.5</f>
        <v/>
      </c>
      <c r="Z146" s="268">
        <f>($Z$138/31.1035*IF(LEFT(F146,3)="10K",(0.417*1.07*K146),IF(LEFT(F146,3)="14K",(0.585*1.05*K146),IF(LEFT(F146,3)="18K",(0.75*1.05*K146),0))))*0.5</f>
        <v/>
      </c>
      <c r="AA146" s="269">
        <f>2*K146</f>
        <v/>
      </c>
      <c r="AB146" s="269" t="n">
        <v>197.351</v>
      </c>
      <c r="AC146" s="269" t="n">
        <v>2173.48769375749</v>
      </c>
      <c r="AD146" s="269" t="n">
        <v>2370.83869375749</v>
      </c>
      <c r="AE146" s="269">
        <f>IF(LEFT(F146,3)="10K",(0.417*1.07*K146),IF(LEFT(F146,3)="14K",(0.585*1.05*K146),IF(LEFT(F146,3)="18K",(0.75*1.05*K146),0)))</f>
        <v/>
      </c>
      <c r="AG146" s="270">
        <f>X146</f>
        <v/>
      </c>
    </row>
    <row r="147" ht="15.75" customFormat="1" customHeight="1" s="271">
      <c r="A147" s="272" t="inlineStr">
        <is>
          <t>SUBTOTAL</t>
        </is>
      </c>
      <c r="B147" s="273" t="n"/>
      <c r="C147" s="273" t="n"/>
      <c r="D147" s="273" t="n"/>
      <c r="E147" s="273" t="n"/>
      <c r="F147" s="273" t="n"/>
      <c r="G147" s="274">
        <f>SUM(G140:G146)</f>
        <v/>
      </c>
      <c r="H147" s="283" t="n"/>
      <c r="I147" s="283" t="n"/>
      <c r="J147" s="283" t="n"/>
      <c r="K147" s="283">
        <f>SUM(K140:K146)</f>
        <v/>
      </c>
      <c r="L147" s="276" t="n"/>
      <c r="M147" s="276" t="n"/>
      <c r="N147" s="276" t="n"/>
      <c r="O147" s="277" t="n"/>
      <c r="P147" s="278">
        <f>SUM(P140:P146)</f>
        <v/>
      </c>
      <c r="Q147" s="279">
        <f>SUM(Q140:Q146)</f>
        <v/>
      </c>
      <c r="R147" s="279">
        <f>SUM(R140:R146)</f>
        <v/>
      </c>
      <c r="S147" s="279">
        <f>SUM(S140:S146)</f>
        <v/>
      </c>
      <c r="T147" s="279">
        <f>SUM(T140:T146)</f>
        <v/>
      </c>
      <c r="U147" s="279">
        <f>SUM(U140:U146)</f>
        <v/>
      </c>
      <c r="V147" s="279">
        <f>SUM(V140:V146)</f>
        <v/>
      </c>
      <c r="W147" s="279">
        <f>SUM(W140:W146)</f>
        <v/>
      </c>
      <c r="X147" s="279">
        <f>SUM(X140:X146)</f>
        <v/>
      </c>
      <c r="Y147" s="279">
        <f>SUM(Y140:Y146)</f>
        <v/>
      </c>
      <c r="Z147" s="280">
        <f>SUM(Z140:Z146)</f>
        <v/>
      </c>
      <c r="AA147" s="269" t="n"/>
      <c r="AB147" s="269" t="n"/>
      <c r="AC147" s="269" t="n"/>
      <c r="AD147" s="269" t="n"/>
      <c r="AE147" s="269" t="n"/>
      <c r="AG147" s="270" t="n"/>
    </row>
    <row r="148" ht="15.75" customHeight="1" s="240">
      <c r="A148" s="241" t="inlineStr">
        <is>
          <t>Buyer Dia</t>
        </is>
      </c>
      <c r="K148" s="242" t="n"/>
      <c r="L148" s="243" t="n"/>
      <c r="M148" s="243" t="n"/>
      <c r="N148" s="243" t="n"/>
      <c r="W148" s="244" t="n"/>
      <c r="X148" s="245" t="inlineStr">
        <is>
          <t>3rd Apr London AM + 2%</t>
        </is>
      </c>
      <c r="Y148" s="246">
        <f>3128.15*1.02</f>
        <v/>
      </c>
      <c r="Z148" s="246">
        <f>3128.15*1.02</f>
        <v/>
      </c>
      <c r="AA148" s="269" t="n"/>
      <c r="AB148" s="269" t="n"/>
      <c r="AC148" s="269" t="n"/>
      <c r="AD148" s="269" t="n"/>
      <c r="AE148" s="269" t="n"/>
      <c r="AG148" s="270" t="n"/>
    </row>
    <row r="149" ht="27" customFormat="1" customHeight="1" s="247">
      <c r="A149" s="248" t="inlineStr">
        <is>
          <t>PO#</t>
        </is>
      </c>
      <c r="B149" s="249" t="inlineStr">
        <is>
          <t>Item No.</t>
        </is>
      </c>
      <c r="C149" s="249" t="inlineStr">
        <is>
          <t>Buyer No.</t>
        </is>
      </c>
      <c r="D149" s="249" t="inlineStr">
        <is>
          <t>Buyer PO</t>
        </is>
      </c>
      <c r="E149" s="249" t="inlineStr">
        <is>
          <t>IDD PO SERIAL#</t>
        </is>
      </c>
      <c r="F149" s="249" t="inlineStr">
        <is>
          <t>Metal</t>
        </is>
      </c>
      <c r="G149" s="249" t="inlineStr">
        <is>
          <t>Q'ty</t>
        </is>
      </c>
      <c r="H149" s="250" t="inlineStr">
        <is>
          <t>Total w't</t>
        </is>
      </c>
      <c r="I149" s="250" t="inlineStr">
        <is>
          <t>Dia w't</t>
        </is>
      </c>
      <c r="J149" s="250" t="inlineStr">
        <is>
          <t>Wire w't</t>
        </is>
      </c>
      <c r="K149" s="250" t="inlineStr">
        <is>
          <t>Gold w't</t>
        </is>
      </c>
      <c r="L149" s="251" t="inlineStr">
        <is>
          <t>Stone</t>
        </is>
      </c>
      <c r="M149" s="251" t="inlineStr">
        <is>
          <t>Color</t>
        </is>
      </c>
      <c r="N149" s="251" t="inlineStr">
        <is>
          <t>Stone Q'ty</t>
        </is>
      </c>
      <c r="O149" s="252" t="inlineStr">
        <is>
          <t>Labor</t>
        </is>
      </c>
      <c r="P149" s="253" t="inlineStr">
        <is>
          <t>Dia Carat</t>
        </is>
      </c>
      <c r="Q149" s="254" t="inlineStr">
        <is>
          <t>Extra Cost</t>
        </is>
      </c>
      <c r="R149" s="254" t="inlineStr">
        <is>
          <t>Dia Packaging Cost</t>
        </is>
      </c>
      <c r="S149" s="254" t="inlineStr">
        <is>
          <t>Dia Handling Cost</t>
        </is>
      </c>
      <c r="T149" s="254" t="inlineStr">
        <is>
          <t>Wire
Cost</t>
        </is>
      </c>
      <c r="U149" s="254" t="inlineStr">
        <is>
          <t>Plating Cost</t>
        </is>
      </c>
      <c r="V149" s="254" t="inlineStr">
        <is>
          <t>Stone
Cost</t>
        </is>
      </c>
      <c r="W149" s="254" t="inlineStr">
        <is>
          <t>Setting
Cost</t>
        </is>
      </c>
      <c r="X149" s="255" t="inlineStr">
        <is>
          <t>Labor
Cost</t>
        </is>
      </c>
      <c r="Y149" s="256" t="inlineStr">
        <is>
          <t>Gold &amp; 5%
Cost</t>
        </is>
      </c>
      <c r="Z149" s="255" t="inlineStr">
        <is>
          <t>Current Gold &amp;
5% Cost</t>
        </is>
      </c>
      <c r="AA149" s="269" t="n"/>
      <c r="AB149" s="269" t="n"/>
      <c r="AC149" s="269" t="n"/>
      <c r="AD149" s="269" t="n"/>
      <c r="AE149" s="269" t="n"/>
      <c r="AG149" s="270" t="n"/>
    </row>
    <row r="150" ht="27" customFormat="1" customHeight="1" s="257">
      <c r="A150" s="258" t="inlineStr">
        <is>
          <t>IDD250402RB-5-14K</t>
        </is>
      </c>
      <c r="B150" s="259" t="inlineStr">
        <is>
          <t>K01588B01 OV F 6.75"</t>
        </is>
      </c>
      <c r="C150" s="259" t="inlineStr">
        <is>
          <t>FSBG5182S8Y</t>
        </is>
      </c>
      <c r="D150" s="259" t="inlineStr">
        <is>
          <t>148588</t>
        </is>
      </c>
      <c r="E150" s="259" t="n">
        <v>102</v>
      </c>
      <c r="F150" s="259" t="inlineStr">
        <is>
          <t>14K YG</t>
        </is>
      </c>
      <c r="G150" s="260" t="n">
        <v>1</v>
      </c>
      <c r="H150" s="281" t="n">
        <v>7.28</v>
      </c>
      <c r="I150" s="281" t="n">
        <v>0.43</v>
      </c>
      <c r="J150" s="281" t="n">
        <v>0.32</v>
      </c>
      <c r="K150" s="282">
        <f>H150-I150-J150</f>
        <v/>
      </c>
      <c r="L150" s="263" t="inlineStr">
        <is>
          <t>1.90mm
2.00mm</t>
        </is>
      </c>
      <c r="M150" s="263" t="inlineStr">
        <is>
          <t>W
W</t>
        </is>
      </c>
      <c r="N150" s="264" t="inlineStr">
        <is>
          <t>62pcs
13pcs</t>
        </is>
      </c>
      <c r="O150" s="265">
        <f>9+2</f>
        <v/>
      </c>
      <c r="P150" s="266" t="n">
        <v>2.17</v>
      </c>
      <c r="Q150" s="267" t="n"/>
      <c r="R150" s="267" t="n"/>
      <c r="S150" s="267">
        <f>G150*0.02*(62+13)</f>
        <v/>
      </c>
      <c r="T150" s="267">
        <f>G150*2.3</f>
        <v/>
      </c>
      <c r="U150" s="267">
        <f>IF(RIGHT(F150,2)="WG",K150*$AB$4,IF(RIGHT(F150,3)="WRG",K150*$AB$4+3*G150,IF(RIGHT(F150,3)="WYG",K150*$AB$4+3*G150,IF(RIGHT(F150,3)="WYR",K150*$AB$4+3*G150,0))))</f>
        <v/>
      </c>
      <c r="V150" s="267" t="n"/>
      <c r="W150" s="267">
        <f>G150*(62*0.3+13*1)</f>
        <v/>
      </c>
      <c r="X150" s="267">
        <f>K150*O150</f>
        <v/>
      </c>
      <c r="Y150" s="267">
        <f>($Y$148/31.1035*IF(LEFT(F150,3)="10K",(0.417*1.07*K150),IF(LEFT(F150,3)="14K",(0.585*1.05*K150),IF(LEFT(F150,3)="18K",(0.75*1.05*K150),0))))*0.5</f>
        <v/>
      </c>
      <c r="Z150" s="268">
        <f>($Z$148/31.1035*IF(LEFT(F150,3)="10K",(0.417*1.07*K150),IF(LEFT(F150,3)="14K",(0.585*1.05*K150),IF(LEFT(F150,3)="18K",(0.75*1.05*K150),0))))*0.5</f>
        <v/>
      </c>
      <c r="AA150" s="269">
        <f>2*K150</f>
        <v/>
      </c>
      <c r="AB150" s="269" t="n">
        <v>94.17</v>
      </c>
      <c r="AC150" s="269" t="n">
        <v>1048.15933214718</v>
      </c>
      <c r="AD150" s="269" t="n">
        <v>1142.32933214718</v>
      </c>
      <c r="AE150" s="269">
        <f>IF(LEFT(F150,3)="10K",(0.417*1.07*K150),IF(LEFT(F150,3)="14K",(0.585*1.05*K150),IF(LEFT(F150,3)="18K",(0.75*1.05*K150),0)))</f>
        <v/>
      </c>
      <c r="AG150" s="270">
        <f>X150</f>
        <v/>
      </c>
    </row>
    <row r="151" ht="41.25" customFormat="1" customHeight="1" s="257">
      <c r="A151" s="258" t="n">
        <v>4</v>
      </c>
      <c r="B151" s="259" t="inlineStr">
        <is>
          <t>K01454N03 16"+1"+1"</t>
        </is>
      </c>
      <c r="C151" s="259" t="inlineStr">
        <is>
          <t>FSP5005GLS8Y</t>
        </is>
      </c>
      <c r="D151" s="259" t="inlineStr">
        <is>
          <t>148588</t>
        </is>
      </c>
      <c r="E151" s="259" t="n">
        <v>104</v>
      </c>
      <c r="F151" s="259" t="inlineStr">
        <is>
          <t>14K YG</t>
        </is>
      </c>
      <c r="G151" s="260" t="n">
        <v>1</v>
      </c>
      <c r="H151" s="281" t="n">
        <v>4.03</v>
      </c>
      <c r="I151" s="281" t="n">
        <v>0.01</v>
      </c>
      <c r="J151" s="281" t="n">
        <v>0.52</v>
      </c>
      <c r="K151" s="282">
        <f>H151-I151-J151</f>
        <v/>
      </c>
      <c r="L151" s="263" t="inlineStr">
        <is>
          <t>2.00mm
Round Flat 13.0mm</t>
        </is>
      </c>
      <c r="M151" s="263" t="inlineStr">
        <is>
          <t>W</t>
        </is>
      </c>
      <c r="N151" s="264" t="inlineStr">
        <is>
          <t>1pcs
1pcs</t>
        </is>
      </c>
      <c r="O151" s="265">
        <f>7.5+2</f>
        <v/>
      </c>
      <c r="P151" s="266" t="n">
        <v>0.03</v>
      </c>
      <c r="Q151" s="267">
        <f>G151*1*20</f>
        <v/>
      </c>
      <c r="R151" s="267" t="n"/>
      <c r="S151" s="267">
        <f>G151*0.02*1</f>
        <v/>
      </c>
      <c r="T151" s="267" t="n"/>
      <c r="U151" s="267">
        <f>IF(RIGHT(F151,2)="WG",K151*$AB$4,IF(RIGHT(F151,3)="WRG",K151*$AB$4+3*G151,IF(RIGHT(F151,3)="WYG",K151*$AB$4+3*G151,IF(RIGHT(F151,3)="WYR",K151*$AB$4+3*G151,0))))</f>
        <v/>
      </c>
      <c r="V151" s="267" t="n"/>
      <c r="W151" s="267">
        <f>G151*1*1</f>
        <v/>
      </c>
      <c r="X151" s="267">
        <f>K151*O151</f>
        <v/>
      </c>
      <c r="Y151" s="267">
        <f>($Y$148/31.1035*IF(LEFT(F151,3)="10K",(0.417*1.07*K151),IF(LEFT(F151,3)="14K",(0.585*1.05*K151),IF(LEFT(F151,3)="18K",(0.75*1.05*K151),0))))*0.5</f>
        <v/>
      </c>
      <c r="Z151" s="268">
        <f>($Z$148/31.1035*IF(LEFT(F151,3)="10K",(0.417*1.07*K151),IF(LEFT(F151,3)="14K",(0.585*1.05*K151),IF(LEFT(F151,3)="18K",(0.75*1.05*K151),0))))*0.5</f>
        <v/>
      </c>
      <c r="AA151" s="269">
        <f>2*K151</f>
        <v/>
      </c>
      <c r="AB151" s="269" t="n">
        <v>47.27</v>
      </c>
      <c r="AC151" s="269" t="n">
        <v>165.289113624155</v>
      </c>
      <c r="AD151" s="269" t="n">
        <v>212.559113624155</v>
      </c>
      <c r="AE151" s="269">
        <f>IF(LEFT(F151,3)="10K",(0.417*1.07*K151),IF(LEFT(F151,3)="14K",(0.585*1.05*K151),IF(LEFT(F151,3)="18K",(0.75*1.05*K151),0)))</f>
        <v/>
      </c>
      <c r="AG151" s="270">
        <f>X151</f>
        <v/>
      </c>
    </row>
    <row r="152" ht="13.5" customFormat="1" customHeight="1" s="257">
      <c r="A152" s="258" t="n">
        <v>13</v>
      </c>
      <c r="B152" s="259" t="inlineStr">
        <is>
          <t>K0725E02</t>
        </is>
      </c>
      <c r="C152" s="259" t="inlineStr">
        <is>
          <t>FSE5007S8Y</t>
        </is>
      </c>
      <c r="D152" s="259" t="n">
        <v>148588</v>
      </c>
      <c r="E152" s="259" t="n">
        <v>114</v>
      </c>
      <c r="F152" s="259" t="inlineStr">
        <is>
          <t>14K YG</t>
        </is>
      </c>
      <c r="G152" s="260" t="n">
        <v>1</v>
      </c>
      <c r="H152" s="281" t="n">
        <v>1.59</v>
      </c>
      <c r="I152" s="281" t="n">
        <v>0.05</v>
      </c>
      <c r="J152" s="281" t="n">
        <v>0</v>
      </c>
      <c r="K152" s="282">
        <f>H152-I152-J152</f>
        <v/>
      </c>
      <c r="L152" s="263" t="n">
        <v>1.9</v>
      </c>
      <c r="M152" s="263" t="inlineStr">
        <is>
          <t>W</t>
        </is>
      </c>
      <c r="N152" s="264" t="n">
        <v>8</v>
      </c>
      <c r="O152" s="265">
        <f>6+2</f>
        <v/>
      </c>
      <c r="P152" s="266" t="n">
        <v>0.25</v>
      </c>
      <c r="Q152" s="267">
        <f>G152*6.9</f>
        <v/>
      </c>
      <c r="R152" s="267" t="n"/>
      <c r="S152" s="267">
        <f>G152*0.02*N152</f>
        <v/>
      </c>
      <c r="T152" s="267" t="n"/>
      <c r="U152" s="267">
        <f>IF(RIGHT(F152,2)="WG",K152*$AB$4,IF(RIGHT(F152,3)="WRG",K152*$AB$4+3*G152,IF(RIGHT(F152,3)="WYG",K152*$AB$4+3*G152,IF(RIGHT(F152,3)="WYR",K152*$AB$4+3*G152,0))))</f>
        <v/>
      </c>
      <c r="V152" s="267" t="n"/>
      <c r="W152" s="267">
        <f>G152*N152*0.3</f>
        <v/>
      </c>
      <c r="X152" s="267">
        <f>K152*O152</f>
        <v/>
      </c>
      <c r="Y152" s="267">
        <f>($Y$148/31.1035*IF(LEFT(F152,3)="10K",(0.417*1.07*K152),IF(LEFT(F152,3)="14K",(0.585*1.05*K152),IF(LEFT(F152,3)="18K",(0.75*1.05*K152),0))))*0.5</f>
        <v/>
      </c>
      <c r="Z152" s="268">
        <f>($Z$148/31.1035*IF(LEFT(F152,3)="10K",(0.417*1.07*K152),IF(LEFT(F152,3)="14K",(0.585*1.05*K152),IF(LEFT(F152,3)="18K",(0.75*1.05*K152),0))))*0.5</f>
        <v/>
      </c>
      <c r="AA152" s="269">
        <f>2*K152</f>
        <v/>
      </c>
      <c r="AB152" s="269" t="n">
        <v>18.7</v>
      </c>
      <c r="AC152" s="269" t="n">
        <v>155.592320201288</v>
      </c>
      <c r="AD152" s="269" t="n">
        <v>174.292320201288</v>
      </c>
      <c r="AE152" s="269">
        <f>IF(LEFT(F152,3)="10K",(0.417*1.07*K152),IF(LEFT(F152,3)="14K",(0.585*1.05*K152),IF(LEFT(F152,3)="18K",(0.75*1.05*K152),0)))</f>
        <v/>
      </c>
      <c r="AG152" s="270">
        <f>X152</f>
        <v/>
      </c>
    </row>
    <row r="153" ht="27.75" customFormat="1" customHeight="1" s="257">
      <c r="A153" s="258" t="n">
        <v>17</v>
      </c>
      <c r="B153" s="259" t="inlineStr">
        <is>
          <t>K01494B04 OV H 6.75"</t>
        </is>
      </c>
      <c r="C153" s="259" t="inlineStr">
        <is>
          <t>FSBG5186S8W</t>
        </is>
      </c>
      <c r="D153" s="259" t="inlineStr">
        <is>
          <t>148588</t>
        </is>
      </c>
      <c r="E153" s="259" t="n">
        <v>118</v>
      </c>
      <c r="F153" s="259" t="inlineStr">
        <is>
          <t>14K WG</t>
        </is>
      </c>
      <c r="G153" s="260" t="n">
        <v>2</v>
      </c>
      <c r="H153" s="281" t="n">
        <v>15.19</v>
      </c>
      <c r="I153" s="281" t="n">
        <v>0.71</v>
      </c>
      <c r="J153" s="281" t="n">
        <v>0.64</v>
      </c>
      <c r="K153" s="282">
        <f>H153-I153-J153</f>
        <v/>
      </c>
      <c r="L153" s="263" t="n">
        <v>2.5</v>
      </c>
      <c r="M153" s="263" t="inlineStr">
        <is>
          <t>W</t>
        </is>
      </c>
      <c r="N153" s="264" t="n">
        <v>30</v>
      </c>
      <c r="O153" s="265" t="n">
        <v>9</v>
      </c>
      <c r="P153" s="266" t="n">
        <v>3.55</v>
      </c>
      <c r="Q153" s="267" t="n"/>
      <c r="R153" s="267" t="n"/>
      <c r="S153" s="267">
        <f>G153*0.02*N153</f>
        <v/>
      </c>
      <c r="T153" s="267">
        <f>G153*2.3</f>
        <v/>
      </c>
      <c r="U153" s="267">
        <f>IF(RIGHT(F153,2)="WG",K153*$AB$4,IF(RIGHT(F153,3)="WRG",K153*$AB$4+3*G153,IF(RIGHT(F153,3)="WYG",K153*$AB$4+3*G153,IF(RIGHT(F153,3)="WYR",K153*$AB$4+3*G153,0))))</f>
        <v/>
      </c>
      <c r="V153" s="267" t="n"/>
      <c r="W153" s="267">
        <f>G153*N153*0.5</f>
        <v/>
      </c>
      <c r="X153" s="267">
        <f>K153*O153</f>
        <v/>
      </c>
      <c r="Y153" s="267">
        <f>($Y$148/31.1035*IF(LEFT(F153,3)="10K",(0.417*1.07*K153),IF(LEFT(F153,3)="14K",(0.585*1.05*K153),IF(LEFT(F153,3)="18K",(0.75*1.05*K153),0))))*0.5</f>
        <v/>
      </c>
      <c r="Z153" s="268">
        <f>($Z$148/31.1035*IF(LEFT(F153,3)="10K",(0.417*1.07*K153),IF(LEFT(F153,3)="14K",(0.585*1.05*K153),IF(LEFT(F153,3)="18K",(0.75*1.05*K153),0))))*0.5</f>
        <v/>
      </c>
      <c r="AA153" s="269">
        <f>2*K153</f>
        <v/>
      </c>
      <c r="AB153" s="269" t="n">
        <v>136.0016</v>
      </c>
      <c r="AC153" s="269" t="n">
        <v>1854.36461885829</v>
      </c>
      <c r="AD153" s="269" t="n">
        <v>1990.36621885829</v>
      </c>
      <c r="AE153" s="269">
        <f>IF(LEFT(F153,3)="10K",(0.417*1.07*K153),IF(LEFT(F153,3)="14K",(0.585*1.05*K153),IF(LEFT(F153,3)="18K",(0.75*1.05*K153),0)))</f>
        <v/>
      </c>
      <c r="AG153" s="270">
        <f>X153</f>
        <v/>
      </c>
    </row>
    <row r="154" ht="15.75" customFormat="1" customHeight="1" s="271">
      <c r="A154" s="272" t="inlineStr">
        <is>
          <t>SUBTOTAL</t>
        </is>
      </c>
      <c r="B154" s="273" t="n"/>
      <c r="C154" s="273" t="n"/>
      <c r="D154" s="273" t="n"/>
      <c r="E154" s="273" t="n"/>
      <c r="F154" s="273" t="n"/>
      <c r="G154" s="274">
        <f>SUM(G150:G153)</f>
        <v/>
      </c>
      <c r="H154" s="283" t="n"/>
      <c r="I154" s="283" t="n"/>
      <c r="J154" s="283" t="n"/>
      <c r="K154" s="283">
        <f>SUM(K150:K153)</f>
        <v/>
      </c>
      <c r="L154" s="276" t="n"/>
      <c r="M154" s="276" t="n"/>
      <c r="N154" s="276" t="n"/>
      <c r="O154" s="277" t="n"/>
      <c r="P154" s="278">
        <f>SUM(P150:P153)</f>
        <v/>
      </c>
      <c r="Q154" s="279">
        <f>SUM(Q150:Q153)</f>
        <v/>
      </c>
      <c r="R154" s="279">
        <f>SUM(R150:R153)</f>
        <v/>
      </c>
      <c r="S154" s="279">
        <f>SUM(S150:S153)</f>
        <v/>
      </c>
      <c r="T154" s="279">
        <f>SUM(T150:T153)</f>
        <v/>
      </c>
      <c r="U154" s="279">
        <f>SUM(U150:U153)</f>
        <v/>
      </c>
      <c r="V154" s="279">
        <f>SUM(V150:V153)</f>
        <v/>
      </c>
      <c r="W154" s="279">
        <f>SUM(W150:W153)</f>
        <v/>
      </c>
      <c r="X154" s="279">
        <f>SUM(X150:X153)</f>
        <v/>
      </c>
      <c r="Y154" s="279">
        <f>SUM(Y150:Y153)</f>
        <v/>
      </c>
      <c r="Z154" s="280">
        <f>SUM(Z150:Z153)</f>
        <v/>
      </c>
      <c r="AA154" s="269" t="n"/>
      <c r="AB154" s="269" t="n"/>
      <c r="AC154" s="269" t="n"/>
      <c r="AD154" s="269" t="n"/>
      <c r="AE154" s="269" t="n"/>
      <c r="AG154" s="270" t="n"/>
    </row>
    <row r="155" ht="15.75" customHeight="1" s="240">
      <c r="A155" s="241" t="inlineStr">
        <is>
          <t>Mounting</t>
        </is>
      </c>
      <c r="K155" s="242" t="n"/>
      <c r="L155" s="243" t="n"/>
      <c r="M155" s="243" t="n"/>
      <c r="N155" s="243" t="n"/>
      <c r="W155" s="244" t="n"/>
      <c r="X155" s="245" t="inlineStr">
        <is>
          <t>16th Apr London AM + 2%</t>
        </is>
      </c>
      <c r="Y155" s="246">
        <f>1.02*3304.4</f>
        <v/>
      </c>
      <c r="Z155" s="246">
        <f>1.02*3304.4</f>
        <v/>
      </c>
      <c r="AA155" s="269" t="n"/>
      <c r="AB155" s="269" t="n"/>
      <c r="AC155" s="269" t="n"/>
      <c r="AD155" s="269" t="n"/>
      <c r="AE155" s="269" t="n"/>
      <c r="AG155" s="270" t="n"/>
    </row>
    <row r="156" ht="27" customFormat="1" customHeight="1" s="247">
      <c r="A156" s="248" t="inlineStr">
        <is>
          <t>PO#</t>
        </is>
      </c>
      <c r="B156" s="249" t="inlineStr">
        <is>
          <t>Item No.</t>
        </is>
      </c>
      <c r="C156" s="249" t="inlineStr">
        <is>
          <t>Buyer No.</t>
        </is>
      </c>
      <c r="D156" s="249" t="inlineStr">
        <is>
          <t>Buyer PO</t>
        </is>
      </c>
      <c r="E156" s="249" t="inlineStr">
        <is>
          <t>IDD PO SERIAL#</t>
        </is>
      </c>
      <c r="F156" s="249" t="inlineStr">
        <is>
          <t>Metal</t>
        </is>
      </c>
      <c r="G156" s="249" t="inlineStr">
        <is>
          <t>Q'ty</t>
        </is>
      </c>
      <c r="H156" s="250" t="inlineStr">
        <is>
          <t>Total w't</t>
        </is>
      </c>
      <c r="I156" s="250" t="inlineStr">
        <is>
          <t>Dia w't</t>
        </is>
      </c>
      <c r="J156" s="250" t="inlineStr">
        <is>
          <t>Wire w't</t>
        </is>
      </c>
      <c r="K156" s="250" t="inlineStr">
        <is>
          <t>Gold w't</t>
        </is>
      </c>
      <c r="L156" s="251" t="inlineStr">
        <is>
          <t>Stone</t>
        </is>
      </c>
      <c r="M156" s="251" t="inlineStr">
        <is>
          <t>Color</t>
        </is>
      </c>
      <c r="N156" s="251" t="inlineStr">
        <is>
          <t>Stone Q'ty</t>
        </is>
      </c>
      <c r="O156" s="252" t="inlineStr">
        <is>
          <t>Labor</t>
        </is>
      </c>
      <c r="P156" s="253" t="inlineStr">
        <is>
          <t>Dia Carat</t>
        </is>
      </c>
      <c r="Q156" s="254" t="inlineStr">
        <is>
          <t>Extra Cost</t>
        </is>
      </c>
      <c r="R156" s="254" t="inlineStr">
        <is>
          <t>Dia Packaging Cost</t>
        </is>
      </c>
      <c r="S156" s="254" t="inlineStr">
        <is>
          <t>Dia Handling Cost</t>
        </is>
      </c>
      <c r="T156" s="254" t="inlineStr">
        <is>
          <t>Wire
Cost</t>
        </is>
      </c>
      <c r="U156" s="254" t="inlineStr">
        <is>
          <t>Plating Cost</t>
        </is>
      </c>
      <c r="V156" s="254" t="inlineStr">
        <is>
          <t>Stone
Cost</t>
        </is>
      </c>
      <c r="W156" s="254" t="inlineStr">
        <is>
          <t>Setting
Cost</t>
        </is>
      </c>
      <c r="X156" s="255" t="inlineStr">
        <is>
          <t>Labor
Cost</t>
        </is>
      </c>
      <c r="Y156" s="256" t="inlineStr">
        <is>
          <t>Gold &amp; 5%
Cost</t>
        </is>
      </c>
      <c r="Z156" s="255" t="inlineStr">
        <is>
          <t>Current Gold &amp;
5% Cost</t>
        </is>
      </c>
      <c r="AA156" s="269" t="n"/>
      <c r="AB156" s="269" t="n"/>
      <c r="AC156" s="269" t="n"/>
      <c r="AD156" s="269" t="n"/>
      <c r="AE156" s="269" t="n"/>
      <c r="AG156" s="270" t="n"/>
    </row>
    <row r="157" ht="27" customFormat="1" customHeight="1" s="257">
      <c r="A157" s="258" t="inlineStr">
        <is>
          <t>IDD250411RM-1-14K</t>
        </is>
      </c>
      <c r="B157" s="259" t="inlineStr">
        <is>
          <t>K0098R41 #6.5-8.0</t>
        </is>
      </c>
      <c r="C157" s="259" t="inlineStr">
        <is>
          <t>FSR5024Y</t>
        </is>
      </c>
      <c r="D157" s="259" t="inlineStr">
        <is>
          <t>VPO#148656</t>
        </is>
      </c>
      <c r="E157" s="259" t="n">
        <v>103</v>
      </c>
      <c r="F157" s="259" t="inlineStr">
        <is>
          <t>14K YG</t>
        </is>
      </c>
      <c r="G157" s="260" t="n">
        <v>1</v>
      </c>
      <c r="H157" s="261" t="n">
        <v>2.8</v>
      </c>
      <c r="I157" s="261" t="n">
        <v>0</v>
      </c>
      <c r="J157" s="261" t="n">
        <v>0.16</v>
      </c>
      <c r="K157" s="262">
        <f>H157-I157-J157</f>
        <v/>
      </c>
      <c r="L157" s="263" t="n"/>
      <c r="M157" s="263" t="n"/>
      <c r="N157" s="264" t="n"/>
      <c r="O157" s="265">
        <f>10.5+2</f>
        <v/>
      </c>
      <c r="P157" s="266" t="n"/>
      <c r="Q157" s="267" t="n"/>
      <c r="R157" s="267" t="n"/>
      <c r="S157" s="267" t="n"/>
      <c r="T157" s="267">
        <f>G157*1.45</f>
        <v/>
      </c>
      <c r="U157" s="267" t="n"/>
      <c r="V157" s="267" t="n"/>
      <c r="W157" s="267" t="n"/>
      <c r="X157" s="267">
        <f>K157*O157</f>
        <v/>
      </c>
      <c r="Y157" s="267">
        <f>($Y$155/31.1035*IF(LEFT(F157,3)="10K",(0.417*1.07*K157),IF(LEFT(F157,3)="14K",(0.585*1.05*K157),IF(LEFT(F157,3)="18K",(0.75*1.05*K157),0))))*0.5</f>
        <v/>
      </c>
      <c r="Z157" s="268">
        <f>($Z$155/31.1035*IF(LEFT(F157,3)="10K",(0.417*1.07*K157),IF(LEFT(F157,3)="14K",(0.585*1.05*K157),IF(LEFT(F157,3)="18K",(0.75*1.05*K157),0))))*0.5</f>
        <v/>
      </c>
      <c r="AA157" s="269">
        <f>2*K157</f>
        <v/>
      </c>
      <c r="AB157" s="269" t="n">
        <v>29.17</v>
      </c>
      <c r="AC157" s="269" t="n">
        <v>116.75664</v>
      </c>
      <c r="AD157" s="269" t="n">
        <v>145.92664</v>
      </c>
      <c r="AE157" s="269">
        <f>IF(LEFT(F157,3)="10K",(0.417*1.07*K157),IF(LEFT(F157,3)="14K",(0.585*1.05*K157),IF(LEFT(F157,3)="18K",(0.75*1.05*K157),0)))</f>
        <v/>
      </c>
      <c r="AG157" s="270">
        <f>X157</f>
        <v/>
      </c>
    </row>
    <row r="158" ht="27" customFormat="1" customHeight="1" s="257">
      <c r="A158" s="258" t="n">
        <v>5</v>
      </c>
      <c r="B158" s="259" t="inlineStr">
        <is>
          <t>K02672B01 6.75"</t>
        </is>
      </c>
      <c r="C158" s="259" t="inlineStr">
        <is>
          <t>FSBG5381Y</t>
        </is>
      </c>
      <c r="D158" s="259" t="inlineStr">
        <is>
          <t>VPO#148656</t>
        </is>
      </c>
      <c r="E158" s="259" t="n">
        <v>105</v>
      </c>
      <c r="F158" s="259" t="inlineStr">
        <is>
          <t>14K YG</t>
        </is>
      </c>
      <c r="G158" s="260" t="n">
        <v>3</v>
      </c>
      <c r="H158" s="261" t="n">
        <v>24.8</v>
      </c>
      <c r="I158" s="261" t="n">
        <v>0</v>
      </c>
      <c r="J158" s="261" t="n">
        <v>0.96</v>
      </c>
      <c r="K158" s="262">
        <f>H158-I158-J158</f>
        <v/>
      </c>
      <c r="L158" s="263" t="n"/>
      <c r="M158" s="263" t="n"/>
      <c r="N158" s="264" t="n"/>
      <c r="O158" s="265" t="n">
        <v>9.5</v>
      </c>
      <c r="P158" s="266" t="n"/>
      <c r="Q158" s="267" t="n"/>
      <c r="R158" s="267" t="n"/>
      <c r="S158" s="267" t="n"/>
      <c r="T158" s="267">
        <f>G158*2.3</f>
        <v/>
      </c>
      <c r="U158" s="267" t="n"/>
      <c r="V158" s="267" t="n"/>
      <c r="W158" s="267" t="n"/>
      <c r="X158" s="267">
        <f>K158*O158</f>
        <v/>
      </c>
      <c r="Y158" s="267">
        <f>($Y$155/31.1035*IF(LEFT(F158,3)="10K",(0.417*1.07*K158),IF(LEFT(F158,3)="14K",(0.585*1.05*K158),IF(LEFT(F158,3)="18K",(0.75*1.05*K158),0))))*0.5</f>
        <v/>
      </c>
      <c r="Z158" s="268">
        <f>($Z$155/31.1035*IF(LEFT(F158,3)="10K",(0.417*1.07*K158),IF(LEFT(F158,3)="14K",(0.585*1.05*K158),IF(LEFT(F158,3)="18K",(0.75*1.05*K158),0))))*0.5</f>
        <v/>
      </c>
      <c r="AA158" s="269">
        <f>2*K158</f>
        <v/>
      </c>
      <c r="AB158" s="269" t="n">
        <v>185.7</v>
      </c>
      <c r="AC158" s="269" t="n">
        <v>1054.34784</v>
      </c>
      <c r="AD158" s="269" t="n">
        <v>1240.04784</v>
      </c>
      <c r="AE158" s="269">
        <f>IF(LEFT(F158,3)="10K",(0.417*1.07*K158),IF(LEFT(F158,3)="14K",(0.585*1.05*K158),IF(LEFT(F158,3)="18K",(0.75*1.05*K158),0)))</f>
        <v/>
      </c>
      <c r="AG158" s="270">
        <f>X158</f>
        <v/>
      </c>
    </row>
    <row r="159" ht="27" customFormat="1" customHeight="1" s="257">
      <c r="A159" s="258" t="n">
        <v>9</v>
      </c>
      <c r="B159" s="259" t="inlineStr">
        <is>
          <t>K02669B01 6.75"</t>
        </is>
      </c>
      <c r="C159" s="259" t="inlineStr">
        <is>
          <t>FSBG5383Y</t>
        </is>
      </c>
      <c r="D159" s="259" t="inlineStr">
        <is>
          <t>VPO#148656</t>
        </is>
      </c>
      <c r="E159" s="259" t="n">
        <v>110</v>
      </c>
      <c r="F159" s="259" t="inlineStr">
        <is>
          <t>14K YG</t>
        </is>
      </c>
      <c r="G159" s="260" t="n">
        <v>3</v>
      </c>
      <c r="H159" s="261" t="n">
        <v>28.27</v>
      </c>
      <c r="I159" s="261" t="n">
        <v>0</v>
      </c>
      <c r="J159" s="261" t="n">
        <v>0.96</v>
      </c>
      <c r="K159" s="262">
        <f>H159-I159-J159</f>
        <v/>
      </c>
      <c r="L159" s="263" t="n"/>
      <c r="M159" s="263" t="n"/>
      <c r="N159" s="264" t="n"/>
      <c r="O159" s="265" t="n">
        <v>9.5</v>
      </c>
      <c r="P159" s="266" t="n"/>
      <c r="Q159" s="267" t="n"/>
      <c r="R159" s="267" t="n"/>
      <c r="S159" s="267" t="n"/>
      <c r="T159" s="267">
        <f>G159*2.3</f>
        <v/>
      </c>
      <c r="U159" s="267" t="n"/>
      <c r="V159" s="267" t="n"/>
      <c r="W159" s="267" t="n"/>
      <c r="X159" s="267">
        <f>K159*O159</f>
        <v/>
      </c>
      <c r="Y159" s="267">
        <f>($Y$155/31.1035*IF(LEFT(F159,3)="10K",(0.417*1.07*K159),IF(LEFT(F159,3)="14K",(0.585*1.05*K159),IF(LEFT(F159,3)="18K",(0.75*1.05*K159),0))))*0.5</f>
        <v/>
      </c>
      <c r="Z159" s="268">
        <f>($Z$155/31.1035*IF(LEFT(F159,3)="10K",(0.417*1.07*K159),IF(LEFT(F159,3)="14K",(0.585*1.05*K159),IF(LEFT(F159,3)="18K",(0.75*1.05*K159),0))))*0.5</f>
        <v/>
      </c>
      <c r="AA159" s="269">
        <f>2*K159</f>
        <v/>
      </c>
      <c r="AB159" s="269" t="n">
        <v>211.725</v>
      </c>
      <c r="AC159" s="269" t="n">
        <v>1207.81206</v>
      </c>
      <c r="AD159" s="269" t="n">
        <v>1419.53706</v>
      </c>
      <c r="AE159" s="269">
        <f>IF(LEFT(F159,3)="10K",(0.417*1.07*K159),IF(LEFT(F159,3)="14K",(0.585*1.05*K159),IF(LEFT(F159,3)="18K",(0.75*1.05*K159),0)))</f>
        <v/>
      </c>
      <c r="AG159" s="270">
        <f>X159</f>
        <v/>
      </c>
    </row>
    <row r="160" ht="27" customFormat="1" customHeight="1" s="257">
      <c r="A160" s="258" t="n">
        <v>14</v>
      </c>
      <c r="B160" s="259" t="inlineStr">
        <is>
          <t>K02747B01 6.75"</t>
        </is>
      </c>
      <c r="C160" s="259" t="inlineStr">
        <is>
          <t>FSBG5394Y</t>
        </is>
      </c>
      <c r="D160" s="259" t="inlineStr">
        <is>
          <t>VPO#148656</t>
        </is>
      </c>
      <c r="E160" s="259" t="n">
        <v>115</v>
      </c>
      <c r="F160" s="259" t="inlineStr">
        <is>
          <t>14K YG</t>
        </is>
      </c>
      <c r="G160" s="260" t="n">
        <v>3</v>
      </c>
      <c r="H160" s="261" t="n">
        <v>24.08</v>
      </c>
      <c r="I160" s="261" t="n">
        <v>0</v>
      </c>
      <c r="J160" s="261" t="n">
        <v>0.96</v>
      </c>
      <c r="K160" s="262">
        <f>H160-I160-J160</f>
        <v/>
      </c>
      <c r="L160" s="263" t="n"/>
      <c r="M160" s="263" t="n"/>
      <c r="N160" s="264" t="n"/>
      <c r="O160" s="265" t="n">
        <v>9.5</v>
      </c>
      <c r="P160" s="266" t="n"/>
      <c r="Q160" s="267" t="n"/>
      <c r="R160" s="267" t="n"/>
      <c r="S160" s="267" t="n"/>
      <c r="T160" s="267">
        <f>G160*2.3</f>
        <v/>
      </c>
      <c r="U160" s="267" t="n"/>
      <c r="V160" s="267" t="n"/>
      <c r="W160" s="267" t="n"/>
      <c r="X160" s="267">
        <f>K160*O160</f>
        <v/>
      </c>
      <c r="Y160" s="267">
        <f>($Y$155/31.1035*IF(LEFT(F160,3)="10K",(0.417*1.07*K160),IF(LEFT(F160,3)="14K",(0.585*1.05*K160),IF(LEFT(F160,3)="18K",(0.75*1.05*K160),0))))*0.5</f>
        <v/>
      </c>
      <c r="Z160" s="268">
        <f>($Z$155/31.1035*IF(LEFT(F160,3)="10K",(0.417*1.07*K160),IF(LEFT(F160,3)="14K",(0.585*1.05*K160),IF(LEFT(F160,3)="18K",(0.75*1.05*K160),0))))*0.5</f>
        <v/>
      </c>
      <c r="AA160" s="269">
        <f>2*K160</f>
        <v/>
      </c>
      <c r="AB160" s="269" t="n">
        <v>180.3</v>
      </c>
      <c r="AC160" s="269" t="n">
        <v>1022.50512</v>
      </c>
      <c r="AD160" s="269" t="n">
        <v>1202.80512</v>
      </c>
      <c r="AE160" s="269">
        <f>IF(LEFT(F160,3)="10K",(0.417*1.07*K160),IF(LEFT(F160,3)="14K",(0.585*1.05*K160),IF(LEFT(F160,3)="18K",(0.75*1.05*K160),0)))</f>
        <v/>
      </c>
      <c r="AG160" s="270">
        <f>X160</f>
        <v/>
      </c>
    </row>
    <row r="161" ht="27.75" customFormat="1" customHeight="1" s="257">
      <c r="A161" s="258" t="n">
        <v>15</v>
      </c>
      <c r="B161" s="259" t="inlineStr">
        <is>
          <t>K0098B140 6.75"</t>
        </is>
      </c>
      <c r="C161" s="259" t="inlineStr">
        <is>
          <t>FSBG5232Y</t>
        </is>
      </c>
      <c r="D161" s="259" t="inlineStr">
        <is>
          <t>VPO#148656</t>
        </is>
      </c>
      <c r="E161" s="259" t="n">
        <v>116</v>
      </c>
      <c r="F161" s="259" t="inlineStr">
        <is>
          <t>14K YG</t>
        </is>
      </c>
      <c r="G161" s="260" t="n">
        <v>3</v>
      </c>
      <c r="H161" s="261" t="n">
        <v>14.91</v>
      </c>
      <c r="I161" s="261" t="n">
        <v>0</v>
      </c>
      <c r="J161" s="261" t="n">
        <v>0.96</v>
      </c>
      <c r="K161" s="262">
        <f>H161-I161-J161</f>
        <v/>
      </c>
      <c r="L161" s="263" t="n"/>
      <c r="M161" s="263" t="n"/>
      <c r="N161" s="264" t="n"/>
      <c r="O161" s="265" t="n">
        <v>9.5</v>
      </c>
      <c r="P161" s="266" t="n"/>
      <c r="Q161" s="267" t="n"/>
      <c r="R161" s="267" t="n"/>
      <c r="S161" s="267" t="n"/>
      <c r="T161" s="267">
        <f>G161*2.3</f>
        <v/>
      </c>
      <c r="U161" s="267" t="n"/>
      <c r="V161" s="267" t="n"/>
      <c r="W161" s="267" t="n"/>
      <c r="X161" s="267">
        <f>K161*O161</f>
        <v/>
      </c>
      <c r="Y161" s="267">
        <f>($Y$155/31.1035*IF(LEFT(F161,3)="10K",(0.417*1.07*K161),IF(LEFT(F161,3)="14K",(0.585*1.05*K161),IF(LEFT(F161,3)="18K",(0.75*1.05*K161),0))))*0.5</f>
        <v/>
      </c>
      <c r="Z161" s="268">
        <f>($Z$155/31.1035*IF(LEFT(F161,3)="10K",(0.417*1.07*K161),IF(LEFT(F161,3)="14K",(0.585*1.05*K161),IF(LEFT(F161,3)="18K",(0.75*1.05*K161),0))))*0.5</f>
        <v/>
      </c>
      <c r="AA161" s="269">
        <f>2*K161</f>
        <v/>
      </c>
      <c r="AB161" s="269" t="n">
        <v>111.525</v>
      </c>
      <c r="AC161" s="269" t="n">
        <v>616.9527</v>
      </c>
      <c r="AD161" s="269" t="n">
        <v>728.4777</v>
      </c>
      <c r="AE161" s="269">
        <f>IF(LEFT(F161,3)="10K",(0.417*1.07*K161),IF(LEFT(F161,3)="14K",(0.585*1.05*K161),IF(LEFT(F161,3)="18K",(0.75*1.05*K161),0)))</f>
        <v/>
      </c>
      <c r="AG161" s="270">
        <f>X161</f>
        <v/>
      </c>
    </row>
    <row r="162" ht="15.75" customFormat="1" customHeight="1" s="271">
      <c r="A162" s="272" t="inlineStr">
        <is>
          <t>SUBTOTAL</t>
        </is>
      </c>
      <c r="B162" s="273" t="n"/>
      <c r="C162" s="273" t="n"/>
      <c r="D162" s="273" t="n"/>
      <c r="E162" s="273" t="n"/>
      <c r="F162" s="273" t="n"/>
      <c r="G162" s="274">
        <f>SUM(G157:G161)</f>
        <v/>
      </c>
      <c r="H162" s="275" t="n"/>
      <c r="I162" s="275" t="n"/>
      <c r="J162" s="275" t="n"/>
      <c r="K162" s="275">
        <f>SUM(K157:K161)</f>
        <v/>
      </c>
      <c r="L162" s="276" t="n"/>
      <c r="M162" s="276" t="n"/>
      <c r="N162" s="276" t="n"/>
      <c r="O162" s="277" t="n"/>
      <c r="P162" s="278">
        <f>SUM(P157:P161)</f>
        <v/>
      </c>
      <c r="Q162" s="279">
        <f>SUM(Q157:Q161)</f>
        <v/>
      </c>
      <c r="R162" s="279">
        <f>SUM(R157:R161)</f>
        <v/>
      </c>
      <c r="S162" s="279">
        <f>SUM(S157:S161)</f>
        <v/>
      </c>
      <c r="T162" s="279">
        <f>SUM(T157:T161)</f>
        <v/>
      </c>
      <c r="U162" s="279">
        <f>SUM(U157:U161)</f>
        <v/>
      </c>
      <c r="V162" s="279">
        <f>SUM(V157:V161)</f>
        <v/>
      </c>
      <c r="W162" s="279">
        <f>SUM(W157:W161)</f>
        <v/>
      </c>
      <c r="X162" s="279">
        <f>SUM(X157:X161)</f>
        <v/>
      </c>
      <c r="Y162" s="279">
        <f>SUM(Y157:Y161)</f>
        <v/>
      </c>
      <c r="Z162" s="280">
        <f>SUM(Z157:Z161)</f>
        <v/>
      </c>
      <c r="AA162" s="269" t="n"/>
      <c r="AB162" s="269" t="n"/>
      <c r="AC162" s="269" t="n"/>
      <c r="AD162" s="269" t="n"/>
      <c r="AE162" s="269" t="n"/>
      <c r="AG162" s="270" t="n"/>
    </row>
    <row r="163" ht="15.75" customHeight="1" s="240">
      <c r="A163" s="241" t="inlineStr">
        <is>
          <t>Buyer Dia</t>
        </is>
      </c>
      <c r="K163" s="242" t="n"/>
      <c r="L163" s="243" t="n"/>
      <c r="M163" s="243" t="n"/>
      <c r="N163" s="243" t="n"/>
      <c r="W163" s="244" t="n"/>
      <c r="X163" s="245" t="inlineStr">
        <is>
          <t>21 Mar London AM + 2%</t>
        </is>
      </c>
      <c r="Y163" s="246">
        <f>1.02*3031.3</f>
        <v/>
      </c>
      <c r="Z163" s="246">
        <f>1.02*3031.3</f>
        <v/>
      </c>
      <c r="AA163" s="269" t="n"/>
      <c r="AB163" s="269" t="n"/>
      <c r="AC163" s="269" t="n"/>
      <c r="AD163" s="269" t="n"/>
      <c r="AE163" s="269" t="n"/>
      <c r="AG163" s="270" t="n"/>
    </row>
    <row r="164" ht="27" customFormat="1" customHeight="1" s="247">
      <c r="A164" s="248" t="inlineStr">
        <is>
          <t>PO#</t>
        </is>
      </c>
      <c r="B164" s="249" t="inlineStr">
        <is>
          <t>Item No.</t>
        </is>
      </c>
      <c r="C164" s="249" t="inlineStr">
        <is>
          <t>Buyer No.</t>
        </is>
      </c>
      <c r="D164" s="249" t="inlineStr">
        <is>
          <t>Buyer PO</t>
        </is>
      </c>
      <c r="E164" s="249" t="inlineStr">
        <is>
          <t>IDD PO SERIAL#</t>
        </is>
      </c>
      <c r="F164" s="249" t="inlineStr">
        <is>
          <t>Metal</t>
        </is>
      </c>
      <c r="G164" s="249" t="inlineStr">
        <is>
          <t>Q'ty</t>
        </is>
      </c>
      <c r="H164" s="250" t="inlineStr">
        <is>
          <t>Total w't</t>
        </is>
      </c>
      <c r="I164" s="250" t="inlineStr">
        <is>
          <t>Dia w't</t>
        </is>
      </c>
      <c r="J164" s="250" t="inlineStr">
        <is>
          <t>Wire w't</t>
        </is>
      </c>
      <c r="K164" s="250" t="inlineStr">
        <is>
          <t>Gold w't</t>
        </is>
      </c>
      <c r="L164" s="251" t="inlineStr">
        <is>
          <t>Stone</t>
        </is>
      </c>
      <c r="M164" s="251" t="inlineStr">
        <is>
          <t>Color</t>
        </is>
      </c>
      <c r="N164" s="251" t="inlineStr">
        <is>
          <t>Stone Q'ty</t>
        </is>
      </c>
      <c r="O164" s="252" t="inlineStr">
        <is>
          <t>Labor</t>
        </is>
      </c>
      <c r="P164" s="253" t="inlineStr">
        <is>
          <t>Dia Carat</t>
        </is>
      </c>
      <c r="Q164" s="254" t="inlineStr">
        <is>
          <t>Extra Cost</t>
        </is>
      </c>
      <c r="R164" s="254" t="inlineStr">
        <is>
          <t>Dia Packaging Cost</t>
        </is>
      </c>
      <c r="S164" s="254" t="inlineStr">
        <is>
          <t>Dia Handling Service Fee</t>
        </is>
      </c>
      <c r="T164" s="254" t="inlineStr">
        <is>
          <t>Wire
Cost</t>
        </is>
      </c>
      <c r="U164" s="254" t="inlineStr">
        <is>
          <t>Plating Cost</t>
        </is>
      </c>
      <c r="V164" s="254" t="inlineStr">
        <is>
          <t>Stone
Cost</t>
        </is>
      </c>
      <c r="W164" s="254" t="inlineStr">
        <is>
          <t>Setting
Cost</t>
        </is>
      </c>
      <c r="X164" s="255" t="inlineStr">
        <is>
          <t>Labor
Cost</t>
        </is>
      </c>
      <c r="Y164" s="256" t="inlineStr">
        <is>
          <t>Gold &amp; 5%
Cost</t>
        </is>
      </c>
      <c r="Z164" s="255" t="inlineStr">
        <is>
          <t>Current Gold &amp;
5% Cost</t>
        </is>
      </c>
      <c r="AA164" s="269" t="n"/>
      <c r="AB164" s="269" t="n"/>
      <c r="AC164" s="269" t="n"/>
      <c r="AD164" s="269" t="n"/>
      <c r="AE164" s="269" t="n"/>
      <c r="AG164" s="270" t="n"/>
    </row>
    <row r="165" ht="54.75" customFormat="1" customHeight="1" s="257">
      <c r="A165" s="258" t="inlineStr">
        <is>
          <t>IDD250312RB-3-14K</t>
        </is>
      </c>
      <c r="B165" s="259" t="inlineStr">
        <is>
          <t>K0098B147 6.50"</t>
        </is>
      </c>
      <c r="C165" s="259" t="inlineStr">
        <is>
          <t>FSBG5139S8W-6C</t>
        </is>
      </c>
      <c r="D165" s="259" t="n">
        <v>148259</v>
      </c>
      <c r="E165" s="259" t="n">
        <v>107</v>
      </c>
      <c r="F165" s="259" t="inlineStr">
        <is>
          <t>14K WG</t>
        </is>
      </c>
      <c r="G165" s="260" t="n">
        <v>1</v>
      </c>
      <c r="H165" s="261" t="n">
        <v>7.28</v>
      </c>
      <c r="I165" s="261" t="n">
        <v>0.15</v>
      </c>
      <c r="J165" s="261" t="n">
        <v>0.31</v>
      </c>
      <c r="K165" s="262">
        <f>H165-I165-J165</f>
        <v/>
      </c>
      <c r="L165" s="263" t="inlineStr">
        <is>
          <t>1.50mm
1.50mm
1.60mm
1.60mm</t>
        </is>
      </c>
      <c r="M165" s="263" t="inlineStr">
        <is>
          <t>W
W
W
W</t>
        </is>
      </c>
      <c r="N165" s="264" t="inlineStr">
        <is>
          <t>24pcs
4pcs
18pcs
3pcs</t>
        </is>
      </c>
      <c r="O165" s="265" t="n">
        <v>9.5</v>
      </c>
      <c r="P165" s="266" t="n">
        <v>0.75</v>
      </c>
      <c r="Q165" s="267" t="n"/>
      <c r="R165" s="267" t="n"/>
      <c r="S165" s="267">
        <f>0.02*(24+4+18+3)*G165</f>
        <v/>
      </c>
      <c r="T165" s="267">
        <f>2*G165</f>
        <v/>
      </c>
      <c r="U165" s="267">
        <f>IF(RIGHT(F165,2)="WG",K165*$AB$4,IF(RIGHT(F165,3)="WRG",K165*$AB$4+3*G165,IF(RIGHT(F165,3)="WYG",K165*$AB$4+3*G165,IF(RIGHT(F165,3)="WYR",K165*$AB$4+3*G165,0))))</f>
        <v/>
      </c>
      <c r="V165" s="267" t="n"/>
      <c r="W165" s="267">
        <f>((24+18)*0.6+(4+3)*0.5)*G165</f>
        <v/>
      </c>
      <c r="X165" s="267">
        <f>K165*O165</f>
        <v/>
      </c>
      <c r="Y165" s="267">
        <f>($Y$163/31.1035*IF(LEFT(F165,3)="10K",(0.417*1.07*K165),IF(LEFT(F165,3)="14K",(0.585*1.05*K165),IF(LEFT(F165,3)="18K",(0.75*1.05*K165),0))))*0.5</f>
        <v/>
      </c>
      <c r="Z165" s="268">
        <f>($Z$163/31.1035*IF(LEFT(F165,3)="10K",(0.417*1.07*K165),IF(LEFT(F165,3)="14K",(0.585*1.05*K165),IF(LEFT(F165,3)="18K",(0.75*1.05*K165),0))))*0.5</f>
        <v/>
      </c>
      <c r="AA165" s="269">
        <f>2*K165</f>
        <v/>
      </c>
      <c r="AB165" s="269" t="n">
        <v>84.46680000000001</v>
      </c>
      <c r="AC165" s="269" t="n">
        <v>564.074160603865</v>
      </c>
      <c r="AD165" s="269" t="n">
        <v>648.540960603865</v>
      </c>
      <c r="AE165" s="269">
        <f>IF(LEFT(F165,3)="10K",(0.417*1.07*K165),IF(LEFT(F165,3)="14K",(0.585*1.05*K165),IF(LEFT(F165,3)="18K",(0.75*1.05*K165),0)))</f>
        <v/>
      </c>
      <c r="AG165" s="270">
        <f>X165</f>
        <v/>
      </c>
    </row>
    <row r="166" ht="54.75" customFormat="1" customHeight="1" s="257">
      <c r="A166" s="258" t="n">
        <v>4</v>
      </c>
      <c r="B166" s="259" t="inlineStr">
        <is>
          <t>K0098B147 7.50"</t>
        </is>
      </c>
      <c r="C166" s="259" t="inlineStr">
        <is>
          <t>FSBG5139S8W-7C</t>
        </is>
      </c>
      <c r="D166" s="259" t="n">
        <v>148259</v>
      </c>
      <c r="E166" s="259" t="n">
        <v>110</v>
      </c>
      <c r="F166" s="259" t="inlineStr">
        <is>
          <t>14K WG</t>
        </is>
      </c>
      <c r="G166" s="260" t="n">
        <v>1</v>
      </c>
      <c r="H166" s="261" t="n">
        <v>7.83</v>
      </c>
      <c r="I166" s="261" t="n">
        <v>0.15</v>
      </c>
      <c r="J166" s="261" t="n">
        <v>0.36</v>
      </c>
      <c r="K166" s="262">
        <f>H166-I166-J166</f>
        <v/>
      </c>
      <c r="L166" s="263" t="inlineStr">
        <is>
          <t>1.50mm
1.50mm
1.60mm
1.60mm</t>
        </is>
      </c>
      <c r="M166" s="263" t="inlineStr">
        <is>
          <t>W
W
W
W</t>
        </is>
      </c>
      <c r="N166" s="264" t="inlineStr">
        <is>
          <t>24pcs
4pcs
18pcs
3pcs</t>
        </is>
      </c>
      <c r="O166" s="265" t="n">
        <v>9.5</v>
      </c>
      <c r="P166" s="266" t="n">
        <v>0.76</v>
      </c>
      <c r="Q166" s="267" t="n"/>
      <c r="R166" s="267" t="n"/>
      <c r="S166" s="267">
        <f>0.02*(24+4+18+3)*G166</f>
        <v/>
      </c>
      <c r="T166" s="267">
        <f>2*G166</f>
        <v/>
      </c>
      <c r="U166" s="267">
        <f>IF(RIGHT(F166,2)="WG",K166*$AB$4,IF(RIGHT(F166,3)="WRG",K166*$AB$4+3*G166,IF(RIGHT(F166,3)="WYG",K166*$AB$4+3*G166,IF(RIGHT(F166,3)="WYR",K166*$AB$4+3*G166,0))))</f>
        <v/>
      </c>
      <c r="V166" s="267" t="n"/>
      <c r="W166" s="267">
        <f>((24+18)*0.6+(4+3)*0.5)*G166</f>
        <v/>
      </c>
      <c r="X166" s="267">
        <f>K166*O166</f>
        <v/>
      </c>
      <c r="Y166" s="267">
        <f>($Y$163/31.1035*IF(LEFT(F166,3)="10K",(0.417*1.07*K166),IF(LEFT(F166,3)="14K",(0.585*1.05*K166),IF(LEFT(F166,3)="18K",(0.75*1.05*K166),0))))*0.5</f>
        <v/>
      </c>
      <c r="Z166" s="268">
        <f>($Z$163/31.1035*IF(LEFT(F166,3)="10K",(0.417*1.07*K166),IF(LEFT(F166,3)="14K",(0.585*1.05*K166),IF(LEFT(F166,3)="18K",(0.75*1.05*K166),0))))*0.5</f>
        <v/>
      </c>
      <c r="AA166" s="269">
        <f>2*K166</f>
        <v/>
      </c>
      <c r="AB166" s="269" t="n">
        <v>88.3368</v>
      </c>
      <c r="AC166" s="269" t="n">
        <v>589.686531811916</v>
      </c>
      <c r="AD166" s="269" t="n">
        <v>678.023331811916</v>
      </c>
      <c r="AE166" s="269">
        <f>IF(LEFT(F166,3)="10K",(0.417*1.07*K166),IF(LEFT(F166,3)="14K",(0.585*1.05*K166),IF(LEFT(F166,3)="18K",(0.75*1.05*K166),0)))</f>
        <v/>
      </c>
      <c r="AG166" s="270">
        <f>X166</f>
        <v/>
      </c>
    </row>
    <row r="167" ht="27.75" customFormat="1" customHeight="1" s="257">
      <c r="A167" s="258" t="n">
        <v>11</v>
      </c>
      <c r="B167" s="259" t="inlineStr">
        <is>
          <t>K01438B01 6.50"</t>
        </is>
      </c>
      <c r="C167" s="259" t="inlineStr">
        <is>
          <t>FSBG5142K6Y-6C</t>
        </is>
      </c>
      <c r="D167" s="259" t="n">
        <v>148259</v>
      </c>
      <c r="E167" s="259" t="n">
        <v>117</v>
      </c>
      <c r="F167" s="259" t="inlineStr">
        <is>
          <t>14K YG</t>
        </is>
      </c>
      <c r="G167" s="260" t="n">
        <v>1</v>
      </c>
      <c r="H167" s="261" t="n">
        <v>18.73</v>
      </c>
      <c r="I167" s="261" t="n">
        <v>0.15</v>
      </c>
      <c r="J167" s="261" t="n">
        <v>0.62</v>
      </c>
      <c r="K167" s="262">
        <f>H167-I167-J167</f>
        <v/>
      </c>
      <c r="L167" s="263" t="inlineStr">
        <is>
          <t>OV 3.75*2.80</t>
        </is>
      </c>
      <c r="M167" s="263" t="inlineStr">
        <is>
          <t>W</t>
        </is>
      </c>
      <c r="N167" s="264" t="n">
        <v>5</v>
      </c>
      <c r="O167" s="265" t="n">
        <v>10.5</v>
      </c>
      <c r="P167" s="266" t="n">
        <v>0.73</v>
      </c>
      <c r="Q167" s="267" t="n"/>
      <c r="R167" s="267" t="n"/>
      <c r="S167" s="267">
        <f>0.02*N167*G167</f>
        <v/>
      </c>
      <c r="T167" s="267">
        <f>4*G167</f>
        <v/>
      </c>
      <c r="U167" s="267">
        <f>IF(RIGHT(F167,2)="WG",K167*$AB$4,IF(RIGHT(F167,3)="WRG",K167*$AB$4+3*G167,IF(RIGHT(F167,3)="WYG",K167*$AB$4+3*G167,IF(RIGHT(F167,3)="WYR",K167*$AB$4+3*G167,0))))</f>
        <v/>
      </c>
      <c r="V167" s="267" t="n"/>
      <c r="W167" s="267">
        <f>G167*N167*3</f>
        <v/>
      </c>
      <c r="X167" s="267">
        <f>K167*O167</f>
        <v/>
      </c>
      <c r="Y167" s="267">
        <f>($Y$163/31.1035*IF(LEFT(F167,3)="10K",(0.417*1.07*K167),IF(LEFT(F167,3)="14K",(0.585*1.05*K167),IF(LEFT(F167,3)="18K",(0.75*1.05*K167),0))))*0.5</f>
        <v/>
      </c>
      <c r="Z167" s="268">
        <f>($Z$163/31.1035*IF(LEFT(F167,3)="10K",(0.417*1.07*K167),IF(LEFT(F167,3)="14K",(0.585*1.05*K167),IF(LEFT(F167,3)="18K",(0.75*1.05*K167),0))))*0.5</f>
        <v/>
      </c>
      <c r="AA167" s="269">
        <f>2*K167</f>
        <v/>
      </c>
      <c r="AB167" s="269" t="n">
        <v>171.76</v>
      </c>
      <c r="AC167" s="269" t="n">
        <v>1049.75305818776</v>
      </c>
      <c r="AD167" s="269" t="n">
        <v>1221.51305818776</v>
      </c>
      <c r="AE167" s="269">
        <f>IF(LEFT(F167,3)="10K",(0.417*1.07*K167),IF(LEFT(F167,3)="14K",(0.585*1.05*K167),IF(LEFT(F167,3)="18K",(0.75*1.05*K167),0)))</f>
        <v/>
      </c>
      <c r="AG167" s="270">
        <f>X167</f>
        <v/>
      </c>
    </row>
    <row r="168" ht="15.75" customFormat="1" customHeight="1" s="271">
      <c r="A168" s="272" t="inlineStr">
        <is>
          <t>SUBTOTAL</t>
        </is>
      </c>
      <c r="B168" s="273" t="n"/>
      <c r="C168" s="273" t="n"/>
      <c r="D168" s="273" t="n"/>
      <c r="E168" s="273" t="n"/>
      <c r="F168" s="273" t="n"/>
      <c r="G168" s="274">
        <f>SUM(G165:G167)</f>
        <v/>
      </c>
      <c r="H168" s="275" t="n"/>
      <c r="I168" s="275" t="n"/>
      <c r="J168" s="275" t="n"/>
      <c r="K168" s="275">
        <f>SUM(K165:K167)</f>
        <v/>
      </c>
      <c r="L168" s="276" t="n"/>
      <c r="M168" s="276" t="n"/>
      <c r="N168" s="276" t="n"/>
      <c r="O168" s="277" t="n"/>
      <c r="P168" s="278">
        <f>SUM(P165:P167)</f>
        <v/>
      </c>
      <c r="Q168" s="279">
        <f>SUM(Q165:Q167)</f>
        <v/>
      </c>
      <c r="R168" s="279">
        <f>SUM(R165:R167)</f>
        <v/>
      </c>
      <c r="S168" s="279">
        <f>SUM(S165:S167)</f>
        <v/>
      </c>
      <c r="T168" s="279">
        <f>SUM(T165:T167)</f>
        <v/>
      </c>
      <c r="U168" s="279">
        <f>SUM(U165:U167)</f>
        <v/>
      </c>
      <c r="V168" s="279">
        <f>SUM(V165:V167)</f>
        <v/>
      </c>
      <c r="W168" s="279">
        <f>SUM(W165:W167)</f>
        <v/>
      </c>
      <c r="X168" s="279">
        <f>SUM(X165:X167)</f>
        <v/>
      </c>
      <c r="Y168" s="279">
        <f>SUM(Y165:Y167)</f>
        <v/>
      </c>
      <c r="Z168" s="280">
        <f>SUM(Z165:Z167)</f>
        <v/>
      </c>
      <c r="AA168" s="269" t="n"/>
      <c r="AB168" s="269" t="n"/>
      <c r="AC168" s="269" t="n"/>
      <c r="AD168" s="269" t="n"/>
      <c r="AE168" s="269" t="n"/>
      <c r="AG168" s="270" t="n"/>
    </row>
    <row r="169" ht="15.75" customHeight="1" s="240">
      <c r="A169" s="241" t="inlineStr">
        <is>
          <t>Buyer Dia</t>
        </is>
      </c>
      <c r="K169" s="242" t="n"/>
      <c r="L169" s="243" t="n"/>
      <c r="M169" s="243" t="n"/>
      <c r="N169" s="243" t="n"/>
      <c r="W169" s="244" t="n"/>
      <c r="X169" s="245" t="inlineStr">
        <is>
          <t>19 Mar London AM + 2%</t>
        </is>
      </c>
      <c r="Y169" s="246">
        <f>3034*1.02</f>
        <v/>
      </c>
      <c r="Z169" s="246">
        <f>3034*1.02</f>
        <v/>
      </c>
      <c r="AA169" s="269" t="n"/>
      <c r="AB169" s="269" t="n"/>
      <c r="AC169" s="269" t="n"/>
      <c r="AD169" s="269" t="n"/>
      <c r="AE169" s="269" t="n"/>
      <c r="AG169" s="270" t="n"/>
    </row>
    <row r="170" ht="27" customFormat="1" customHeight="1" s="247">
      <c r="A170" s="248" t="inlineStr">
        <is>
          <t>PO#</t>
        </is>
      </c>
      <c r="B170" s="249" t="inlineStr">
        <is>
          <t>Item No.</t>
        </is>
      </c>
      <c r="C170" s="249" t="inlineStr">
        <is>
          <t>Buyer No.</t>
        </is>
      </c>
      <c r="D170" s="249" t="inlineStr">
        <is>
          <t>Buyer PO</t>
        </is>
      </c>
      <c r="E170" s="249" t="inlineStr">
        <is>
          <t>IDD PO SERIAL#</t>
        </is>
      </c>
      <c r="F170" s="249" t="inlineStr">
        <is>
          <t>Metal</t>
        </is>
      </c>
      <c r="G170" s="249" t="inlineStr">
        <is>
          <t>Q'ty</t>
        </is>
      </c>
      <c r="H170" s="250" t="inlineStr">
        <is>
          <t>Total w't</t>
        </is>
      </c>
      <c r="I170" s="250" t="inlineStr">
        <is>
          <t>Dia w't</t>
        </is>
      </c>
      <c r="J170" s="250" t="inlineStr">
        <is>
          <t>Wire w't</t>
        </is>
      </c>
      <c r="K170" s="250" t="inlineStr">
        <is>
          <t>Gold w't</t>
        </is>
      </c>
      <c r="L170" s="251" t="inlineStr">
        <is>
          <t>Stone</t>
        </is>
      </c>
      <c r="M170" s="251" t="inlineStr">
        <is>
          <t>Color</t>
        </is>
      </c>
      <c r="N170" s="251" t="inlineStr">
        <is>
          <t>Stone Q'ty</t>
        </is>
      </c>
      <c r="O170" s="252" t="inlineStr">
        <is>
          <t>Labor</t>
        </is>
      </c>
      <c r="P170" s="253" t="inlineStr">
        <is>
          <t>Dia Carat</t>
        </is>
      </c>
      <c r="Q170" s="254" t="inlineStr">
        <is>
          <t>Extra Cost</t>
        </is>
      </c>
      <c r="R170" s="254" t="inlineStr">
        <is>
          <t>Dia Packaging Cost</t>
        </is>
      </c>
      <c r="S170" s="254" t="inlineStr">
        <is>
          <t>Dia Handling Service Fee</t>
        </is>
      </c>
      <c r="T170" s="254" t="inlineStr">
        <is>
          <t>Wire
Cost</t>
        </is>
      </c>
      <c r="U170" s="254" t="inlineStr">
        <is>
          <t>Plating Cost</t>
        </is>
      </c>
      <c r="V170" s="254" t="inlineStr">
        <is>
          <t>Stone
Cost</t>
        </is>
      </c>
      <c r="W170" s="254" t="inlineStr">
        <is>
          <t>Setting
Cost</t>
        </is>
      </c>
      <c r="X170" s="255" t="inlineStr">
        <is>
          <t>Labor
Cost</t>
        </is>
      </c>
      <c r="Y170" s="256" t="inlineStr">
        <is>
          <t>Gold &amp; 5%
Cost</t>
        </is>
      </c>
      <c r="Z170" s="255" t="inlineStr">
        <is>
          <t>Current Gold &amp;
5% Cost</t>
        </is>
      </c>
      <c r="AA170" s="269" t="n"/>
      <c r="AB170" s="269" t="n"/>
      <c r="AC170" s="269" t="n"/>
      <c r="AD170" s="269" t="n"/>
      <c r="AE170" s="269" t="n"/>
      <c r="AG170" s="270" t="n"/>
    </row>
    <row r="171" ht="27" customFormat="1" customHeight="1" s="257">
      <c r="A171" s="258" t="inlineStr">
        <is>
          <t>IDD250312RB-5-14K</t>
        </is>
      </c>
      <c r="B171" s="259" t="inlineStr">
        <is>
          <t>K01678B07 6.50"</t>
        </is>
      </c>
      <c r="C171" s="259" t="inlineStr">
        <is>
          <t>FSBG5413S8W-6C</t>
        </is>
      </c>
      <c r="D171" s="259" t="n">
        <v>148261</v>
      </c>
      <c r="E171" s="259" t="n">
        <v>118</v>
      </c>
      <c r="F171" s="259" t="inlineStr">
        <is>
          <t>14K WG</t>
        </is>
      </c>
      <c r="G171" s="260" t="n">
        <v>3</v>
      </c>
      <c r="H171" s="281" t="n">
        <v>58.88</v>
      </c>
      <c r="I171" s="281" t="n">
        <v>2.33</v>
      </c>
      <c r="J171" s="281" t="n">
        <v>0.96</v>
      </c>
      <c r="K171" s="282">
        <f>H171-I171-J171</f>
        <v/>
      </c>
      <c r="L171" s="263" t="n">
        <v>2.55</v>
      </c>
      <c r="M171" s="263" t="inlineStr">
        <is>
          <t>W</t>
        </is>
      </c>
      <c r="N171" s="264" t="n">
        <v>64</v>
      </c>
      <c r="O171" s="265" t="n">
        <v>11</v>
      </c>
      <c r="P171" s="266" t="n">
        <v>11.67</v>
      </c>
      <c r="Q171" s="267" t="n"/>
      <c r="R171" s="267" t="n"/>
      <c r="S171" s="267">
        <f>0.02*N171*G171</f>
        <v/>
      </c>
      <c r="T171" s="267">
        <f>8*G171</f>
        <v/>
      </c>
      <c r="U171" s="267">
        <f>IF(RIGHT(F171,2)="WG",K171*$AB$4,IF(RIGHT(F171,3)="WRG",K171*$AB$4+3*G171,IF(RIGHT(F171,3)="WYG",K171*$AB$4+3*G171,IF(RIGHT(F171,3)="WYR",K171*$AB$4+3*G171,0))))</f>
        <v/>
      </c>
      <c r="V171" s="267" t="n"/>
      <c r="W171" s="267">
        <f>G171*N171*0.5</f>
        <v/>
      </c>
      <c r="X171" s="267">
        <f>K171*O171</f>
        <v/>
      </c>
      <c r="Y171" s="267">
        <f>($Y$169/31.1035*IF(LEFT(F171,3)="10K",(0.417*1.07*K171),IF(LEFT(F171,3)="14K",(0.585*1.05*K171),IF(LEFT(F171,3)="18K",(0.75*1.05*K171),0))))*0.5</f>
        <v/>
      </c>
      <c r="Z171" s="268">
        <f>($Z$169/31.1035*IF(LEFT(F171,3)="10K",(0.417*1.07*K171),IF(LEFT(F171,3)="14K",(0.585*1.05*K171),IF(LEFT(F171,3)="18K",(0.75*1.05*K171),0))))*0.5</f>
        <v/>
      </c>
      <c r="AA171" s="269">
        <f>2*K171</f>
        <v/>
      </c>
      <c r="AB171" s="269" t="n">
        <v>637.4915999999999</v>
      </c>
      <c r="AC171" s="269" t="n">
        <v>6542.28953979614</v>
      </c>
      <c r="AD171" s="269" t="n">
        <v>7179.78113979614</v>
      </c>
      <c r="AE171" s="269">
        <f>IF(LEFT(F171,3)="10K",(0.417*1.07*K171),IF(LEFT(F171,3)="14K",(0.585*1.05*K171),IF(LEFT(F171,3)="18K",(0.75*1.05*K171),0)))</f>
        <v/>
      </c>
      <c r="AG171" s="270">
        <f>X171</f>
        <v/>
      </c>
    </row>
    <row r="172" ht="27.75" customFormat="1" customHeight="1" s="257">
      <c r="A172" s="258" t="n">
        <v>12</v>
      </c>
      <c r="B172" s="259" t="inlineStr">
        <is>
          <t>K0098R41 #6.5-8.0</t>
        </is>
      </c>
      <c r="C172" s="259" t="inlineStr">
        <is>
          <t>FSR5024Y</t>
        </is>
      </c>
      <c r="D172" s="259" t="n">
        <v>148261</v>
      </c>
      <c r="E172" s="259" t="n">
        <v>120</v>
      </c>
      <c r="F172" s="259" t="inlineStr">
        <is>
          <t>14K YG</t>
        </is>
      </c>
      <c r="G172" s="260" t="n">
        <v>1</v>
      </c>
      <c r="H172" s="281" t="n">
        <v>2.27</v>
      </c>
      <c r="I172" s="281" t="n">
        <v>0</v>
      </c>
      <c r="J172" s="281" t="n">
        <v>0.16</v>
      </c>
      <c r="K172" s="282">
        <f>H172-I172-J172</f>
        <v/>
      </c>
      <c r="L172" s="263" t="n"/>
      <c r="M172" s="263" t="n"/>
      <c r="N172" s="264" t="n"/>
      <c r="O172" s="265" t="n">
        <v>12.5</v>
      </c>
      <c r="P172" s="266" t="n">
        <v>0</v>
      </c>
      <c r="Q172" s="267" t="n"/>
      <c r="R172" s="267" t="n"/>
      <c r="S172" s="267" t="n"/>
      <c r="T172" s="267">
        <f>1.5*G172</f>
        <v/>
      </c>
      <c r="U172" s="267">
        <f>IF(RIGHT(F172,2)="WG",K172*$AB$4,IF(RIGHT(F172,3)="WRG",K172*$AB$4+3*G172,IF(RIGHT(F172,3)="WYG",K172*$AB$4+3*G172,IF(RIGHT(F172,3)="WYR",K172*$AB$4+3*G172,0))))</f>
        <v/>
      </c>
      <c r="V172" s="267" t="n"/>
      <c r="W172" s="267" t="n"/>
      <c r="X172" s="267">
        <f>K172*O172</f>
        <v/>
      </c>
      <c r="Y172" s="267">
        <f>($Y$169/31.1035*IF(LEFT(F172,3)="10K",(0.417*1.07*K172),IF(LEFT(F172,3)="14K",(0.585*1.05*K172),IF(LEFT(F172,3)="18K",(0.75*1.05*K172),0))))*0.5</f>
        <v/>
      </c>
      <c r="Z172" s="268">
        <f>($Z$169/31.1035*IF(LEFT(F172,3)="10K",(0.417*1.07*K172),IF(LEFT(F172,3)="14K",(0.585*1.05*K172),IF(LEFT(F172,3)="18K",(0.75*1.05*K172),0))))*0.5</f>
        <v/>
      </c>
      <c r="AA172" s="269">
        <f>2*K172</f>
        <v/>
      </c>
      <c r="AB172" s="269" t="n">
        <v>23.655</v>
      </c>
      <c r="AC172" s="269" t="n">
        <v>93.31686000000001</v>
      </c>
      <c r="AD172" s="269" t="n">
        <v>116.97186</v>
      </c>
      <c r="AE172" s="269">
        <f>IF(LEFT(F172,3)="10K",(0.417*1.07*K172),IF(LEFT(F172,3)="14K",(0.585*1.05*K172),IF(LEFT(F172,3)="18K",(0.75*1.05*K172),0)))</f>
        <v/>
      </c>
      <c r="AG172" s="270">
        <f>X172</f>
        <v/>
      </c>
    </row>
    <row r="173" ht="15.75" customFormat="1" customHeight="1" s="271">
      <c r="A173" s="272" t="inlineStr">
        <is>
          <t>SUBTOTAL</t>
        </is>
      </c>
      <c r="B173" s="273" t="n"/>
      <c r="C173" s="273" t="n"/>
      <c r="D173" s="273" t="n"/>
      <c r="E173" s="273" t="n"/>
      <c r="F173" s="273" t="n"/>
      <c r="G173" s="274">
        <f>SUM(G171:G172)</f>
        <v/>
      </c>
      <c r="H173" s="283" t="n"/>
      <c r="I173" s="283" t="n"/>
      <c r="J173" s="283" t="n"/>
      <c r="K173" s="283">
        <f>SUM(K171:K172)</f>
        <v/>
      </c>
      <c r="L173" s="276" t="n"/>
      <c r="M173" s="276" t="n"/>
      <c r="N173" s="276" t="n"/>
      <c r="O173" s="277" t="n"/>
      <c r="P173" s="278">
        <f>SUM(P171:P172)</f>
        <v/>
      </c>
      <c r="Q173" s="279">
        <f>SUM(Q171:Q172)</f>
        <v/>
      </c>
      <c r="R173" s="279">
        <f>SUM(R171:R172)</f>
        <v/>
      </c>
      <c r="S173" s="279">
        <f>SUM(S171:S172)</f>
        <v/>
      </c>
      <c r="T173" s="279">
        <f>SUM(T171:T172)</f>
        <v/>
      </c>
      <c r="U173" s="279">
        <f>SUM(U171:U172)</f>
        <v/>
      </c>
      <c r="V173" s="279">
        <f>SUM(V171:V172)</f>
        <v/>
      </c>
      <c r="W173" s="279">
        <f>SUM(W171:W172)</f>
        <v/>
      </c>
      <c r="X173" s="279">
        <f>SUM(X171:X172)</f>
        <v/>
      </c>
      <c r="Y173" s="279">
        <f>SUM(Y171:Y172)</f>
        <v/>
      </c>
      <c r="Z173" s="280">
        <f>SUM(Z171:Z172)</f>
        <v/>
      </c>
      <c r="AA173" s="269" t="n"/>
      <c r="AB173" s="269" t="n"/>
      <c r="AC173" s="269" t="n"/>
      <c r="AD173" s="269" t="n"/>
      <c r="AE173" s="269" t="n"/>
      <c r="AG173" s="270" t="n"/>
    </row>
    <row r="174" ht="15.75" customHeight="1" s="240">
      <c r="A174" s="241" t="inlineStr">
        <is>
          <t>Buyer Dia</t>
        </is>
      </c>
      <c r="K174" s="242" t="n"/>
      <c r="L174" s="243" t="n"/>
      <c r="M174" s="243" t="n"/>
      <c r="N174" s="243" t="n"/>
      <c r="W174" s="244" t="n"/>
      <c r="X174" s="245" t="inlineStr">
        <is>
          <t>21 Mar London AM + 2%</t>
        </is>
      </c>
      <c r="Y174" s="246">
        <f>1.01*3031.3</f>
        <v/>
      </c>
      <c r="Z174" s="246">
        <f>1.01*3031.3</f>
        <v/>
      </c>
      <c r="AA174" s="269" t="n"/>
      <c r="AB174" s="269" t="n"/>
      <c r="AC174" s="269" t="n"/>
      <c r="AD174" s="269" t="n"/>
      <c r="AE174" s="269" t="n"/>
      <c r="AG174" s="270" t="n"/>
    </row>
    <row r="175" ht="27" customFormat="1" customHeight="1" s="247">
      <c r="A175" s="248" t="inlineStr">
        <is>
          <t>PO#</t>
        </is>
      </c>
      <c r="B175" s="249" t="inlineStr">
        <is>
          <t>Item No.</t>
        </is>
      </c>
      <c r="C175" s="249" t="inlineStr">
        <is>
          <t>Buyer No.</t>
        </is>
      </c>
      <c r="D175" s="249" t="inlineStr">
        <is>
          <t>Buyer PO</t>
        </is>
      </c>
      <c r="E175" s="249" t="inlineStr">
        <is>
          <t>IDD PO SERIAL#</t>
        </is>
      </c>
      <c r="F175" s="249" t="inlineStr">
        <is>
          <t>Metal</t>
        </is>
      </c>
      <c r="G175" s="249" t="inlineStr">
        <is>
          <t>Q'ty</t>
        </is>
      </c>
      <c r="H175" s="250" t="inlineStr">
        <is>
          <t>Total w't</t>
        </is>
      </c>
      <c r="I175" s="250" t="inlineStr">
        <is>
          <t>Dia w't</t>
        </is>
      </c>
      <c r="J175" s="250" t="inlineStr">
        <is>
          <t>Wire w't</t>
        </is>
      </c>
      <c r="K175" s="250" t="inlineStr">
        <is>
          <t>Gold w't</t>
        </is>
      </c>
      <c r="L175" s="251" t="inlineStr">
        <is>
          <t>Stone</t>
        </is>
      </c>
      <c r="M175" s="251" t="inlineStr">
        <is>
          <t>Color</t>
        </is>
      </c>
      <c r="N175" s="251" t="inlineStr">
        <is>
          <t>Stone Q'ty</t>
        </is>
      </c>
      <c r="O175" s="252" t="inlineStr">
        <is>
          <t>Labor</t>
        </is>
      </c>
      <c r="P175" s="253" t="inlineStr">
        <is>
          <t>Dia Carat</t>
        </is>
      </c>
      <c r="Q175" s="254" t="inlineStr">
        <is>
          <t>Extra Cost</t>
        </is>
      </c>
      <c r="R175" s="254" t="inlineStr">
        <is>
          <t>Dia Packaging Cost</t>
        </is>
      </c>
      <c r="S175" s="254" t="inlineStr">
        <is>
          <t>Dia Handling Service Fee</t>
        </is>
      </c>
      <c r="T175" s="254" t="inlineStr">
        <is>
          <t>Wire
Cost</t>
        </is>
      </c>
      <c r="U175" s="254" t="inlineStr">
        <is>
          <t>Plating Cost</t>
        </is>
      </c>
      <c r="V175" s="254" t="inlineStr">
        <is>
          <t>Stone
Cost</t>
        </is>
      </c>
      <c r="W175" s="254" t="inlineStr">
        <is>
          <t>Setting
Cost</t>
        </is>
      </c>
      <c r="X175" s="255" t="inlineStr">
        <is>
          <t>Labor
Cost</t>
        </is>
      </c>
      <c r="Y175" s="256" t="inlineStr">
        <is>
          <t>Gold &amp; 5%
Cost</t>
        </is>
      </c>
      <c r="Z175" s="255" t="inlineStr">
        <is>
          <t>Current Gold &amp;
5% Cost</t>
        </is>
      </c>
      <c r="AA175" s="269" t="n"/>
      <c r="AB175" s="269" t="n"/>
      <c r="AC175" s="269" t="n"/>
      <c r="AD175" s="269" t="n"/>
      <c r="AE175" s="269" t="n"/>
      <c r="AG175" s="270" t="n"/>
    </row>
    <row r="176" ht="82.5" customFormat="1" customHeight="1" s="257">
      <c r="A176" s="258" t="inlineStr">
        <is>
          <t>IDD250313RB-2-14K</t>
        </is>
      </c>
      <c r="B176" s="259" t="inlineStr">
        <is>
          <t>K0098B525 6.75"</t>
        </is>
      </c>
      <c r="C176" s="259" t="inlineStr">
        <is>
          <t>FSBG5288K6YW</t>
        </is>
      </c>
      <c r="D176" s="259" t="n">
        <v>148278</v>
      </c>
      <c r="E176" s="259" t="n">
        <v>108</v>
      </c>
      <c r="F176" s="259" t="inlineStr">
        <is>
          <t>14K WYG</t>
        </is>
      </c>
      <c r="G176" s="260" t="n">
        <v>1</v>
      </c>
      <c r="H176" s="261" t="n">
        <v>6.38</v>
      </c>
      <c r="I176" s="261" t="n">
        <v>0.08</v>
      </c>
      <c r="J176" s="261" t="n">
        <v>0.32</v>
      </c>
      <c r="K176" s="262">
        <f>H176-I176-J176</f>
        <v/>
      </c>
      <c r="L176" s="263" t="inlineStr">
        <is>
          <t>1.10mm
1.50mm
BT 2.20*1.50
BT 3.70*1.70</t>
        </is>
      </c>
      <c r="M176" s="263" t="inlineStr">
        <is>
          <t>W
W
W
W</t>
        </is>
      </c>
      <c r="N176" s="263" t="inlineStr">
        <is>
          <t>6pcs
8pcs
2pcs
3pcs</t>
        </is>
      </c>
      <c r="O176" s="265" t="n">
        <v>9.5</v>
      </c>
      <c r="P176" s="266" t="n">
        <v>0.4</v>
      </c>
      <c r="Q176" s="267" t="n"/>
      <c r="R176" s="267" t="n"/>
      <c r="S176" s="267">
        <f>0.02*(6+8+2+3)*G176</f>
        <v/>
      </c>
      <c r="T176" s="267">
        <f>2*G176</f>
        <v/>
      </c>
      <c r="U176" s="267">
        <f>IF(RIGHT(F176,2)="WG",K176*$AB$4,IF(RIGHT(F176,3)="WRG",K176*$AB$4+3*G176,IF(RIGHT(F176,3)="WYG",K176*$AB$4+3*G176,IF(RIGHT(F176,3)="WYR",K176*$AB$4+3*G176,0))))</f>
        <v/>
      </c>
      <c r="V176" s="267" t="n"/>
      <c r="W176" s="267">
        <f>((6+8)*0.3+(1.5*2)+(3*3))*G176</f>
        <v/>
      </c>
      <c r="X176" s="267">
        <f>K176*O176</f>
        <v/>
      </c>
      <c r="Y176" s="267">
        <f>($Y$174/31.1035*IF(LEFT(F176,3)="10K",(0.417*1.07*K176),IF(LEFT(F176,3)="14K",(0.585*1.05*K176),IF(LEFT(F176,3)="18K",(0.75*1.05*K176),0))))*0.5</f>
        <v/>
      </c>
      <c r="Z176" s="268">
        <f>($Z$174/31.1035*IF(LEFT(F176,3)="10K",(0.417*1.07*K176),IF(LEFT(F176,3)="14K",(0.585*1.05*K176),IF(LEFT(F176,3)="18K",(0.75*1.05*K176),0))))*0.5</f>
        <v/>
      </c>
      <c r="AA176" s="269">
        <f>2*K176</f>
        <v/>
      </c>
      <c r="AB176" s="269" t="n">
        <v>67.8652</v>
      </c>
      <c r="AC176" s="269" t="n">
        <v>404.446328322061</v>
      </c>
      <c r="AD176" s="269" t="n">
        <v>472.311528322061</v>
      </c>
      <c r="AE176" s="269">
        <f>IF(LEFT(F176,3)="10K",(0.417*1.07*K176),IF(LEFT(F176,3)="14K",(0.585*1.05*K176),IF(LEFT(F176,3)="18K",(0.75*1.05*K176),0)))</f>
        <v/>
      </c>
      <c r="AG176" s="270">
        <f>X176</f>
        <v/>
      </c>
    </row>
    <row r="177" ht="27" customFormat="1" customHeight="1" s="257">
      <c r="A177" s="258" t="n">
        <v>12</v>
      </c>
      <c r="B177" s="259" t="inlineStr">
        <is>
          <t>K01678B07 6.50"</t>
        </is>
      </c>
      <c r="C177" s="259" t="inlineStr">
        <is>
          <t>FSBG5413S8W-6C</t>
        </is>
      </c>
      <c r="D177" s="259" t="n">
        <v>148278</v>
      </c>
      <c r="E177" s="259" t="n">
        <v>112</v>
      </c>
      <c r="F177" s="259" t="inlineStr">
        <is>
          <t>14K WG</t>
        </is>
      </c>
      <c r="G177" s="260" t="n">
        <v>1</v>
      </c>
      <c r="H177" s="261" t="n">
        <v>20.38</v>
      </c>
      <c r="I177" s="261" t="n">
        <v>0.77</v>
      </c>
      <c r="J177" s="261" t="n">
        <v>0.32</v>
      </c>
      <c r="K177" s="262">
        <f>H177-I177-J177</f>
        <v/>
      </c>
      <c r="L177" s="263" t="n">
        <v>2.55</v>
      </c>
      <c r="M177" s="263" t="inlineStr">
        <is>
          <t>W</t>
        </is>
      </c>
      <c r="N177" s="264" t="n">
        <v>64</v>
      </c>
      <c r="O177" s="265" t="n">
        <v>13</v>
      </c>
      <c r="P177" s="266" t="n">
        <v>3.87</v>
      </c>
      <c r="Q177" s="267" t="n"/>
      <c r="R177" s="267" t="n"/>
      <c r="S177" s="267">
        <f>0.02*N177*G177</f>
        <v/>
      </c>
      <c r="T177" s="267">
        <f>8*G177</f>
        <v/>
      </c>
      <c r="U177" s="267">
        <f>IF(RIGHT(F177,2)="WG",K177*$AB$4,IF(RIGHT(F177,3)="WRG",K177*$AB$4+3*G177,IF(RIGHT(F177,3)="WYG",K177*$AB$4+3*G177,IF(RIGHT(F177,3)="WYR",K177*$AB$4+3*G177,0))))</f>
        <v/>
      </c>
      <c r="V177" s="267" t="n"/>
      <c r="W177" s="267">
        <f>G177*N177*0.5</f>
        <v/>
      </c>
      <c r="X177" s="267">
        <f>K177*O177</f>
        <v/>
      </c>
      <c r="Y177" s="267">
        <f>($Y$174/31.1035*IF(LEFT(F177,3)="10K",(0.417*1.07*K177),IF(LEFT(F177,3)="14K",(0.585*1.05*K177),IF(LEFT(F177,3)="18K",(0.75*1.05*K177),0))))*0.5</f>
        <v/>
      </c>
      <c r="Z177" s="268">
        <f>($Z$174/31.1035*IF(LEFT(F177,3)="10K",(0.417*1.07*K177),IF(LEFT(F177,3)="14K",(0.585*1.05*K177),IF(LEFT(F177,3)="18K",(0.75*1.05*K177),0))))*0.5</f>
        <v/>
      </c>
      <c r="AA177" s="269">
        <f>2*K177</f>
        <v/>
      </c>
      <c r="AB177" s="269" t="n">
        <v>258.0996</v>
      </c>
      <c r="AC177" s="269" t="n">
        <v>2207.37619751594</v>
      </c>
      <c r="AD177" s="269" t="n">
        <v>2465.47579751594</v>
      </c>
      <c r="AE177" s="269">
        <f>IF(LEFT(F177,3)="10K",(0.417*1.07*K177),IF(LEFT(F177,3)="14K",(0.585*1.05*K177),IF(LEFT(F177,3)="18K",(0.75*1.05*K177),0)))</f>
        <v/>
      </c>
      <c r="AG177" s="270">
        <f>X177</f>
        <v/>
      </c>
    </row>
    <row r="178" ht="69" customFormat="1" customHeight="1" s="257">
      <c r="A178" s="258" t="n">
        <v>13</v>
      </c>
      <c r="B178" s="259" t="inlineStr">
        <is>
          <t>K0107R133 #6.5-8.0</t>
        </is>
      </c>
      <c r="C178" s="259" t="inlineStr">
        <is>
          <t>FSR5018K5W</t>
        </is>
      </c>
      <c r="D178" s="259" t="n">
        <v>148278</v>
      </c>
      <c r="E178" s="259" t="n">
        <v>114</v>
      </c>
      <c r="F178" s="259" t="inlineStr">
        <is>
          <t>14K WG</t>
        </is>
      </c>
      <c r="G178" s="260" t="n">
        <v>2</v>
      </c>
      <c r="H178" s="261" t="n">
        <v>8.51</v>
      </c>
      <c r="I178" s="261" t="n">
        <v>0.32</v>
      </c>
      <c r="J178" s="261" t="n">
        <v>0.36</v>
      </c>
      <c r="K178" s="262">
        <f>H178-I178-J178</f>
        <v/>
      </c>
      <c r="L178" s="263" t="inlineStr">
        <is>
          <t>1.10mm
EM 3.55*2.45
EM 4.45*3.25</t>
        </is>
      </c>
      <c r="M178" s="263" t="inlineStr">
        <is>
          <t>W
W
W</t>
        </is>
      </c>
      <c r="N178" s="264" t="inlineStr">
        <is>
          <t>34pcs
2pcs
1pcs</t>
        </is>
      </c>
      <c r="O178" s="265" t="n">
        <v>10</v>
      </c>
      <c r="P178" s="266" t="n">
        <v>1.58</v>
      </c>
      <c r="Q178" s="267" t="n"/>
      <c r="R178" s="267" t="n"/>
      <c r="S178" s="267">
        <f>0.02*(34+2+1)*G178</f>
        <v/>
      </c>
      <c r="T178" s="267">
        <f>4*G178</f>
        <v/>
      </c>
      <c r="U178" s="267">
        <f>IF(RIGHT(F178,2)="WG",K178*$AB$4,IF(RIGHT(F178,3)="WRG",K178*$AB$4+3*G178,IF(RIGHT(F178,3)="WYG",K178*$AB$4+3*G178,IF(RIGHT(F178,3)="WYR",K178*$AB$4+3*G178,0))))</f>
        <v/>
      </c>
      <c r="V178" s="267" t="n"/>
      <c r="W178" s="267">
        <f>((0.3*34)+(2+1)*3)*G178</f>
        <v/>
      </c>
      <c r="X178" s="267">
        <f>K178*O178</f>
        <v/>
      </c>
      <c r="Y178" s="267">
        <f>($Y$174/31.1035*IF(LEFT(F178,3)="10K",(0.417*1.07*K178),IF(LEFT(F178,3)="14K",(0.585*1.05*K178),IF(LEFT(F178,3)="18K",(0.75*1.05*K178),0))))*0.5</f>
        <v/>
      </c>
      <c r="Z178" s="268">
        <f>($Z$174/31.1035*IF(LEFT(F178,3)="10K",(0.417*1.07*K178),IF(LEFT(F178,3)="14K",(0.585*1.05*K178),IF(LEFT(F178,3)="18K",(0.75*1.05*K178),0))))*0.5</f>
        <v/>
      </c>
      <c r="AA178" s="269">
        <f>2*K178</f>
        <v/>
      </c>
      <c r="AB178" s="269" t="n">
        <v>112.3992</v>
      </c>
      <c r="AC178" s="269" t="n">
        <v>899.190230872142</v>
      </c>
      <c r="AD178" s="269" t="n">
        <v>1011.58943087214</v>
      </c>
      <c r="AE178" s="269">
        <f>IF(LEFT(F178,3)="10K",(0.417*1.07*K178),IF(LEFT(F178,3)="14K",(0.585*1.05*K178),IF(LEFT(F178,3)="18K",(0.75*1.05*K178),0)))</f>
        <v/>
      </c>
      <c r="AG178" s="270">
        <f>X178</f>
        <v/>
      </c>
    </row>
    <row r="179" ht="96" customFormat="1" customHeight="1" s="257">
      <c r="A179" s="258" t="n">
        <v>16</v>
      </c>
      <c r="B179" s="259" t="inlineStr">
        <is>
          <t>K0098B326 6.75"</t>
        </is>
      </c>
      <c r="C179" s="259" t="inlineStr">
        <is>
          <t>FSBG5203K6W</t>
        </is>
      </c>
      <c r="D179" s="259" t="n">
        <v>148278</v>
      </c>
      <c r="E179" s="259" t="n">
        <v>117</v>
      </c>
      <c r="F179" s="259" t="inlineStr">
        <is>
          <t>14K WG</t>
        </is>
      </c>
      <c r="G179" s="260" t="n">
        <v>2</v>
      </c>
      <c r="H179" s="261" t="n">
        <v>12.73</v>
      </c>
      <c r="I179" s="261" t="n">
        <v>0.25</v>
      </c>
      <c r="J179" s="261" t="n">
        <v>0.64</v>
      </c>
      <c r="K179" s="262">
        <f>H179-I179-J179</f>
        <v/>
      </c>
      <c r="L179" s="263" t="inlineStr">
        <is>
          <t>1.10mm
1.20mm
3.10mm
BT 2.20*1.10
BT 3.70*1.70</t>
        </is>
      </c>
      <c r="M179" s="263" t="inlineStr">
        <is>
          <t>W
W
W
W
W</t>
        </is>
      </c>
      <c r="N179" s="264" t="inlineStr">
        <is>
          <t>4pcs
3pcs
3pcs
2pcs
3pcs</t>
        </is>
      </c>
      <c r="O179" s="265" t="n">
        <v>9.5</v>
      </c>
      <c r="P179" s="266" t="n">
        <v>1.255</v>
      </c>
      <c r="Q179" s="267" t="n"/>
      <c r="R179" s="267" t="n"/>
      <c r="S179" s="267">
        <f>0.02*(4+3+3+2+3)*G179</f>
        <v/>
      </c>
      <c r="T179" s="267">
        <f>2*G179</f>
        <v/>
      </c>
      <c r="U179" s="267">
        <f>IF(RIGHT(F179,2)="WG",K179*$AB$4,IF(RIGHT(F179,3)="WRG",K179*$AB$4+3*G179,IF(RIGHT(F179,3)="WYG",K179*$AB$4+3*G179,IF(RIGHT(F179,3)="WYR",K179*$AB$4+3*G179,0))))</f>
        <v/>
      </c>
      <c r="V179" s="267" t="n"/>
      <c r="W179" s="267">
        <f>((2*1.5)+(3*3)+((3-1)+4)*0.3+((3-2)+3*0.5))*G179</f>
        <v/>
      </c>
      <c r="X179" s="267">
        <f>K179*O179</f>
        <v/>
      </c>
      <c r="Y179" s="267">
        <f>($Y$174/31.1035*IF(LEFT(F179,3)="10K",(0.417*1.07*K179),IF(LEFT(F179,3)="14K",(0.585*1.05*K179),IF(LEFT(F179,3)="18K",(0.75*1.05*K179),0))))*0.5</f>
        <v/>
      </c>
      <c r="Z179" s="268">
        <f>($Z$174/31.1035*IF(LEFT(F179,3)="10K",(0.417*1.07*K179),IF(LEFT(F179,3)="14K",(0.585*1.05*K179),IF(LEFT(F179,3)="18K",(0.75*1.05*K179),0))))*0.5</f>
        <v/>
      </c>
      <c r="AA179" s="269">
        <f>2*K179</f>
        <v/>
      </c>
      <c r="AB179" s="269" t="n">
        <v>128.8416</v>
      </c>
      <c r="AC179" s="269" t="n">
        <v>962.806926610467</v>
      </c>
      <c r="AD179" s="269" t="n">
        <v>1091.64852661047</v>
      </c>
      <c r="AE179" s="269">
        <f>IF(LEFT(F179,3)="10K",(0.417*1.07*K179),IF(LEFT(F179,3)="14K",(0.585*1.05*K179),IF(LEFT(F179,3)="18K",(0.75*1.05*K179),0)))</f>
        <v/>
      </c>
      <c r="AG179" s="270">
        <f>X179</f>
        <v/>
      </c>
    </row>
    <row r="180" ht="41.25" customFormat="1" customHeight="1" s="257">
      <c r="A180" s="258" t="n">
        <v>21</v>
      </c>
      <c r="B180" s="259" t="inlineStr">
        <is>
          <t>K0107R130 #6.5-8.0</t>
        </is>
      </c>
      <c r="C180" s="259" t="inlineStr">
        <is>
          <t>FSR5017K6YW</t>
        </is>
      </c>
      <c r="D180" s="259" t="n">
        <v>148278</v>
      </c>
      <c r="E180" s="259" t="n">
        <v>123</v>
      </c>
      <c r="F180" s="259" t="inlineStr">
        <is>
          <t>14K WYG</t>
        </is>
      </c>
      <c r="G180" s="260" t="n">
        <v>1</v>
      </c>
      <c r="H180" s="261" t="n">
        <v>4.39</v>
      </c>
      <c r="I180" s="261" t="n">
        <v>0.09</v>
      </c>
      <c r="J180" s="261" t="n">
        <v>0.24</v>
      </c>
      <c r="K180" s="262">
        <f>H180-I180-J180</f>
        <v/>
      </c>
      <c r="L180" s="263" t="inlineStr">
        <is>
          <t>BT 3.20*1.60
1.30mm</t>
        </is>
      </c>
      <c r="M180" s="263" t="inlineStr">
        <is>
          <t>W
W</t>
        </is>
      </c>
      <c r="N180" s="264" t="inlineStr">
        <is>
          <t>2pcs
42pcs</t>
        </is>
      </c>
      <c r="O180" s="265" t="n">
        <v>12</v>
      </c>
      <c r="P180" s="266" t="n">
        <v>0.47</v>
      </c>
      <c r="Q180" s="267" t="n"/>
      <c r="R180" s="267" t="n"/>
      <c r="S180" s="267">
        <f>0.02*(2+42)*G180</f>
        <v/>
      </c>
      <c r="T180" s="267">
        <f>3*G180</f>
        <v/>
      </c>
      <c r="U180" s="267">
        <f>IF(RIGHT(F180,2)="WG",K180*$AB$4,IF(RIGHT(F180,3)="WRG",K180*$AB$4+3*G180,IF(RIGHT(F180,3)="WYG",K180*$AB$4+3*G180,IF(RIGHT(F180,3)="WYR",K180*$AB$4+3*G180,0))))</f>
        <v/>
      </c>
      <c r="V180" s="267" t="n"/>
      <c r="W180" s="267">
        <f>(3*2+0.3*42)*G180</f>
        <v/>
      </c>
      <c r="X180" s="267">
        <f>K180*O180</f>
        <v/>
      </c>
      <c r="Y180" s="267">
        <f>($Y$174/31.1035*IF(LEFT(F180,3)="10K",(0.417*1.07*K180),IF(LEFT(F180,3)="14K",(0.585*1.05*K180),IF(LEFT(F180,3)="18K",(0.75*1.05*K180),0))))*0.5</f>
        <v/>
      </c>
      <c r="Z180" s="268">
        <f>($Z$174/31.1035*IF(LEFT(F180,3)="10K",(0.417*1.07*K180),IF(LEFT(F180,3)="14K",(0.585*1.05*K180),IF(LEFT(F180,3)="18K",(0.75*1.05*K180),0))))*0.5</f>
        <v/>
      </c>
      <c r="AA180" s="269">
        <f>2*K180</f>
        <v/>
      </c>
      <c r="AB180" s="269" t="n">
        <v>67.0544</v>
      </c>
      <c r="AC180" s="269" t="n">
        <v>344.028006778422</v>
      </c>
      <c r="AD180" s="269" t="n">
        <v>411.082406778422</v>
      </c>
      <c r="AE180" s="269">
        <f>IF(LEFT(F180,3)="10K",(0.417*1.07*K180),IF(LEFT(F180,3)="14K",(0.585*1.05*K180),IF(LEFT(F180,3)="18K",(0.75*1.05*K180),0)))</f>
        <v/>
      </c>
      <c r="AG180" s="270">
        <f>X180</f>
        <v/>
      </c>
    </row>
    <row r="181" ht="41.25" customFormat="1" customHeight="1" s="257">
      <c r="A181" s="258" t="n">
        <v>22</v>
      </c>
      <c r="B181" s="259" t="inlineStr">
        <is>
          <t>K0107R127 #6.5</t>
        </is>
      </c>
      <c r="C181" s="259" t="inlineStr">
        <is>
          <t>FSR5015K5Y</t>
        </is>
      </c>
      <c r="D181" s="259" t="n">
        <v>148278</v>
      </c>
      <c r="E181" s="259" t="n">
        <v>124</v>
      </c>
      <c r="F181" s="259" t="inlineStr">
        <is>
          <t>14K YG</t>
        </is>
      </c>
      <c r="G181" s="260" t="n">
        <v>2</v>
      </c>
      <c r="H181" s="261" t="n">
        <v>8</v>
      </c>
      <c r="I181" s="261" t="n">
        <v>0.2</v>
      </c>
      <c r="J181" s="261" t="n">
        <v>0.36</v>
      </c>
      <c r="K181" s="262">
        <f>H181-I181-J181</f>
        <v/>
      </c>
      <c r="L181" s="263" t="inlineStr">
        <is>
          <t>1.10mm
EM 3.4*2.5
PR 4.3*2.8</t>
        </is>
      </c>
      <c r="M181" s="263" t="inlineStr">
        <is>
          <t>W
W
W</t>
        </is>
      </c>
      <c r="N181" s="264" t="inlineStr">
        <is>
          <t>40pcs
1pcs
1pcs</t>
        </is>
      </c>
      <c r="O181" s="265" t="n">
        <v>10</v>
      </c>
      <c r="P181" s="266" t="n">
        <v>0.985</v>
      </c>
      <c r="Q181" s="267" t="n"/>
      <c r="R181" s="267" t="n"/>
      <c r="S181" s="267">
        <f>0.02*(40+1+1)*G181</f>
        <v/>
      </c>
      <c r="T181" s="267">
        <f>4*G181</f>
        <v/>
      </c>
      <c r="U181" s="267">
        <f>IF(RIGHT(F181,2)="WG",K181*$AB$4,IF(RIGHT(F181,3)="WRG",K181*$AB$4+3*G181,IF(RIGHT(F181,3)="WYG",K181*$AB$4+3*G181,IF(RIGHT(F181,3)="WYR",K181*$AB$4+3*G181,0))))</f>
        <v/>
      </c>
      <c r="V181" s="267" t="n"/>
      <c r="W181" s="267">
        <f>((0.3*40)+(1+1)*1.5)*G181</f>
        <v/>
      </c>
      <c r="X181" s="267">
        <f>K181*O181</f>
        <v/>
      </c>
      <c r="Y181" s="267">
        <f>($Y$174/31.1035*IF(LEFT(F181,3)="10K",(0.417*1.07*K181),IF(LEFT(F181,3)="14K",(0.585*1.05*K181),IF(LEFT(F181,3)="18K",(0.75*1.05*K181),0))))*0.5</f>
        <v/>
      </c>
      <c r="Z181" s="268">
        <f>($Z$174/31.1035*IF(LEFT(F181,3)="10K",(0.417*1.07*K181),IF(LEFT(F181,3)="14K",(0.585*1.05*K181),IF(LEFT(F181,3)="18K",(0.75*1.05*K181),0))))*0.5</f>
        <v/>
      </c>
      <c r="AA181" s="269">
        <f>2*K181</f>
        <v/>
      </c>
      <c r="AB181" s="269" t="n">
        <v>99.2</v>
      </c>
      <c r="AC181" s="269" t="n">
        <v>673.729503993076</v>
      </c>
      <c r="AD181" s="269" t="n">
        <v>772.929503993076</v>
      </c>
      <c r="AE181" s="269">
        <f>IF(LEFT(F181,3)="10K",(0.417*1.07*K181),IF(LEFT(F181,3)="14K",(0.585*1.05*K181),IF(LEFT(F181,3)="18K",(0.75*1.05*K181),0)))</f>
        <v/>
      </c>
      <c r="AG181" s="270">
        <f>X181</f>
        <v/>
      </c>
    </row>
    <row r="182" ht="195" customFormat="1" customHeight="1" s="257">
      <c r="A182" s="258" t="n">
        <v>24</v>
      </c>
      <c r="B182" s="259" t="inlineStr">
        <is>
          <t>K02575B01 6.75"</t>
        </is>
      </c>
      <c r="C182" s="259" t="inlineStr">
        <is>
          <t>FSBG5358S8Y</t>
        </is>
      </c>
      <c r="D182" s="259" t="n">
        <v>148278</v>
      </c>
      <c r="E182" s="259" t="n">
        <v>126</v>
      </c>
      <c r="F182" s="259" t="inlineStr">
        <is>
          <t>14K YG</t>
        </is>
      </c>
      <c r="G182" s="260" t="n">
        <v>2</v>
      </c>
      <c r="H182" s="261" t="n">
        <v>43.07</v>
      </c>
      <c r="I182" s="261" t="n">
        <v>0.32</v>
      </c>
      <c r="J182" s="261" t="n">
        <v>1.88</v>
      </c>
      <c r="K182" s="262">
        <f>H182-I182-J182</f>
        <v/>
      </c>
      <c r="L182" s="263" t="inlineStr">
        <is>
          <t>0.90mm
1.00mm
1.10mm
1.20mm
1.25mm
1.30mm
1.40mm
1.80mm
1.90mm
2.00mm
2.10mm
2.20mm
2.40mm
2.50mm</t>
        </is>
      </c>
      <c r="M182" s="263" t="inlineStr">
        <is>
          <t>W
W
W
W
W
W
W
W
W
W
W
W
W
W</t>
        </is>
      </c>
      <c r="N182" s="264" t="inlineStr">
        <is>
          <t>8pcs
6pcs
6pcs
5pcs
4pcs
3pcs
4pcs
3pcs
3pcs
3pcs
2pcs
1pcs
2pcs
1pcs</t>
        </is>
      </c>
      <c r="O182" s="265" t="n">
        <v>8.5</v>
      </c>
      <c r="P182" s="266" t="n">
        <v>1.58</v>
      </c>
      <c r="Q182" s="267" t="n"/>
      <c r="R182" s="267" t="n"/>
      <c r="S182" s="267">
        <f>0.02*(8+6+6+5+4+3+4+3+3+3+2+1+2+1)*G182</f>
        <v/>
      </c>
      <c r="T182" s="267">
        <f>4*G182</f>
        <v/>
      </c>
      <c r="U182" s="267">
        <f>IF(RIGHT(F182,2)="WG",K182*$AB$4,IF(RIGHT(F182,3)="WRG",K182*$AB$4+3*G182,IF(RIGHT(F182,3)="WYG",K182*$AB$4+3*G182,IF(RIGHT(F182,3)="WYR",K182*$AB$4+3*G182,0))))</f>
        <v/>
      </c>
      <c r="V182" s="267" t="n"/>
      <c r="W182" s="267">
        <f>1*(8+6+6+5+4+3+4+3+3+3+2+1+2+1)*G182</f>
        <v/>
      </c>
      <c r="X182" s="267">
        <f>K182*O182</f>
        <v/>
      </c>
      <c r="Y182" s="267">
        <f>($Y$174/31.1035*IF(LEFT(F182,3)="10K",(0.417*1.07*K182),IF(LEFT(F182,3)="14K",(0.585*1.05*K182),IF(LEFT(F182,3)="18K",(0.75*1.05*K182),0))))*0.5</f>
        <v/>
      </c>
      <c r="Z182" s="268">
        <f>($Z$174/31.1035*IF(LEFT(F182,3)="10K",(0.417*1.07*K182),IF(LEFT(F182,3)="14K",(0.585*1.05*K182),IF(LEFT(F182,3)="18K",(0.75*1.05*K182),0))))*0.5</f>
        <v/>
      </c>
      <c r="AA182" s="269">
        <f>2*K182</f>
        <v/>
      </c>
      <c r="AB182" s="269" t="n">
        <v>377.695</v>
      </c>
      <c r="AC182" s="269" t="n">
        <v>2360.41727087214</v>
      </c>
      <c r="AD182" s="269" t="n">
        <v>2738.11227087214</v>
      </c>
      <c r="AE182" s="269">
        <f>IF(LEFT(F182,3)="10K",(0.417*1.07*K182),IF(LEFT(F182,3)="14K",(0.585*1.05*K182),IF(LEFT(F182,3)="18K",(0.75*1.05*K182),0)))</f>
        <v/>
      </c>
      <c r="AG182" s="270">
        <f>X182</f>
        <v/>
      </c>
    </row>
    <row r="183" ht="15.75" customFormat="1" customHeight="1" s="271">
      <c r="A183" s="272" t="inlineStr">
        <is>
          <t>SUBTOTAL</t>
        </is>
      </c>
      <c r="B183" s="273" t="n"/>
      <c r="C183" s="273" t="n"/>
      <c r="D183" s="273" t="n"/>
      <c r="E183" s="273" t="n"/>
      <c r="F183" s="273" t="n"/>
      <c r="G183" s="274">
        <f>SUM(G176:G182)</f>
        <v/>
      </c>
      <c r="H183" s="275" t="n"/>
      <c r="I183" s="275" t="n"/>
      <c r="J183" s="275" t="n"/>
      <c r="K183" s="275">
        <f>SUM(K176:K182)</f>
        <v/>
      </c>
      <c r="L183" s="276" t="n"/>
      <c r="M183" s="276" t="n"/>
      <c r="N183" s="276" t="n"/>
      <c r="O183" s="277" t="n"/>
      <c r="P183" s="278">
        <f>SUM(P176:P182)</f>
        <v/>
      </c>
      <c r="Q183" s="279">
        <f>SUM(Q176:Q182)</f>
        <v/>
      </c>
      <c r="R183" s="279">
        <f>SUM(R176:R182)</f>
        <v/>
      </c>
      <c r="S183" s="279">
        <f>SUM(S176:S182)</f>
        <v/>
      </c>
      <c r="T183" s="279">
        <f>SUM(T176:T182)</f>
        <v/>
      </c>
      <c r="U183" s="279">
        <f>SUM(U176:U182)</f>
        <v/>
      </c>
      <c r="V183" s="279">
        <f>SUM(V176:V182)</f>
        <v/>
      </c>
      <c r="W183" s="279">
        <f>SUM(W176:W182)</f>
        <v/>
      </c>
      <c r="X183" s="279">
        <f>SUM(X176:X182)</f>
        <v/>
      </c>
      <c r="Y183" s="279">
        <f>SUM(Y176:Y182)</f>
        <v/>
      </c>
      <c r="Z183" s="280">
        <f>SUM(Z176:Z182)</f>
        <v/>
      </c>
      <c r="AA183" s="269" t="n"/>
      <c r="AB183" s="269" t="n"/>
      <c r="AC183" s="269" t="n"/>
      <c r="AD183" s="269" t="n"/>
      <c r="AE183" s="269" t="n"/>
      <c r="AG183" s="270" t="n"/>
    </row>
    <row r="184" ht="15.75" customHeight="1" s="240">
      <c r="A184" s="241" t="inlineStr">
        <is>
          <t>Buyer Dia</t>
        </is>
      </c>
      <c r="K184" s="242" t="n"/>
      <c r="L184" s="243" t="n"/>
      <c r="M184" s="243" t="n"/>
      <c r="N184" s="243" t="n"/>
      <c r="W184" s="244" t="n"/>
      <c r="X184" s="245" t="inlineStr">
        <is>
          <t>24 Mar London AM + 2%</t>
        </is>
      </c>
      <c r="Y184" s="246">
        <f>3030.25*1.02</f>
        <v/>
      </c>
      <c r="Z184" s="246">
        <f>3030.25*1.02</f>
        <v/>
      </c>
      <c r="AA184" s="269" t="n"/>
      <c r="AB184" s="269" t="n"/>
      <c r="AC184" s="269" t="n"/>
      <c r="AD184" s="269" t="n"/>
      <c r="AE184" s="269" t="n"/>
      <c r="AG184" s="270" t="n"/>
    </row>
    <row r="185" ht="27" customFormat="1" customHeight="1" s="247">
      <c r="A185" s="248" t="inlineStr">
        <is>
          <t>PO#</t>
        </is>
      </c>
      <c r="B185" s="249" t="inlineStr">
        <is>
          <t>Item No.</t>
        </is>
      </c>
      <c r="C185" s="249" t="inlineStr">
        <is>
          <t>Buyer No.</t>
        </is>
      </c>
      <c r="D185" s="249" t="inlineStr">
        <is>
          <t>Buyer PO</t>
        </is>
      </c>
      <c r="E185" s="249" t="inlineStr">
        <is>
          <t>IDD PO SERIAL#</t>
        </is>
      </c>
      <c r="F185" s="249" t="inlineStr">
        <is>
          <t>Metal</t>
        </is>
      </c>
      <c r="G185" s="249" t="inlineStr">
        <is>
          <t>Q'ty</t>
        </is>
      </c>
      <c r="H185" s="250" t="inlineStr">
        <is>
          <t>Total w't</t>
        </is>
      </c>
      <c r="I185" s="250" t="inlineStr">
        <is>
          <t>Dia w't</t>
        </is>
      </c>
      <c r="J185" s="250" t="inlineStr">
        <is>
          <t>Wire w't</t>
        </is>
      </c>
      <c r="K185" s="250" t="inlineStr">
        <is>
          <t>Gold w't</t>
        </is>
      </c>
      <c r="L185" s="251" t="inlineStr">
        <is>
          <t>Stone</t>
        </is>
      </c>
      <c r="M185" s="251" t="inlineStr">
        <is>
          <t>Color</t>
        </is>
      </c>
      <c r="N185" s="251" t="inlineStr">
        <is>
          <t>Stone Q'ty</t>
        </is>
      </c>
      <c r="O185" s="252" t="inlineStr">
        <is>
          <t>Labor</t>
        </is>
      </c>
      <c r="P185" s="253" t="inlineStr">
        <is>
          <t>Dia Carat</t>
        </is>
      </c>
      <c r="Q185" s="254" t="inlineStr">
        <is>
          <t>Extra Cost</t>
        </is>
      </c>
      <c r="R185" s="254" t="inlineStr">
        <is>
          <t>Dia Packaging Cost</t>
        </is>
      </c>
      <c r="S185" s="254" t="inlineStr">
        <is>
          <t>Dia Handling Service Fee</t>
        </is>
      </c>
      <c r="T185" s="254" t="inlineStr">
        <is>
          <t>Wire
Cost</t>
        </is>
      </c>
      <c r="U185" s="254" t="inlineStr">
        <is>
          <t>Plating Cost</t>
        </is>
      </c>
      <c r="V185" s="254" t="inlineStr">
        <is>
          <t>Stone
Cost</t>
        </is>
      </c>
      <c r="W185" s="254" t="inlineStr">
        <is>
          <t>Setting
Cost</t>
        </is>
      </c>
      <c r="X185" s="255" t="inlineStr">
        <is>
          <t>Labor
Cost</t>
        </is>
      </c>
      <c r="Y185" s="256" t="inlineStr">
        <is>
          <t>Gold &amp; 5%
Cost</t>
        </is>
      </c>
      <c r="Z185" s="255" t="inlineStr">
        <is>
          <t>Current Gold &amp;
5% Cost</t>
        </is>
      </c>
      <c r="AA185" s="269" t="n"/>
      <c r="AB185" s="269" t="n"/>
      <c r="AC185" s="269" t="n"/>
      <c r="AD185" s="269" t="n"/>
      <c r="AE185" s="269" t="n"/>
      <c r="AG185" s="270" t="n"/>
    </row>
    <row r="186" ht="42" customFormat="1" customHeight="1" s="257">
      <c r="A186" s="258" t="inlineStr">
        <is>
          <t>IDD250314RB-1-14K</t>
        </is>
      </c>
      <c r="B186" s="259" t="inlineStr">
        <is>
          <t>K0098B546 6.25"</t>
        </is>
      </c>
      <c r="C186" s="259" t="inlineStr">
        <is>
          <t>FSBG5291PSY-6B</t>
        </is>
      </c>
      <c r="D186" s="259" t="n">
        <v>148305</v>
      </c>
      <c r="E186" s="259" t="n">
        <v>101</v>
      </c>
      <c r="F186" s="259" t="inlineStr">
        <is>
          <t>14K YG</t>
        </is>
      </c>
      <c r="G186" s="260" t="n">
        <v>1</v>
      </c>
      <c r="H186" s="261" t="n">
        <v>5.56</v>
      </c>
      <c r="I186" s="261" t="n">
        <v>0</v>
      </c>
      <c r="J186" s="261" t="n">
        <v>0.3</v>
      </c>
      <c r="K186" s="262">
        <f>H186-I186-J186</f>
        <v/>
      </c>
      <c r="L186" s="263" t="n">
        <v>2.1</v>
      </c>
      <c r="M186" s="263" t="inlineStr">
        <is>
          <t>PINK SAPPHIRE</t>
        </is>
      </c>
      <c r="N186" s="264" t="n">
        <v>24</v>
      </c>
      <c r="O186" s="265" t="n">
        <v>11.5</v>
      </c>
      <c r="P186" s="266" t="n"/>
      <c r="Q186" s="267" t="n"/>
      <c r="R186" s="267" t="n"/>
      <c r="S186" s="267">
        <f>0.02*N186*G186</f>
        <v/>
      </c>
      <c r="T186" s="267">
        <f>2*G186</f>
        <v/>
      </c>
      <c r="U186" s="267">
        <f>IF(RIGHT(F186,2)="WG",K186*$AB$4,IF(RIGHT(F186,3)="WRG",K186*$AB$4+3*G186,IF(RIGHT(F186,3)="WYG",K186*$AB$4+3*G186,IF(RIGHT(F186,3)="WYR",K186*$AB$4+3*G186,0))))</f>
        <v/>
      </c>
      <c r="V186" s="267" t="n"/>
      <c r="W186" s="267">
        <f>G186*N186*0.3</f>
        <v/>
      </c>
      <c r="X186" s="267">
        <f>K186*O186</f>
        <v/>
      </c>
      <c r="Y186" s="267">
        <f>($Y$184/31.1035*IF(LEFT(F186,3)="10K",(0.417*1.07*K186),IF(LEFT(F186,3)="14K",(0.585*1.05*K186),IF(LEFT(F186,3)="18K",(0.75*1.05*K186),0))))*0.5</f>
        <v/>
      </c>
      <c r="Z186" s="268">
        <f>($Z$184/31.1035*IF(LEFT(F186,3)="10K",(0.417*1.07*K186),IF(LEFT(F186,3)="14K",(0.585*1.05*K186),IF(LEFT(F186,3)="18K",(0.75*1.05*K186),0))))*0.5</f>
        <v/>
      </c>
      <c r="AA186" s="269">
        <f>2*K186</f>
        <v/>
      </c>
      <c r="AB186" s="269" t="n">
        <v>59.65</v>
      </c>
      <c r="AC186" s="269" t="n">
        <v>232.62876</v>
      </c>
      <c r="AD186" s="269" t="n">
        <v>292.27876</v>
      </c>
      <c r="AE186" s="269">
        <f>IF(LEFT(F186,3)="10K",(0.417*1.07*K186),IF(LEFT(F186,3)="14K",(0.585*1.05*K186),IF(LEFT(F186,3)="18K",(0.75*1.05*K186),0)))</f>
        <v/>
      </c>
      <c r="AG186" s="270">
        <f>X186</f>
        <v/>
      </c>
    </row>
    <row r="187" ht="15.75" customFormat="1" customHeight="1" s="271">
      <c r="A187" s="272" t="inlineStr">
        <is>
          <t>SUBTOTAL</t>
        </is>
      </c>
      <c r="B187" s="273" t="n"/>
      <c r="C187" s="273" t="n"/>
      <c r="D187" s="273" t="n"/>
      <c r="E187" s="273" t="n"/>
      <c r="F187" s="273" t="n"/>
      <c r="G187" s="274">
        <f>SUM(G186)</f>
        <v/>
      </c>
      <c r="H187" s="275" t="n"/>
      <c r="I187" s="275" t="n"/>
      <c r="J187" s="275" t="n"/>
      <c r="K187" s="275">
        <f>SUM(K186)</f>
        <v/>
      </c>
      <c r="L187" s="276" t="n"/>
      <c r="M187" s="276" t="n"/>
      <c r="N187" s="276" t="n"/>
      <c r="O187" s="277" t="n"/>
      <c r="P187" s="278">
        <f>SUM(P186)</f>
        <v/>
      </c>
      <c r="Q187" s="279">
        <f>SUM(Q186)</f>
        <v/>
      </c>
      <c r="R187" s="279">
        <f>SUM(R186)</f>
        <v/>
      </c>
      <c r="S187" s="279">
        <f>SUM(S186)</f>
        <v/>
      </c>
      <c r="T187" s="279">
        <f>SUM(T186)</f>
        <v/>
      </c>
      <c r="U187" s="279">
        <f>SUM(U186)</f>
        <v/>
      </c>
      <c r="V187" s="279">
        <f>SUM(V186)</f>
        <v/>
      </c>
      <c r="W187" s="279">
        <f>SUM(W186)</f>
        <v/>
      </c>
      <c r="X187" s="279">
        <f>SUM(X186)</f>
        <v/>
      </c>
      <c r="Y187" s="279">
        <f>SUM(Y186)</f>
        <v/>
      </c>
      <c r="Z187" s="280">
        <f>SUM(Z186)</f>
        <v/>
      </c>
      <c r="AA187" s="269" t="n"/>
      <c r="AB187" s="269" t="n"/>
      <c r="AC187" s="269" t="n"/>
      <c r="AD187" s="269" t="n"/>
      <c r="AE187" s="269" t="n"/>
      <c r="AG187" s="270" t="n"/>
    </row>
    <row r="188" ht="15.75" customHeight="1" s="240">
      <c r="A188" s="241" t="inlineStr">
        <is>
          <t>Buyer Dia</t>
        </is>
      </c>
      <c r="K188" s="242" t="n"/>
      <c r="L188" s="243" t="n"/>
      <c r="M188" s="243" t="n"/>
      <c r="N188" s="243" t="n"/>
      <c r="W188" s="244" t="n"/>
      <c r="X188" s="245" t="inlineStr">
        <is>
          <t>19 Mar London AM + 2%</t>
        </is>
      </c>
      <c r="Y188" s="246">
        <f>3034*1.02</f>
        <v/>
      </c>
      <c r="Z188" s="246">
        <f>3034*1.02</f>
        <v/>
      </c>
      <c r="AA188" s="269" t="n"/>
      <c r="AB188" s="269" t="n"/>
      <c r="AC188" s="269" t="n"/>
      <c r="AD188" s="269" t="n"/>
      <c r="AE188" s="269" t="n"/>
      <c r="AG188" s="270" t="n"/>
    </row>
    <row r="189" ht="27" customFormat="1" customHeight="1" s="247">
      <c r="A189" s="248" t="inlineStr">
        <is>
          <t>PO#</t>
        </is>
      </c>
      <c r="B189" s="249" t="inlineStr">
        <is>
          <t>Item No.</t>
        </is>
      </c>
      <c r="C189" s="249" t="inlineStr">
        <is>
          <t>Buyer No.</t>
        </is>
      </c>
      <c r="D189" s="249" t="inlineStr">
        <is>
          <t>Buyer PO</t>
        </is>
      </c>
      <c r="E189" s="249" t="inlineStr">
        <is>
          <t>IDD PO SERIAL#</t>
        </is>
      </c>
      <c r="F189" s="249" t="inlineStr">
        <is>
          <t>Metal</t>
        </is>
      </c>
      <c r="G189" s="249" t="inlineStr">
        <is>
          <t>Q'ty</t>
        </is>
      </c>
      <c r="H189" s="250" t="inlineStr">
        <is>
          <t>Total w't</t>
        </is>
      </c>
      <c r="I189" s="250" t="inlineStr">
        <is>
          <t>Dia w't</t>
        </is>
      </c>
      <c r="J189" s="250" t="inlineStr">
        <is>
          <t>Wire w't</t>
        </is>
      </c>
      <c r="K189" s="250" t="inlineStr">
        <is>
          <t>Gold w't</t>
        </is>
      </c>
      <c r="L189" s="251" t="inlineStr">
        <is>
          <t>Stone</t>
        </is>
      </c>
      <c r="M189" s="251" t="inlineStr">
        <is>
          <t>Color</t>
        </is>
      </c>
      <c r="N189" s="251" t="inlineStr">
        <is>
          <t>Stone Q'ty</t>
        </is>
      </c>
      <c r="O189" s="252" t="inlineStr">
        <is>
          <t>Labor</t>
        </is>
      </c>
      <c r="P189" s="253" t="inlineStr">
        <is>
          <t>Dia Carat</t>
        </is>
      </c>
      <c r="Q189" s="254" t="inlineStr">
        <is>
          <t>Extra Cost</t>
        </is>
      </c>
      <c r="R189" s="254" t="inlineStr">
        <is>
          <t>Dia Packaging Cost</t>
        </is>
      </c>
      <c r="S189" s="254" t="inlineStr">
        <is>
          <t>Dia Handling Service Fee</t>
        </is>
      </c>
      <c r="T189" s="254" t="inlineStr">
        <is>
          <t>Wire
Cost</t>
        </is>
      </c>
      <c r="U189" s="254" t="inlineStr">
        <is>
          <t>Plating Cost</t>
        </is>
      </c>
      <c r="V189" s="254" t="inlineStr">
        <is>
          <t>Stone
Cost</t>
        </is>
      </c>
      <c r="W189" s="254" t="inlineStr">
        <is>
          <t>Setting
Cost</t>
        </is>
      </c>
      <c r="X189" s="255" t="inlineStr">
        <is>
          <t>Labor
Cost</t>
        </is>
      </c>
      <c r="Y189" s="256" t="inlineStr">
        <is>
          <t>Gold &amp; 5%
Cost</t>
        </is>
      </c>
      <c r="Z189" s="255" t="inlineStr">
        <is>
          <t>Current Gold &amp;
5% Cost</t>
        </is>
      </c>
      <c r="AA189" s="269" t="n"/>
      <c r="AB189" s="269" t="n"/>
      <c r="AC189" s="269" t="n"/>
      <c r="AD189" s="269" t="n"/>
      <c r="AE189" s="269" t="n"/>
      <c r="AG189" s="270" t="n"/>
    </row>
    <row r="190" ht="27" customFormat="1" customHeight="1" s="257">
      <c r="A190" s="258" t="inlineStr">
        <is>
          <t>IDD250317RB-3-14K</t>
        </is>
      </c>
      <c r="B190" s="259" t="inlineStr">
        <is>
          <t>K0634B01 OV 6.75"</t>
        </is>
      </c>
      <c r="C190" s="259" t="inlineStr">
        <is>
          <t>FSBG5045S8P</t>
        </is>
      </c>
      <c r="D190" s="259" t="n">
        <v>148323</v>
      </c>
      <c r="E190" s="259" t="n">
        <v>116</v>
      </c>
      <c r="F190" s="259" t="inlineStr">
        <is>
          <t>14K RG</t>
        </is>
      </c>
      <c r="G190" s="260" t="n">
        <v>1</v>
      </c>
      <c r="H190" s="261" t="n">
        <v>6.53</v>
      </c>
      <c r="I190" s="261" t="n">
        <v>0.04</v>
      </c>
      <c r="J190" s="261" t="n">
        <v>0.32</v>
      </c>
      <c r="K190" s="262">
        <f>H190-I190-J190</f>
        <v/>
      </c>
      <c r="L190" s="263" t="n">
        <v>1.5</v>
      </c>
      <c r="M190" s="263" t="inlineStr">
        <is>
          <t>W</t>
        </is>
      </c>
      <c r="N190" s="264" t="n">
        <v>13</v>
      </c>
      <c r="O190" s="265" t="n">
        <v>9.5</v>
      </c>
      <c r="P190" s="266" t="n">
        <v>0.18</v>
      </c>
      <c r="Q190" s="267" t="n"/>
      <c r="R190" s="267" t="n"/>
      <c r="S190" s="267">
        <f>0.02*N190*G190</f>
        <v/>
      </c>
      <c r="T190" s="267">
        <f>2*G190</f>
        <v/>
      </c>
      <c r="U190" s="267">
        <f>IF(RIGHT(F190,2)="WG",K190*$AB$4,IF(RIGHT(F190,3)="WRG",K190*$AB$4+3*G190,IF(RIGHT(F190,3)="WYG",K190*$AB$4+3*G190,IF(RIGHT(F190,3)="WYR",K190*$AB$4+3*G190,0))))</f>
        <v/>
      </c>
      <c r="V190" s="267" t="n"/>
      <c r="W190" s="267">
        <f>G190*N190*0.3</f>
        <v/>
      </c>
      <c r="X190" s="267">
        <f>K190*O190</f>
        <v/>
      </c>
      <c r="Y190" s="267">
        <f>($Y$188/31.1035*IF(LEFT(F190,3)="10K",(0.417*1.07*K190),IF(LEFT(F190,3)="14K",(0.585*1.05*K190),IF(LEFT(F190,3)="18K",(0.75*1.05*K190),0))))*0.5</f>
        <v/>
      </c>
      <c r="Z190" s="268">
        <f>($Z$188/31.1035*IF(LEFT(F190,3)="10K",(0.417*1.07*K190),IF(LEFT(F190,3)="14K",(0.585*1.05*K190),IF(LEFT(F190,3)="18K",(0.75*1.05*K190),0))))*0.5</f>
        <v/>
      </c>
      <c r="AA190" s="269">
        <f>2*K190</f>
        <v/>
      </c>
      <c r="AB190" s="269" t="n">
        <v>52.435</v>
      </c>
      <c r="AC190" s="269" t="n">
        <v>335.863101744928</v>
      </c>
      <c r="AD190" s="269" t="n">
        <v>388.298101744928</v>
      </c>
      <c r="AE190" s="269">
        <f>IF(LEFT(F190,3)="10K",(0.417*1.07*K190),IF(LEFT(F190,3)="14K",(0.585*1.05*K190),IF(LEFT(F190,3)="18K",(0.75*1.05*K190),0)))</f>
        <v/>
      </c>
      <c r="AG190" s="270">
        <f>X190</f>
        <v/>
      </c>
    </row>
    <row r="191" ht="27" customFormat="1" customHeight="1" s="257">
      <c r="A191" s="258" t="n">
        <v>8</v>
      </c>
      <c r="B191" s="259" t="inlineStr">
        <is>
          <t>K0251B01 7.0"</t>
        </is>
      </c>
      <c r="C191" s="259" t="inlineStr">
        <is>
          <t>FSBG5107S8W-7A</t>
        </is>
      </c>
      <c r="D191" s="259" t="n">
        <v>148323</v>
      </c>
      <c r="E191" s="259" t="n">
        <v>110</v>
      </c>
      <c r="F191" s="259" t="inlineStr">
        <is>
          <t>14K WG</t>
        </is>
      </c>
      <c r="G191" s="260" t="n">
        <v>1</v>
      </c>
      <c r="H191" s="261" t="n">
        <v>7.29</v>
      </c>
      <c r="I191" s="261" t="n">
        <v>0.08</v>
      </c>
      <c r="J191" s="261" t="n">
        <v>0.33</v>
      </c>
      <c r="K191" s="262">
        <f>H191-I191-J191</f>
        <v/>
      </c>
      <c r="L191" s="263" t="n">
        <v>1.3</v>
      </c>
      <c r="M191" s="263" t="inlineStr">
        <is>
          <t>W</t>
        </is>
      </c>
      <c r="N191" s="264" t="n">
        <v>49</v>
      </c>
      <c r="O191" s="265" t="n">
        <v>10.5</v>
      </c>
      <c r="P191" s="266" t="n">
        <v>0.39</v>
      </c>
      <c r="Q191" s="267" t="n"/>
      <c r="R191" s="267" t="n"/>
      <c r="S191" s="267">
        <f>0.02*N191*G191</f>
        <v/>
      </c>
      <c r="T191" s="267">
        <f>2*G191</f>
        <v/>
      </c>
      <c r="U191" s="267">
        <f>IF(RIGHT(F191,2)="WG",K191*$AB$4,IF(RIGHT(F191,3)="WRG",K191*$AB$4+3*G191,IF(RIGHT(F191,3)="WYG",K191*$AB$4+3*G191,IF(RIGHT(F191,3)="WYR",K191*$AB$4+3*G191,0))))</f>
        <v/>
      </c>
      <c r="V191" s="267" t="n"/>
      <c r="W191" s="267">
        <f>G191*N191*0.3</f>
        <v/>
      </c>
      <c r="X191" s="267">
        <f>K191*O191</f>
        <v/>
      </c>
      <c r="Y191" s="267">
        <f>($Y$188/31.1035*IF(LEFT(F191,3)="10K",(0.417*1.07*K191),IF(LEFT(F191,3)="14K",(0.585*1.05*K191),IF(LEFT(F191,3)="18K",(0.75*1.05*K191),0))))*0.5</f>
        <v/>
      </c>
      <c r="Z191" s="268">
        <f>($Z$188/31.1035*IF(LEFT(F191,3)="10K",(0.417*1.07*K191),IF(LEFT(F191,3)="14K",(0.585*1.05*K191),IF(LEFT(F191,3)="18K",(0.75*1.05*K191),0))))*0.5</f>
        <v/>
      </c>
      <c r="AA191" s="269">
        <f>2*K191</f>
        <v/>
      </c>
      <c r="AB191" s="269" t="n">
        <v>77.8112</v>
      </c>
      <c r="AC191" s="269" t="n">
        <v>440.75035711401</v>
      </c>
      <c r="AD191" s="269" t="n">
        <v>518.56155711401</v>
      </c>
      <c r="AE191" s="269">
        <f>IF(LEFT(F191,3)="10K",(0.417*1.07*K191),IF(LEFT(F191,3)="14K",(0.585*1.05*K191),IF(LEFT(F191,3)="18K",(0.75*1.05*K191),0)))</f>
        <v/>
      </c>
      <c r="AG191" s="270">
        <f>X191</f>
        <v/>
      </c>
    </row>
    <row r="192" ht="55.5" customFormat="1" customHeight="1" s="257">
      <c r="A192" s="258" t="n">
        <v>10</v>
      </c>
      <c r="B192" s="259" t="inlineStr">
        <is>
          <t>K02057B01 6.75"</t>
        </is>
      </c>
      <c r="C192" s="259" t="inlineStr">
        <is>
          <t>FSBG5246S8Y</t>
        </is>
      </c>
      <c r="D192" s="259" t="n">
        <v>148323</v>
      </c>
      <c r="E192" s="259" t="n">
        <v>115</v>
      </c>
      <c r="F192" s="259" t="inlineStr">
        <is>
          <t>14K YG</t>
        </is>
      </c>
      <c r="G192" s="260" t="n">
        <v>1</v>
      </c>
      <c r="H192" s="261" t="n">
        <v>10.93</v>
      </c>
      <c r="I192" s="261" t="n">
        <v>0.11</v>
      </c>
      <c r="J192" s="261" t="n">
        <v>0.32</v>
      </c>
      <c r="K192" s="262">
        <f>H192-I192-J192</f>
        <v/>
      </c>
      <c r="L192" s="263" t="inlineStr">
        <is>
          <t>1.30mm
1.40mm
1.50mm
1.60mm</t>
        </is>
      </c>
      <c r="M192" s="263" t="inlineStr">
        <is>
          <t>W
W
W
W</t>
        </is>
      </c>
      <c r="N192" s="264" t="inlineStr">
        <is>
          <t>6pcs
18pcs
18pcs
3pcs</t>
        </is>
      </c>
      <c r="O192" s="265" t="n">
        <v>8.5</v>
      </c>
      <c r="P192" s="266" t="n">
        <v>0.55</v>
      </c>
      <c r="Q192" s="267" t="n"/>
      <c r="R192" s="267" t="n"/>
      <c r="S192" s="267">
        <f>0.02*(6+18+18+3)*G192</f>
        <v/>
      </c>
      <c r="T192" s="267">
        <f>2*G192</f>
        <v/>
      </c>
      <c r="U192" s="267">
        <f>IF(RIGHT(F192,2)="WG",K192*$AB$4,IF(RIGHT(F192,3)="WRG",K192*$AB$4+3*G192,IF(RIGHT(F192,3)="WYG",K192*$AB$4+3*G192,IF(RIGHT(F192,3)="WYR",K192*$AB$4+3*G192,0))))</f>
        <v/>
      </c>
      <c r="V192" s="267" t="n"/>
      <c r="W192" s="267">
        <f>G192*(6+18+18+3)*0.3</f>
        <v/>
      </c>
      <c r="X192" s="267">
        <f>K192*O192</f>
        <v/>
      </c>
      <c r="Y192" s="267">
        <f>($Y$188/31.1035*IF(LEFT(F192,3)="10K",(0.417*1.07*K192),IF(LEFT(F192,3)="14K",(0.585*1.05*K192),IF(LEFT(F192,3)="18K",(0.75*1.05*K192),0))))*0.5</f>
        <v/>
      </c>
      <c r="Z192" s="268">
        <f>($Z$188/31.1035*IF(LEFT(F192,3)="10K",(0.417*1.07*K192),IF(LEFT(F192,3)="14K",(0.585*1.05*K192),IF(LEFT(F192,3)="18K",(0.75*1.05*K192),0))))*0.5</f>
        <v/>
      </c>
      <c r="AA192" s="269">
        <f>2*K192</f>
        <v/>
      </c>
      <c r="AB192" s="269" t="n">
        <v>84.65000000000001</v>
      </c>
      <c r="AC192" s="269" t="n">
        <v>656.838416442834</v>
      </c>
      <c r="AD192" s="269" t="n">
        <v>741.488416442834</v>
      </c>
      <c r="AE192" s="269">
        <f>IF(LEFT(F192,3)="10K",(0.417*1.07*K192),IF(LEFT(F192,3)="14K",(0.585*1.05*K192),IF(LEFT(F192,3)="18K",(0.75*1.05*K192),0)))</f>
        <v/>
      </c>
      <c r="AG192" s="270">
        <f>X192</f>
        <v/>
      </c>
    </row>
    <row r="193" ht="15.75" customFormat="1" customHeight="1" s="271">
      <c r="A193" s="272" t="inlineStr">
        <is>
          <t>SUBTOTAL</t>
        </is>
      </c>
      <c r="B193" s="273" t="n"/>
      <c r="C193" s="273" t="n"/>
      <c r="D193" s="273" t="n"/>
      <c r="E193" s="273" t="n"/>
      <c r="F193" s="273" t="n"/>
      <c r="G193" s="274">
        <f>SUM(G190:G192)</f>
        <v/>
      </c>
      <c r="H193" s="275" t="n"/>
      <c r="I193" s="275" t="n"/>
      <c r="J193" s="275" t="n"/>
      <c r="K193" s="275">
        <f>SUM(K190:K192)</f>
        <v/>
      </c>
      <c r="L193" s="276" t="n"/>
      <c r="M193" s="276" t="n"/>
      <c r="N193" s="276" t="n"/>
      <c r="O193" s="277" t="n"/>
      <c r="P193" s="278">
        <f>SUM(P190:P192)</f>
        <v/>
      </c>
      <c r="Q193" s="279">
        <f>SUM(Q190:Q192)</f>
        <v/>
      </c>
      <c r="R193" s="279">
        <f>SUM(R190:R192)</f>
        <v/>
      </c>
      <c r="S193" s="279">
        <f>SUM(S190:S192)</f>
        <v/>
      </c>
      <c r="T193" s="279">
        <f>SUM(T190:T192)</f>
        <v/>
      </c>
      <c r="U193" s="279">
        <f>SUM(U190:U192)</f>
        <v/>
      </c>
      <c r="V193" s="279">
        <f>SUM(V190:V192)</f>
        <v/>
      </c>
      <c r="W193" s="279">
        <f>SUM(W190:W192)</f>
        <v/>
      </c>
      <c r="X193" s="279">
        <f>SUM(X190:X192)</f>
        <v/>
      </c>
      <c r="Y193" s="279">
        <f>SUM(Y190:Y192)</f>
        <v/>
      </c>
      <c r="Z193" s="280">
        <f>SUM(Z190:Z192)</f>
        <v/>
      </c>
      <c r="AA193" s="269" t="n"/>
      <c r="AB193" s="269" t="n"/>
      <c r="AC193" s="269" t="n"/>
      <c r="AD193" s="269" t="n"/>
      <c r="AE193" s="269" t="n"/>
      <c r="AG193" s="270" t="n"/>
    </row>
    <row r="194" ht="15.75" customHeight="1" s="240">
      <c r="A194" s="241" t="inlineStr">
        <is>
          <t>Buyer Dia</t>
        </is>
      </c>
      <c r="K194" s="242" t="n"/>
      <c r="L194" s="243" t="n"/>
      <c r="M194" s="243" t="n"/>
      <c r="N194" s="243" t="n"/>
      <c r="W194" s="244" t="n"/>
      <c r="X194" s="245" t="inlineStr">
        <is>
          <t>21 Mar London AM + 2%</t>
        </is>
      </c>
      <c r="Y194" s="246">
        <f>1.02*3031.3</f>
        <v/>
      </c>
      <c r="Z194" s="246">
        <f>1.02*3031.3</f>
        <v/>
      </c>
      <c r="AA194" s="269" t="n"/>
      <c r="AB194" s="269" t="n"/>
      <c r="AC194" s="269" t="n"/>
      <c r="AD194" s="269" t="n"/>
      <c r="AE194" s="269" t="n"/>
      <c r="AG194" s="270" t="n"/>
    </row>
    <row r="195" ht="27" customFormat="1" customHeight="1" s="247">
      <c r="A195" s="248" t="inlineStr">
        <is>
          <t>PO#</t>
        </is>
      </c>
      <c r="B195" s="249" t="inlineStr">
        <is>
          <t>Item No.</t>
        </is>
      </c>
      <c r="C195" s="249" t="inlineStr">
        <is>
          <t>Buyer No.</t>
        </is>
      </c>
      <c r="D195" s="249" t="inlineStr">
        <is>
          <t>Buyer PO</t>
        </is>
      </c>
      <c r="E195" s="249" t="inlineStr">
        <is>
          <t>IDD PO SERIAL#</t>
        </is>
      </c>
      <c r="F195" s="249" t="inlineStr">
        <is>
          <t>Metal</t>
        </is>
      </c>
      <c r="G195" s="249" t="inlineStr">
        <is>
          <t>Q'ty</t>
        </is>
      </c>
      <c r="H195" s="250" t="inlineStr">
        <is>
          <t>Total w't</t>
        </is>
      </c>
      <c r="I195" s="250" t="inlineStr">
        <is>
          <t>Dia w't</t>
        </is>
      </c>
      <c r="J195" s="250" t="inlineStr">
        <is>
          <t>Wire w't</t>
        </is>
      </c>
      <c r="K195" s="250" t="inlineStr">
        <is>
          <t>Gold w't</t>
        </is>
      </c>
      <c r="L195" s="251" t="inlineStr">
        <is>
          <t>Stone</t>
        </is>
      </c>
      <c r="M195" s="251" t="inlineStr">
        <is>
          <t>Color</t>
        </is>
      </c>
      <c r="N195" s="251" t="inlineStr">
        <is>
          <t>Stone Q'ty</t>
        </is>
      </c>
      <c r="O195" s="252" t="inlineStr">
        <is>
          <t>Labor</t>
        </is>
      </c>
      <c r="P195" s="253" t="inlineStr">
        <is>
          <t>Dia Carat</t>
        </is>
      </c>
      <c r="Q195" s="254" t="inlineStr">
        <is>
          <t>Extra Cost</t>
        </is>
      </c>
      <c r="R195" s="254" t="inlineStr">
        <is>
          <t>Dia Packaging Cost</t>
        </is>
      </c>
      <c r="S195" s="254" t="inlineStr">
        <is>
          <t>Dia Handling Service Fee</t>
        </is>
      </c>
      <c r="T195" s="254" t="inlineStr">
        <is>
          <t>Wire
Cost</t>
        </is>
      </c>
      <c r="U195" s="254" t="inlineStr">
        <is>
          <t>Plating Cost</t>
        </is>
      </c>
      <c r="V195" s="254" t="inlineStr">
        <is>
          <t>Stone
Cost</t>
        </is>
      </c>
      <c r="W195" s="254" t="inlineStr">
        <is>
          <t>Setting
Cost</t>
        </is>
      </c>
      <c r="X195" s="255" t="inlineStr">
        <is>
          <t>Labor
Cost</t>
        </is>
      </c>
      <c r="Y195" s="256" t="inlineStr">
        <is>
          <t>Gold &amp; 5%
Cost</t>
        </is>
      </c>
      <c r="Z195" s="255" t="inlineStr">
        <is>
          <t>Current Gold &amp;
5% Cost</t>
        </is>
      </c>
      <c r="AA195" s="269" t="n"/>
      <c r="AB195" s="269" t="n"/>
      <c r="AC195" s="269" t="n"/>
      <c r="AD195" s="269" t="n"/>
      <c r="AE195" s="269" t="n"/>
      <c r="AG195" s="270" t="n"/>
    </row>
    <row r="196" ht="27" customFormat="1" customHeight="1" s="257">
      <c r="A196" s="258" t="inlineStr">
        <is>
          <t>IDD250318RB-2-14K</t>
        </is>
      </c>
      <c r="B196" s="259" t="inlineStr">
        <is>
          <t>K01567B01 6.75"</t>
        </is>
      </c>
      <c r="C196" s="259" t="inlineStr">
        <is>
          <t>FSBG5238S8YS</t>
        </is>
      </c>
      <c r="D196" s="259" t="n">
        <v>148341</v>
      </c>
      <c r="E196" s="259" t="n">
        <v>101</v>
      </c>
      <c r="F196" s="259" t="inlineStr">
        <is>
          <t>14K YG</t>
        </is>
      </c>
      <c r="G196" s="260" t="n">
        <v>2</v>
      </c>
      <c r="H196" s="261" t="n">
        <v>76.89</v>
      </c>
      <c r="I196" s="261" t="n">
        <v>3.25</v>
      </c>
      <c r="J196" s="261" t="n">
        <v>1.76</v>
      </c>
      <c r="K196" s="262">
        <f>H196-I196-J196</f>
        <v/>
      </c>
      <c r="L196" s="263" t="n">
        <v>2.1</v>
      </c>
      <c r="M196" s="263" t="inlineStr">
        <is>
          <t>W</t>
        </is>
      </c>
      <c r="N196" s="264" t="n">
        <v>219</v>
      </c>
      <c r="O196" s="265" t="n">
        <v>10.5</v>
      </c>
      <c r="P196" s="266" t="n">
        <v>16.235</v>
      </c>
      <c r="Q196" s="267" t="n"/>
      <c r="R196" s="267" t="n"/>
      <c r="S196" s="267">
        <f>0.02*N196*G196</f>
        <v/>
      </c>
      <c r="T196" s="267">
        <f>4*G196</f>
        <v/>
      </c>
      <c r="U196" s="267">
        <f>0.15*N196*G196</f>
        <v/>
      </c>
      <c r="V196" s="267" t="n"/>
      <c r="W196" s="267">
        <f>G196*N196*0.3</f>
        <v/>
      </c>
      <c r="X196" s="267">
        <f>K196*O196</f>
        <v/>
      </c>
      <c r="Y196" s="267">
        <f>($Y$194/31.1035*IF(LEFT(F196,3)="10K",(0.417*1.07*K196),IF(LEFT(F196,3)="14K",(0.585*1.05*K196),IF(LEFT(F196,3)="18K",(0.75*1.05*K196),0))))*0.5</f>
        <v/>
      </c>
      <c r="Z196" s="268">
        <f>($Z$194/31.1035*IF(LEFT(F196,3)="10K",(0.417*1.07*K196),IF(LEFT(F196,3)="14K",(0.585*1.05*K196),IF(LEFT(F196,3)="18K",(0.75*1.05*K196),0))))*0.5</f>
        <v/>
      </c>
      <c r="AA196" s="269">
        <f>2*K196</f>
        <v/>
      </c>
      <c r="AB196" s="269" t="n">
        <v>824.84</v>
      </c>
      <c r="AC196" s="269" t="n">
        <v>8860.19403627166</v>
      </c>
      <c r="AD196" s="269" t="n">
        <v>9685.03403627166</v>
      </c>
      <c r="AE196" s="269">
        <f>IF(LEFT(F196,3)="10K",(0.417*1.07*K196),IF(LEFT(F196,3)="14K",(0.585*1.05*K196),IF(LEFT(F196,3)="18K",(0.75*1.05*K196),0)))</f>
        <v/>
      </c>
      <c r="AG196" s="270">
        <f>X196</f>
        <v/>
      </c>
    </row>
    <row r="197" ht="54.75" customFormat="1" customHeight="1" s="257">
      <c r="A197" s="258" t="n">
        <v>7</v>
      </c>
      <c r="B197" s="259" t="inlineStr">
        <is>
          <t>K02057B01 6.75"</t>
        </is>
      </c>
      <c r="C197" s="259" t="inlineStr">
        <is>
          <t>FSBG5246S8WS</t>
        </is>
      </c>
      <c r="D197" s="259" t="n">
        <v>148341</v>
      </c>
      <c r="E197" s="259" t="n">
        <v>112</v>
      </c>
      <c r="F197" s="259" t="inlineStr">
        <is>
          <t>14K WG</t>
        </is>
      </c>
      <c r="G197" s="260" t="n">
        <v>2</v>
      </c>
      <c r="H197" s="261" t="n">
        <v>22.15</v>
      </c>
      <c r="I197" s="261" t="n">
        <v>0.24</v>
      </c>
      <c r="J197" s="261" t="n">
        <v>0.64</v>
      </c>
      <c r="K197" s="262">
        <f>H197-I197-J197</f>
        <v/>
      </c>
      <c r="L197" s="263" t="inlineStr">
        <is>
          <t>1.30mm
1.40mm
1.50mm
1.60mm</t>
        </is>
      </c>
      <c r="M197" s="263" t="inlineStr">
        <is>
          <t>W
W
W
W</t>
        </is>
      </c>
      <c r="N197" s="264" t="inlineStr">
        <is>
          <t>6pcs
18pcs
18pcs
3pcs</t>
        </is>
      </c>
      <c r="O197" s="265" t="n">
        <v>8.5</v>
      </c>
      <c r="P197" s="266" t="n">
        <v>1.18</v>
      </c>
      <c r="Q197" s="267" t="n"/>
      <c r="R197" s="267" t="n"/>
      <c r="S197" s="267">
        <f>0.02*(6+18+18+3)*G197</f>
        <v/>
      </c>
      <c r="T197" s="267">
        <f>2*G197</f>
        <v/>
      </c>
      <c r="U197" s="267">
        <f>IF(RIGHT(F197,2)="WG",K197*$AB$4,IF(RIGHT(F197,3)="WRG",K197*$AB$4+3*G197,IF(RIGHT(F197,3)="WYG",K197*$AB$4+3*G197,IF(RIGHT(F197,3)="WYR",K197*$AB$4+3*G197,0))))</f>
        <v/>
      </c>
      <c r="V197" s="267" t="n"/>
      <c r="W197" s="267">
        <f>G197*(6+18+18+3)*0.3</f>
        <v/>
      </c>
      <c r="X197" s="267">
        <f>K197*O197</f>
        <v/>
      </c>
      <c r="Y197" s="267">
        <f>($Y$194/31.1035*IF(LEFT(F197,3)="10K",(0.417*1.07*K197),IF(LEFT(F197,3)="14K",(0.585*1.05*K197),IF(LEFT(F197,3)="18K",(0.75*1.05*K197),0))))*0.5</f>
        <v/>
      </c>
      <c r="Z197" s="268">
        <f>($Z$194/31.1035*IF(LEFT(F197,3)="10K",(0.417*1.07*K197),IF(LEFT(F197,3)="14K",(0.585*1.05*K197),IF(LEFT(F197,3)="18K",(0.75*1.05*K197),0))))*0.5</f>
        <v/>
      </c>
      <c r="AA197" s="269">
        <f>2*K197</f>
        <v/>
      </c>
      <c r="AB197" s="269" t="n">
        <v>176.1598</v>
      </c>
      <c r="AC197" s="269" t="n">
        <v>1353.61282255008</v>
      </c>
      <c r="AD197" s="269" t="n">
        <v>1529.77262255008</v>
      </c>
      <c r="AE197" s="269">
        <f>IF(LEFT(F197,3)="10K",(0.417*1.07*K197),IF(LEFT(F197,3)="14K",(0.585*1.05*K197),IF(LEFT(F197,3)="18K",(0.75*1.05*K197),0)))</f>
        <v/>
      </c>
      <c r="AG197" s="270">
        <f>X197</f>
        <v/>
      </c>
    </row>
    <row r="198" ht="54.75" customFormat="1" customHeight="1" s="257">
      <c r="A198" s="258" t="n">
        <v>20</v>
      </c>
      <c r="B198" s="259" t="inlineStr">
        <is>
          <t>K02057B01 6.75"</t>
        </is>
      </c>
      <c r="C198" s="259" t="inlineStr">
        <is>
          <t>FSBG5246S8PS</t>
        </is>
      </c>
      <c r="D198" s="259" t="n">
        <v>148341</v>
      </c>
      <c r="E198" s="259" t="n">
        <v>120</v>
      </c>
      <c r="F198" s="259" t="inlineStr">
        <is>
          <t>14K RG</t>
        </is>
      </c>
      <c r="G198" s="260" t="n">
        <v>1</v>
      </c>
      <c r="H198" s="261" t="n">
        <v>11.52</v>
      </c>
      <c r="I198" s="261" t="n">
        <v>0.11</v>
      </c>
      <c r="J198" s="261" t="n">
        <v>0.32</v>
      </c>
      <c r="K198" s="262">
        <f>H198-I198-J198</f>
        <v/>
      </c>
      <c r="L198" s="263" t="inlineStr">
        <is>
          <t>1.30mm
1.40mm
1.50mm
1.60mm</t>
        </is>
      </c>
      <c r="M198" s="263" t="inlineStr">
        <is>
          <t>W
W
W
W</t>
        </is>
      </c>
      <c r="N198" s="264" t="inlineStr">
        <is>
          <t>6pcs
18pcs
18pcs
3pcs</t>
        </is>
      </c>
      <c r="O198" s="265" t="n">
        <v>8.5</v>
      </c>
      <c r="P198" s="266" t="n">
        <v>0.5600000000000001</v>
      </c>
      <c r="Q198" s="267" t="n"/>
      <c r="R198" s="267" t="n"/>
      <c r="S198" s="267">
        <f>0.02*(6+18+18+3)*G198</f>
        <v/>
      </c>
      <c r="T198" s="267">
        <f>2*G198</f>
        <v/>
      </c>
      <c r="U198" s="267">
        <f>IF(RIGHT(F198,2)="WG",K198*$AB$4,IF(RIGHT(F198,3)="WRG",K198*$AB$4+3*G198,IF(RIGHT(F198,3)="WYG",K198*$AB$4+3*G198,IF(RIGHT(F198,3)="WYR",K198*$AB$4+3*G198,0))))</f>
        <v/>
      </c>
      <c r="V198" s="267" t="n"/>
      <c r="W198" s="267">
        <f>G198*(6+18+18+3)*0.3</f>
        <v/>
      </c>
      <c r="X198" s="267">
        <f>K198*O198</f>
        <v/>
      </c>
      <c r="Y198" s="267">
        <f>($Y$194/31.1035*IF(LEFT(F198,3)="10K",(0.417*1.07*K198),IF(LEFT(F198,3)="14K",(0.585*1.05*K198),IF(LEFT(F198,3)="18K",(0.75*1.05*K198),0))))*0.5</f>
        <v/>
      </c>
      <c r="Z198" s="268">
        <f>($Z$194/31.1035*IF(LEFT(F198,3)="10K",(0.417*1.07*K198),IF(LEFT(F198,3)="14K",(0.585*1.05*K198),IF(LEFT(F198,3)="18K",(0.75*1.05*K198),0))))*0.5</f>
        <v/>
      </c>
      <c r="AA198" s="269">
        <f>2*K198</f>
        <v/>
      </c>
      <c r="AB198" s="269" t="n">
        <v>88.485</v>
      </c>
      <c r="AC198" s="269" t="n">
        <v>686.431127650886</v>
      </c>
      <c r="AD198" s="269" t="n">
        <v>774.916127650886</v>
      </c>
      <c r="AE198" s="269">
        <f>IF(LEFT(F198,3)="10K",(0.417*1.07*K198),IF(LEFT(F198,3)="14K",(0.585*1.05*K198),IF(LEFT(F198,3)="18K",(0.75*1.05*K198),0)))</f>
        <v/>
      </c>
      <c r="AG198" s="270">
        <f>X198</f>
        <v/>
      </c>
    </row>
    <row r="199" ht="27" customFormat="1" customHeight="1" s="257">
      <c r="A199" s="258" t="n">
        <v>9</v>
      </c>
      <c r="B199" s="259" t="inlineStr">
        <is>
          <t>K02339B01 6.75"</t>
        </is>
      </c>
      <c r="C199" s="259" t="inlineStr">
        <is>
          <t>FSBG5296S8YS</t>
        </is>
      </c>
      <c r="D199" s="259" t="n">
        <v>148341</v>
      </c>
      <c r="E199" s="259" t="n">
        <v>117</v>
      </c>
      <c r="F199" s="259" t="inlineStr">
        <is>
          <t>14K YG</t>
        </is>
      </c>
      <c r="G199" s="260" t="n">
        <v>1</v>
      </c>
      <c r="H199" s="261" t="n">
        <v>23</v>
      </c>
      <c r="I199" s="261" t="n">
        <v>0.22</v>
      </c>
      <c r="J199" s="261" t="n">
        <v>0.96</v>
      </c>
      <c r="K199" s="262">
        <f>H199-I199-J199</f>
        <v/>
      </c>
      <c r="L199" s="263" t="n">
        <v>1.05</v>
      </c>
      <c r="M199" s="263" t="inlineStr">
        <is>
          <t>W</t>
        </is>
      </c>
      <c r="N199" s="264" t="n">
        <v>248</v>
      </c>
      <c r="O199" s="265" t="n">
        <v>12</v>
      </c>
      <c r="P199" s="266" t="n">
        <v>1.09</v>
      </c>
      <c r="Q199" s="267" t="n"/>
      <c r="R199" s="267" t="n"/>
      <c r="S199" s="267">
        <f>0.02*N199*G199</f>
        <v/>
      </c>
      <c r="T199" s="267">
        <f>4*G199</f>
        <v/>
      </c>
      <c r="U199" s="267">
        <f>0.15*N199*G199</f>
        <v/>
      </c>
      <c r="V199" s="267" t="n"/>
      <c r="W199" s="267">
        <f>G199*N199*0.3</f>
        <v/>
      </c>
      <c r="X199" s="267">
        <f>K199*O199</f>
        <v/>
      </c>
      <c r="Y199" s="267">
        <f>($Y$194/31.1035*IF(LEFT(F199,3)="10K",(0.417*1.07*K199),IF(LEFT(F199,3)="14K",(0.585*1.05*K199),IF(LEFT(F199,3)="18K",(0.75*1.05*K199),0))))*0.5</f>
        <v/>
      </c>
      <c r="Z199" s="268">
        <f>($Z$194/31.1035*IF(LEFT(F199,3)="10K",(0.417*1.07*K199),IF(LEFT(F199,3)="14K",(0.585*1.05*K199),IF(LEFT(F199,3)="18K",(0.75*1.05*K199),0))))*0.5</f>
        <v/>
      </c>
      <c r="AA199" s="269">
        <f>2*K199</f>
        <v/>
      </c>
      <c r="AB199" s="269" t="n">
        <v>338.76</v>
      </c>
      <c r="AC199" s="269" t="n">
        <v>1346.44278167762</v>
      </c>
      <c r="AD199" s="269" t="n">
        <v>1685.20278167762</v>
      </c>
      <c r="AE199" s="269">
        <f>IF(LEFT(F199,3)="10K",(0.417*1.07*K199),IF(LEFT(F199,3)="14K",(0.585*1.05*K199),IF(LEFT(F199,3)="18K",(0.75*1.05*K199),0)))</f>
        <v/>
      </c>
      <c r="AG199" s="270">
        <f>X199</f>
        <v/>
      </c>
    </row>
    <row r="200" ht="42" customFormat="1" customHeight="1" s="257">
      <c r="A200" s="258" t="n">
        <v>12</v>
      </c>
      <c r="B200" s="259" t="inlineStr">
        <is>
          <t>K0107R131 #6.5-8.0</t>
        </is>
      </c>
      <c r="C200" s="259" t="inlineStr">
        <is>
          <t>FSR5016S8YWS</t>
        </is>
      </c>
      <c r="D200" s="259" t="n">
        <v>148341</v>
      </c>
      <c r="E200" s="259" t="n">
        <v>122</v>
      </c>
      <c r="F200" s="259" t="inlineStr">
        <is>
          <t>14K WYG</t>
        </is>
      </c>
      <c r="G200" s="260" t="n">
        <v>1</v>
      </c>
      <c r="H200" s="261" t="n">
        <v>5.86</v>
      </c>
      <c r="I200" s="261" t="n">
        <v>0.11</v>
      </c>
      <c r="J200" s="261" t="n">
        <v>0.3</v>
      </c>
      <c r="K200" s="262">
        <f>H200-I200-J200</f>
        <v/>
      </c>
      <c r="L200" s="263" t="inlineStr">
        <is>
          <t>1.30mm
2.30mm
2.95mm</t>
        </is>
      </c>
      <c r="M200" s="263" t="inlineStr">
        <is>
          <t>W
W
W</t>
        </is>
      </c>
      <c r="N200" s="264" t="inlineStr">
        <is>
          <t>36pcs
2pcs
2pcs</t>
        </is>
      </c>
      <c r="O200" s="265" t="n">
        <v>12.5</v>
      </c>
      <c r="P200" s="266" t="n">
        <v>0.57</v>
      </c>
      <c r="Q200" s="267" t="n"/>
      <c r="R200" s="267" t="n"/>
      <c r="S200" s="267">
        <f>0.02*(36+2+2)*G200</f>
        <v/>
      </c>
      <c r="T200" s="267">
        <f>4*G200</f>
        <v/>
      </c>
      <c r="U200" s="267">
        <f>IF(RIGHT(F200,2)="WG",K200*$AB$4,IF(RIGHT(F200,3)="WRG",K200*$AB$4+3*G200,IF(RIGHT(F200,3)="WYG",K200*$AB$4+3*G200,IF(RIGHT(F200,3)="WYR",K200*$AB$4+3*G200,0))))</f>
        <v/>
      </c>
      <c r="V200" s="267" t="n"/>
      <c r="W200" s="267">
        <f>((36+2)*0.3+(0.5*2))*G200</f>
        <v/>
      </c>
      <c r="X200" s="267">
        <f>K200*O200</f>
        <v/>
      </c>
      <c r="Y200" s="267">
        <f>($Y$194/31.1035*IF(LEFT(F200,3)="10K",(0.417*1.07*K200),IF(LEFT(F200,3)="14K",(0.585*1.05*K200),IF(LEFT(F200,3)="18K",(0.75*1.05*K200),0))))*0.5</f>
        <v/>
      </c>
      <c r="Z200" s="268">
        <f>($Z$194/31.1035*IF(LEFT(F200,3)="10K",(0.417*1.07*K200),IF(LEFT(F200,3)="14K",(0.585*1.05*K200),IF(LEFT(F200,3)="18K",(0.75*1.05*K200),0))))*0.5</f>
        <v/>
      </c>
      <c r="AA200" s="269">
        <f>2*K200</f>
        <v/>
      </c>
      <c r="AB200" s="269" t="n">
        <v>78.733</v>
      </c>
      <c r="AC200" s="269" t="n">
        <v>440.495858858937</v>
      </c>
      <c r="AD200" s="269" t="n">
        <v>519.228858858937</v>
      </c>
      <c r="AE200" s="269">
        <f>IF(LEFT(F200,3)="10K",(0.417*1.07*K200),IF(LEFT(F200,3)="14K",(0.585*1.05*K200),IF(LEFT(F200,3)="18K",(0.75*1.05*K200),0)))</f>
        <v/>
      </c>
      <c r="AG200" s="270">
        <f>X200</f>
        <v/>
      </c>
    </row>
    <row r="201" ht="15.75" customFormat="1" customHeight="1" s="271">
      <c r="A201" s="272" t="inlineStr">
        <is>
          <t>SUBTOTAL</t>
        </is>
      </c>
      <c r="B201" s="273" t="n"/>
      <c r="C201" s="273" t="n"/>
      <c r="D201" s="273" t="n"/>
      <c r="E201" s="273" t="n"/>
      <c r="F201" s="273" t="n"/>
      <c r="G201" s="274">
        <f>SUM(G196:G200)</f>
        <v/>
      </c>
      <c r="H201" s="275" t="n"/>
      <c r="I201" s="275" t="n"/>
      <c r="J201" s="275" t="n"/>
      <c r="K201" s="275">
        <f>SUM(K196:K200)</f>
        <v/>
      </c>
      <c r="L201" s="276" t="n"/>
      <c r="M201" s="276" t="n"/>
      <c r="N201" s="276" t="n"/>
      <c r="O201" s="277" t="n"/>
      <c r="P201" s="278">
        <f>SUM(P196:P200)</f>
        <v/>
      </c>
      <c r="Q201" s="279">
        <f>SUM(Q196:Q200)</f>
        <v/>
      </c>
      <c r="R201" s="279">
        <f>SUM(R196:R200)</f>
        <v/>
      </c>
      <c r="S201" s="279">
        <f>SUM(S196:S200)</f>
        <v/>
      </c>
      <c r="T201" s="279">
        <f>SUM(T196:T200)</f>
        <v/>
      </c>
      <c r="U201" s="279">
        <f>SUM(U196:U200)</f>
        <v/>
      </c>
      <c r="V201" s="279">
        <f>SUM(V196:V200)</f>
        <v/>
      </c>
      <c r="W201" s="279">
        <f>SUM(W196:W200)</f>
        <v/>
      </c>
      <c r="X201" s="279">
        <f>SUM(X196:X200)</f>
        <v/>
      </c>
      <c r="Y201" s="279">
        <f>SUM(Y196:Y200)</f>
        <v/>
      </c>
      <c r="Z201" s="280">
        <f>SUM(Z196:Z200)</f>
        <v/>
      </c>
      <c r="AA201" s="269" t="n"/>
      <c r="AB201" s="269" t="n"/>
      <c r="AC201" s="269" t="n"/>
      <c r="AD201" s="269" t="n"/>
      <c r="AE201" s="269" t="n"/>
      <c r="AG201" s="270" t="n"/>
    </row>
    <row r="202" ht="15.75" customHeight="1" s="240">
      <c r="A202" s="241" t="inlineStr">
        <is>
          <t>Buyer Dia</t>
        </is>
      </c>
      <c r="K202" s="242" t="n"/>
      <c r="L202" s="243" t="n"/>
      <c r="M202" s="243" t="n"/>
      <c r="N202" s="243" t="n"/>
      <c r="W202" s="244" t="n"/>
      <c r="X202" s="245" t="inlineStr">
        <is>
          <t>27 Mar London AM + 2%</t>
        </is>
      </c>
      <c r="Y202" s="246" t="n">
        <v>3112.734</v>
      </c>
      <c r="Z202" s="246" t="n">
        <v>3112.734</v>
      </c>
      <c r="AA202" s="269" t="n"/>
      <c r="AB202" s="269" t="n"/>
      <c r="AC202" s="269" t="n"/>
      <c r="AD202" s="269" t="n"/>
      <c r="AE202" s="269" t="n"/>
      <c r="AG202" s="270" t="n"/>
    </row>
    <row r="203" ht="27" customFormat="1" customHeight="1" s="247">
      <c r="A203" s="248" t="inlineStr">
        <is>
          <t>PO#</t>
        </is>
      </c>
      <c r="B203" s="249" t="inlineStr">
        <is>
          <t>Item No.</t>
        </is>
      </c>
      <c r="C203" s="249" t="inlineStr">
        <is>
          <t>Buyer No.</t>
        </is>
      </c>
      <c r="D203" s="249" t="inlineStr">
        <is>
          <t>Buyer PO</t>
        </is>
      </c>
      <c r="E203" s="249" t="inlineStr">
        <is>
          <t>IDD PO SERIAL#</t>
        </is>
      </c>
      <c r="F203" s="249" t="inlineStr">
        <is>
          <t>Metal</t>
        </is>
      </c>
      <c r="G203" s="249" t="inlineStr">
        <is>
          <t>Q'ty</t>
        </is>
      </c>
      <c r="H203" s="250" t="inlineStr">
        <is>
          <t>Total w't</t>
        </is>
      </c>
      <c r="I203" s="250" t="inlineStr">
        <is>
          <t>Dia w't</t>
        </is>
      </c>
      <c r="J203" s="250" t="inlineStr">
        <is>
          <t>Wire w't</t>
        </is>
      </c>
      <c r="K203" s="250" t="inlineStr">
        <is>
          <t>Gold w't</t>
        </is>
      </c>
      <c r="L203" s="251" t="inlineStr">
        <is>
          <t>Stone</t>
        </is>
      </c>
      <c r="M203" s="251" t="inlineStr">
        <is>
          <t>Color</t>
        </is>
      </c>
      <c r="N203" s="251" t="inlineStr">
        <is>
          <t>Stone Q'ty</t>
        </is>
      </c>
      <c r="O203" s="252" t="inlineStr">
        <is>
          <t>Labor</t>
        </is>
      </c>
      <c r="P203" s="253" t="inlineStr">
        <is>
          <t>Dia Carat</t>
        </is>
      </c>
      <c r="Q203" s="254" t="inlineStr">
        <is>
          <t>Extra Cost</t>
        </is>
      </c>
      <c r="R203" s="254" t="inlineStr">
        <is>
          <t>Dia Packaging Cost</t>
        </is>
      </c>
      <c r="S203" s="254" t="inlineStr">
        <is>
          <t>Dia Handling Service Fee</t>
        </is>
      </c>
      <c r="T203" s="254" t="inlineStr">
        <is>
          <t>Wire
Cost</t>
        </is>
      </c>
      <c r="U203" s="254" t="inlineStr">
        <is>
          <t>Plating Cost</t>
        </is>
      </c>
      <c r="V203" s="254" t="inlineStr">
        <is>
          <t>Stone
Cost</t>
        </is>
      </c>
      <c r="W203" s="254" t="inlineStr">
        <is>
          <t>Setting
Cost</t>
        </is>
      </c>
      <c r="X203" s="255" t="inlineStr">
        <is>
          <t>Labor
Cost</t>
        </is>
      </c>
      <c r="Y203" s="256" t="inlineStr">
        <is>
          <t>Gold &amp; 5%
Cost</t>
        </is>
      </c>
      <c r="Z203" s="255" t="inlineStr">
        <is>
          <t>Current Gold &amp;
5% Cost</t>
        </is>
      </c>
      <c r="AA203" s="269" t="n"/>
      <c r="AB203" s="269" t="n"/>
      <c r="AC203" s="269" t="n"/>
      <c r="AD203" s="269" t="n"/>
      <c r="AE203" s="269" t="n"/>
      <c r="AG203" s="270" t="n"/>
    </row>
    <row r="204" ht="27" customFormat="1" customHeight="1" s="257">
      <c r="A204" s="258" t="inlineStr">
        <is>
          <t>IDD250324RB-3-14K</t>
        </is>
      </c>
      <c r="B204" s="259" t="inlineStr">
        <is>
          <t>K0038B293 6.50"</t>
        </is>
      </c>
      <c r="C204" s="259" t="inlineStr">
        <is>
          <t>FSBG5252TPKW-6C</t>
        </is>
      </c>
      <c r="D204" s="259" t="n">
        <v>148438</v>
      </c>
      <c r="E204" s="259" t="n">
        <v>101</v>
      </c>
      <c r="F204" s="259" t="inlineStr">
        <is>
          <t>14K WG</t>
        </is>
      </c>
      <c r="G204" s="260" t="n">
        <v>2</v>
      </c>
      <c r="H204" s="261" t="n">
        <v>15.34</v>
      </c>
      <c r="I204" s="261" t="n">
        <v>0.4</v>
      </c>
      <c r="J204" s="261" t="n">
        <v>0.62</v>
      </c>
      <c r="K204" s="262">
        <f>H204-I204-J204</f>
        <v/>
      </c>
      <c r="L204" s="263" t="inlineStr">
        <is>
          <t>1.40mm
1.50mm</t>
        </is>
      </c>
      <c r="M204" s="263" t="inlineStr">
        <is>
          <t>W
W</t>
        </is>
      </c>
      <c r="N204" s="264" t="inlineStr">
        <is>
          <t>38pcs
45pcs</t>
        </is>
      </c>
      <c r="O204" s="265" t="n">
        <v>8.5</v>
      </c>
      <c r="P204" s="266" t="n">
        <v>2.01</v>
      </c>
      <c r="Q204" s="267" t="n"/>
      <c r="R204" s="267" t="n"/>
      <c r="S204" s="267">
        <f>0.02*(38+45)*G204</f>
        <v/>
      </c>
      <c r="T204" s="267">
        <f>2.3*G204</f>
        <v/>
      </c>
      <c r="U204" s="267">
        <f>IF(RIGHT(F204,2)="WG",K204*$AB$4,IF(RIGHT(F204,3)="WRG",K204*$AB$4+3*G204,IF(RIGHT(F204,3)="WYG",K204*$AB$4+3*G204,IF(RIGHT(F204,3)="WYR",K204*$AB$4+3*G204,0))))</f>
        <v/>
      </c>
      <c r="V204" s="267" t="n"/>
      <c r="W204" s="267">
        <f>G204*(38+45)*0.3</f>
        <v/>
      </c>
      <c r="X204" s="267">
        <f>K204*O204</f>
        <v/>
      </c>
      <c r="Y204" s="267">
        <f>($Y$202/31.1035*IF(LEFT(F204,3)="10K",(0.417*1.07*K204),IF(LEFT(F204,3)="14K",(0.585*1.05*K204),IF(LEFT(F204,3)="18K",(0.75*1.05*K204),0))))*0.5</f>
        <v/>
      </c>
      <c r="Z204" s="268">
        <f>($Z$202/31.1035*IF(LEFT(F204,3)="10K",(0.417*1.07*K204),IF(LEFT(F204,3)="14K",(0.585*1.05*K204),IF(LEFT(F204,3)="18K",(0.75*1.05*K204),0))))*0.5</f>
        <v/>
      </c>
      <c r="AA204" s="269">
        <f>2*K204</f>
        <v/>
      </c>
      <c r="AB204" s="269" t="n">
        <v>154.2368</v>
      </c>
      <c r="AC204" s="269" t="n">
        <v>1336.68993281836</v>
      </c>
      <c r="AD204" s="269" t="n">
        <v>1490.92673281836</v>
      </c>
      <c r="AE204" s="269">
        <f>IF(LEFT(F204,3)="10K",(0.417*1.07*K204),IF(LEFT(F204,3)="14K",(0.585*1.05*K204),IF(LEFT(F204,3)="18K",(0.75*1.05*K204),0)))</f>
        <v/>
      </c>
      <c r="AG204" s="270">
        <f>X204</f>
        <v/>
      </c>
    </row>
    <row r="205" ht="27" customFormat="1" customHeight="1" s="257">
      <c r="A205" s="258" t="n">
        <v>20</v>
      </c>
      <c r="B205" s="259" t="inlineStr">
        <is>
          <t>K0038B293 6.50"</t>
        </is>
      </c>
      <c r="C205" s="259" t="inlineStr">
        <is>
          <t>FSBG5252TPKY-6C</t>
        </is>
      </c>
      <c r="D205" s="259" t="n">
        <v>148438</v>
      </c>
      <c r="E205" s="259" t="n">
        <v>110</v>
      </c>
      <c r="F205" s="259" t="inlineStr">
        <is>
          <t>14K YG</t>
        </is>
      </c>
      <c r="G205" s="260" t="n">
        <v>2</v>
      </c>
      <c r="H205" s="261" t="n">
        <v>15.12</v>
      </c>
      <c r="I205" s="261" t="n">
        <v>0.41</v>
      </c>
      <c r="J205" s="261" t="n">
        <v>0.62</v>
      </c>
      <c r="K205" s="262">
        <f>H205-I205-J205</f>
        <v/>
      </c>
      <c r="L205" s="263" t="inlineStr">
        <is>
          <t>1.40mm
1.50mm</t>
        </is>
      </c>
      <c r="M205" s="263" t="inlineStr">
        <is>
          <t>W
W</t>
        </is>
      </c>
      <c r="N205" s="264" t="inlineStr">
        <is>
          <t>38pcs
45pcs</t>
        </is>
      </c>
      <c r="O205" s="265" t="n">
        <v>8.5</v>
      </c>
      <c r="P205" s="266" t="n">
        <v>2.05</v>
      </c>
      <c r="Q205" s="267" t="n"/>
      <c r="R205" s="267" t="n"/>
      <c r="S205" s="267">
        <f>0.02*(38+45)*G205</f>
        <v/>
      </c>
      <c r="T205" s="267">
        <f>2.3*G205</f>
        <v/>
      </c>
      <c r="U205" s="267">
        <f>IF(RIGHT(F205,2)="WG",K205*$AB$4,IF(RIGHT(F205,3)="WRG",K205*$AB$4+3*G205,IF(RIGHT(F205,3)="WYG",K205*$AB$4+3*G205,IF(RIGHT(F205,3)="WYR",K205*$AB$4+3*G205,0))))</f>
        <v/>
      </c>
      <c r="V205" s="267" t="n"/>
      <c r="W205" s="267">
        <f>G205*(38+45)*0.3</f>
        <v/>
      </c>
      <c r="X205" s="267">
        <f>K205*O205</f>
        <v/>
      </c>
      <c r="Y205" s="267">
        <f>($Y$202/31.1035*IF(LEFT(F205,3)="10K",(0.417*1.07*K205),IF(LEFT(F205,3)="14K",(0.585*1.05*K205),IF(LEFT(F205,3)="18K",(0.75*1.05*K205),0))))*0.5</f>
        <v/>
      </c>
      <c r="Z205" s="268">
        <f>($Z$202/31.1035*IF(LEFT(F205,3)="10K",(0.417*1.07*K205),IF(LEFT(F205,3)="14K",(0.585*1.05*K205),IF(LEFT(F205,3)="18K",(0.75*1.05*K205),0))))*0.5</f>
        <v/>
      </c>
      <c r="AA205" s="269">
        <f>2*K205</f>
        <v/>
      </c>
      <c r="AB205" s="269" t="n">
        <v>149.305</v>
      </c>
      <c r="AC205" s="269" t="n">
        <v>1340.51543765056</v>
      </c>
      <c r="AD205" s="269" t="n">
        <v>1489.82043765056</v>
      </c>
      <c r="AE205" s="269">
        <f>IF(LEFT(F205,3)="10K",(0.417*1.07*K205),IF(LEFT(F205,3)="14K",(0.585*1.05*K205),IF(LEFT(F205,3)="18K",(0.75*1.05*K205),0)))</f>
        <v/>
      </c>
      <c r="AG205" s="270">
        <f>X205</f>
        <v/>
      </c>
    </row>
    <row r="206" ht="27" customFormat="1" customHeight="1" s="257">
      <c r="A206" s="258" t="n">
        <v>3</v>
      </c>
      <c r="B206" s="259" t="inlineStr">
        <is>
          <t>K02291B01 6.50"</t>
        </is>
      </c>
      <c r="C206" s="259" t="inlineStr">
        <is>
          <t>FSBG5278S8P-6C</t>
        </is>
      </c>
      <c r="D206" s="259" t="n">
        <v>148438</v>
      </c>
      <c r="E206" s="259" t="n">
        <v>103</v>
      </c>
      <c r="F206" s="259" t="inlineStr">
        <is>
          <t>14K RG</t>
        </is>
      </c>
      <c r="G206" s="260" t="n">
        <v>1</v>
      </c>
      <c r="H206" s="261" t="n">
        <v>8.789999999999999</v>
      </c>
      <c r="I206" s="261" t="n">
        <v>0.19</v>
      </c>
      <c r="J206" s="261" t="n">
        <v>0.31</v>
      </c>
      <c r="K206" s="262">
        <f>H206-I206-J206</f>
        <v/>
      </c>
      <c r="L206" s="263" t="n">
        <v>1.8</v>
      </c>
      <c r="M206" s="263" t="inlineStr">
        <is>
          <t>W</t>
        </is>
      </c>
      <c r="N206" s="264" t="n">
        <v>39</v>
      </c>
      <c r="O206" s="265" t="n">
        <v>8.5</v>
      </c>
      <c r="P206" s="266" t="n">
        <v>0.95</v>
      </c>
      <c r="Q206" s="267" t="n"/>
      <c r="R206" s="267" t="n"/>
      <c r="S206" s="267">
        <f>0.02*N206*G206</f>
        <v/>
      </c>
      <c r="T206" s="267">
        <f>2.3*G206</f>
        <v/>
      </c>
      <c r="U206" s="267">
        <f>IF(RIGHT(F206,2)="WG",K206*$AB$4,IF(RIGHT(F206,3)="WRG",K206*$AB$4+3*G206,IF(RIGHT(F206,3)="WYG",K206*$AB$4+3*G206,IF(RIGHT(F206,3)="WYR",K206*$AB$4+3*G206,0))))</f>
        <v/>
      </c>
      <c r="V206" s="267" t="n"/>
      <c r="W206" s="267">
        <f>G206*N206*0.3</f>
        <v/>
      </c>
      <c r="X206" s="267">
        <f>K206*O206</f>
        <v/>
      </c>
      <c r="Y206" s="267">
        <f>($Y$202/31.1035*IF(LEFT(F206,3)="10K",(0.417*1.07*K206),IF(LEFT(F206,3)="14K",(0.585*1.05*K206),IF(LEFT(F206,3)="18K",(0.75*1.05*K206),0))))*0.5</f>
        <v/>
      </c>
      <c r="Z206" s="268">
        <f>($Z$202/31.1035*IF(LEFT(F206,3)="10K",(0.417*1.07*K206),IF(LEFT(F206,3)="14K",(0.585*1.05*K206),IF(LEFT(F206,3)="18K",(0.75*1.05*K206),0))))*0.5</f>
        <v/>
      </c>
      <c r="AA206" s="269">
        <f>2*K206</f>
        <v/>
      </c>
      <c r="AB206" s="269" t="n">
        <v>68.66500000000001</v>
      </c>
      <c r="AC206" s="269" t="n">
        <v>699.073804764895</v>
      </c>
      <c r="AD206" s="269" t="n">
        <v>767.738804764895</v>
      </c>
      <c r="AE206" s="269">
        <f>IF(LEFT(F206,3)="10K",(0.417*1.07*K206),IF(LEFT(F206,3)="14K",(0.585*1.05*K206),IF(LEFT(F206,3)="18K",(0.75*1.05*K206),0)))</f>
        <v/>
      </c>
      <c r="AG206" s="270">
        <f>X206</f>
        <v/>
      </c>
    </row>
    <row r="207" ht="54.75" customFormat="1" customHeight="1" s="257">
      <c r="A207" s="258" t="n">
        <v>4</v>
      </c>
      <c r="B207" s="259" t="inlineStr">
        <is>
          <t>K0098B600 6.50"</t>
        </is>
      </c>
      <c r="C207" s="259" t="inlineStr">
        <is>
          <t>FSBG5340S8W-6C</t>
        </is>
      </c>
      <c r="D207" s="259" t="n">
        <v>148438</v>
      </c>
      <c r="E207" s="259" t="n">
        <v>106</v>
      </c>
      <c r="F207" s="259" t="inlineStr">
        <is>
          <t>14K WG</t>
        </is>
      </c>
      <c r="G207" s="260" t="n">
        <v>1</v>
      </c>
      <c r="H207" s="261" t="n">
        <v>6.78</v>
      </c>
      <c r="I207" s="261" t="n">
        <v>0.07000000000000001</v>
      </c>
      <c r="J207" s="261" t="n">
        <v>0.31</v>
      </c>
      <c r="K207" s="262">
        <f>H207-I207-J207</f>
        <v/>
      </c>
      <c r="L207" s="263" t="inlineStr">
        <is>
          <t>1.10mm
2.75mm
Miracle Plate 8.50mm</t>
        </is>
      </c>
      <c r="M207" s="263" t="inlineStr">
        <is>
          <t>W
W</t>
        </is>
      </c>
      <c r="N207" s="264" t="inlineStr">
        <is>
          <t>2pcs
4pcs
2pcs</t>
        </is>
      </c>
      <c r="O207" s="265" t="n">
        <v>11.5</v>
      </c>
      <c r="P207" s="266" t="n">
        <v>0.36</v>
      </c>
      <c r="Q207" s="267">
        <f>10*G207</f>
        <v/>
      </c>
      <c r="R207" s="267" t="n"/>
      <c r="S207" s="267">
        <f>0.02*(2+4)*G207</f>
        <v/>
      </c>
      <c r="T207" s="267">
        <f>2.3*G207</f>
        <v/>
      </c>
      <c r="U207" s="267">
        <f>IF(RIGHT(F207,2)="WG",K207*$AB$4,IF(RIGHT(F207,3)="WRG",K207*$AB$4+3*G207,IF(RIGHT(F207,3)="WYG",K207*$AB$4+3*G207,IF(RIGHT(F207,3)="WYR",K207*$AB$4+3*G207,0))))</f>
        <v/>
      </c>
      <c r="V207" s="267" t="n"/>
      <c r="W207" s="267">
        <f>G207*(2+4)*1</f>
        <v/>
      </c>
      <c r="X207" s="267">
        <f>K207*O207</f>
        <v/>
      </c>
      <c r="Y207" s="267">
        <f>($Y$202/31.1035*IF(LEFT(F207,3)="10K",(0.417*1.07*K207),IF(LEFT(F207,3)="14K",(0.585*1.05*K207),IF(LEFT(F207,3)="18K",(0.75*1.05*K207),0))))*0.5</f>
        <v/>
      </c>
      <c r="Z207" s="268">
        <f>($Z$202/31.1035*IF(LEFT(F207,3)="10K",(0.417*1.07*K207),IF(LEFT(F207,3)="14K",(0.585*1.05*K207),IF(LEFT(F207,3)="18K",(0.75*1.05*K207),0))))*0.5</f>
        <v/>
      </c>
      <c r="AA207" s="269">
        <f>2*K207</f>
        <v/>
      </c>
      <c r="AB207" s="269" t="n">
        <v>80.756</v>
      </c>
      <c r="AC207" s="269" t="n">
        <v>409.023763489855</v>
      </c>
      <c r="AD207" s="269" t="n">
        <v>489.779763489855</v>
      </c>
      <c r="AE207" s="269">
        <f>IF(LEFT(F207,3)="10K",(0.417*1.07*K207),IF(LEFT(F207,3)="14K",(0.585*1.05*K207),IF(LEFT(F207,3)="18K",(0.75*1.05*K207),0)))</f>
        <v/>
      </c>
      <c r="AG207" s="270">
        <f>X207</f>
        <v/>
      </c>
    </row>
    <row r="208" ht="27.75" customFormat="1" customHeight="1" s="257">
      <c r="A208" s="258" t="n">
        <v>13</v>
      </c>
      <c r="B208" s="259" t="inlineStr">
        <is>
          <t>K0098B542 6.75"</t>
        </is>
      </c>
      <c r="C208" s="259" t="inlineStr">
        <is>
          <t>FSBG5292S8Y</t>
        </is>
      </c>
      <c r="D208" s="259" t="n">
        <v>148438</v>
      </c>
      <c r="E208" s="259" t="n">
        <v>117</v>
      </c>
      <c r="F208" s="259" t="inlineStr">
        <is>
          <t>14K YG</t>
        </is>
      </c>
      <c r="G208" s="260" t="n">
        <v>1</v>
      </c>
      <c r="H208" s="261" t="n">
        <v>10.49</v>
      </c>
      <c r="I208" s="261" t="n">
        <v>0.28</v>
      </c>
      <c r="J208" s="261" t="n">
        <v>0.64</v>
      </c>
      <c r="K208" s="262">
        <f>H208-I208-J208</f>
        <v/>
      </c>
      <c r="L208" s="263" t="n">
        <v>2.2</v>
      </c>
      <c r="M208" s="263" t="inlineStr">
        <is>
          <t>W</t>
        </is>
      </c>
      <c r="N208" s="264" t="n">
        <v>35</v>
      </c>
      <c r="O208" s="265" t="n">
        <v>9.5</v>
      </c>
      <c r="P208" s="266" t="n">
        <v>1.41</v>
      </c>
      <c r="Q208" s="267" t="n"/>
      <c r="R208" s="267" t="n"/>
      <c r="S208" s="267">
        <f>0.02*N208*G208</f>
        <v/>
      </c>
      <c r="T208" s="267">
        <f>4.6*G208</f>
        <v/>
      </c>
      <c r="U208" s="267">
        <f>IF(RIGHT(F208,2)="WG",K208*$AB$4,IF(RIGHT(F208,3)="WRG",K208*$AB$4+3*G208,IF(RIGHT(F208,3)="WYG",K208*$AB$4+3*G208,IF(RIGHT(F208,3)="WYR",K208*$AB$4+3*G208,0))))</f>
        <v/>
      </c>
      <c r="V208" s="267" t="n"/>
      <c r="W208" s="267">
        <f>G208*N208*0.3</f>
        <v/>
      </c>
      <c r="X208" s="267">
        <f>K208*O208</f>
        <v/>
      </c>
      <c r="Y208" s="267">
        <f>($Y$202/31.1035*IF(LEFT(F208,3)="10K",(0.417*1.07*K208),IF(LEFT(F208,3)="14K",(0.585*1.05*K208),IF(LEFT(F208,3)="18K",(0.75*1.05*K208),0))))*0.5</f>
        <v/>
      </c>
      <c r="Z208" s="268">
        <f>($Z$202/31.1035*IF(LEFT(F208,3)="10K",(0.417*1.07*K208),IF(LEFT(F208,3)="14K",(0.585*1.05*K208),IF(LEFT(F208,3)="18K",(0.75*1.05*K208),0))))*0.5</f>
        <v/>
      </c>
      <c r="AA208" s="269">
        <f>2*K208</f>
        <v/>
      </c>
      <c r="AB208" s="269" t="n">
        <v>87.575</v>
      </c>
      <c r="AC208" s="269" t="n">
        <v>916.6541603352661</v>
      </c>
      <c r="AD208" s="269" t="n">
        <v>1004.22916033527</v>
      </c>
      <c r="AE208" s="269">
        <f>IF(LEFT(F208,3)="10K",(0.417*1.07*K208),IF(LEFT(F208,3)="14K",(0.585*1.05*K208),IF(LEFT(F208,3)="18K",(0.75*1.05*K208),0)))</f>
        <v/>
      </c>
      <c r="AG208" s="270">
        <f>X208</f>
        <v/>
      </c>
    </row>
    <row r="209" ht="15.75" customFormat="1" customHeight="1" s="271">
      <c r="A209" s="272" t="inlineStr">
        <is>
          <t>SUBTOTAL</t>
        </is>
      </c>
      <c r="B209" s="273" t="n"/>
      <c r="C209" s="273" t="n"/>
      <c r="D209" s="273" t="n"/>
      <c r="E209" s="273" t="n"/>
      <c r="F209" s="273" t="n"/>
      <c r="G209" s="274">
        <f>SUM(G204:G208)</f>
        <v/>
      </c>
      <c r="H209" s="275" t="n"/>
      <c r="I209" s="275" t="n"/>
      <c r="J209" s="275" t="n"/>
      <c r="K209" s="275">
        <f>SUM(K204:K208)</f>
        <v/>
      </c>
      <c r="L209" s="276" t="n"/>
      <c r="M209" s="276" t="n"/>
      <c r="N209" s="276" t="n"/>
      <c r="O209" s="277" t="n"/>
      <c r="P209" s="278">
        <f>SUM(P204:P208)</f>
        <v/>
      </c>
      <c r="Q209" s="279">
        <f>SUM(Q204:Q208)</f>
        <v/>
      </c>
      <c r="R209" s="279">
        <f>SUM(R204:R208)</f>
        <v/>
      </c>
      <c r="S209" s="279">
        <f>SUM(S204:S208)</f>
        <v/>
      </c>
      <c r="T209" s="279">
        <f>SUM(T204:T208)</f>
        <v/>
      </c>
      <c r="U209" s="279">
        <f>SUM(U204:U208)</f>
        <v/>
      </c>
      <c r="V209" s="279">
        <f>SUM(V204:V208)</f>
        <v/>
      </c>
      <c r="W209" s="279">
        <f>SUM(W204:W208)</f>
        <v/>
      </c>
      <c r="X209" s="279">
        <f>SUM(X204:X208)</f>
        <v/>
      </c>
      <c r="Y209" s="279">
        <f>SUM(Y204:Y208)</f>
        <v/>
      </c>
      <c r="Z209" s="280">
        <f>SUM(Z204:Z208)</f>
        <v/>
      </c>
      <c r="AA209" s="269" t="n"/>
      <c r="AB209" s="269" t="n"/>
      <c r="AC209" s="269" t="n"/>
      <c r="AD209" s="269" t="n"/>
      <c r="AE209" s="269" t="n"/>
      <c r="AG209" s="270" t="n"/>
    </row>
    <row r="210" ht="15.75" customHeight="1" s="240">
      <c r="A210" s="241" t="inlineStr">
        <is>
          <t>Buyer Dia</t>
        </is>
      </c>
      <c r="K210" s="242" t="n"/>
      <c r="L210" s="243" t="n"/>
      <c r="M210" s="243" t="n"/>
      <c r="N210" s="243" t="n"/>
      <c r="W210" s="244" t="n"/>
      <c r="X210" s="245" t="inlineStr">
        <is>
          <t>31 Mar London AM + 2%</t>
        </is>
      </c>
      <c r="Y210" s="246">
        <f>3120.2*1.02</f>
        <v/>
      </c>
      <c r="Z210" s="246">
        <f>3120.2*1.02</f>
        <v/>
      </c>
      <c r="AA210" s="269" t="n"/>
      <c r="AB210" s="269" t="n"/>
      <c r="AC210" s="269" t="n"/>
      <c r="AD210" s="269" t="n"/>
      <c r="AE210" s="269" t="n"/>
      <c r="AG210" s="270" t="n"/>
    </row>
    <row r="211" ht="27" customFormat="1" customHeight="1" s="247">
      <c r="A211" s="248" t="inlineStr">
        <is>
          <t>PO#</t>
        </is>
      </c>
      <c r="B211" s="249" t="inlineStr">
        <is>
          <t>Item No.</t>
        </is>
      </c>
      <c r="C211" s="249" t="inlineStr">
        <is>
          <t>Buyer No.</t>
        </is>
      </c>
      <c r="D211" s="249" t="inlineStr">
        <is>
          <t>Buyer PO</t>
        </is>
      </c>
      <c r="E211" s="249" t="inlineStr">
        <is>
          <t>IDD PO SERIAL#</t>
        </is>
      </c>
      <c r="F211" s="249" t="inlineStr">
        <is>
          <t>Metal</t>
        </is>
      </c>
      <c r="G211" s="249" t="inlineStr">
        <is>
          <t>Q'ty</t>
        </is>
      </c>
      <c r="H211" s="250" t="inlineStr">
        <is>
          <t>Total w't</t>
        </is>
      </c>
      <c r="I211" s="250" t="inlineStr">
        <is>
          <t>Dia w't</t>
        </is>
      </c>
      <c r="J211" s="250" t="inlineStr">
        <is>
          <t>Wire w't</t>
        </is>
      </c>
      <c r="K211" s="250" t="inlineStr">
        <is>
          <t>Gold w't</t>
        </is>
      </c>
      <c r="L211" s="251" t="inlineStr">
        <is>
          <t>Stone</t>
        </is>
      </c>
      <c r="M211" s="251" t="inlineStr">
        <is>
          <t>Color</t>
        </is>
      </c>
      <c r="N211" s="251" t="inlineStr">
        <is>
          <t>Stone Q'ty</t>
        </is>
      </c>
      <c r="O211" s="252" t="inlineStr">
        <is>
          <t>Labor</t>
        </is>
      </c>
      <c r="P211" s="253" t="inlineStr">
        <is>
          <t>Dia Carat</t>
        </is>
      </c>
      <c r="Q211" s="254" t="inlineStr">
        <is>
          <t>Extra Cost</t>
        </is>
      </c>
      <c r="R211" s="254" t="inlineStr">
        <is>
          <t>Dia Packaging Cost</t>
        </is>
      </c>
      <c r="S211" s="254" t="inlineStr">
        <is>
          <t>Dia Handling Service Fee</t>
        </is>
      </c>
      <c r="T211" s="254" t="inlineStr">
        <is>
          <t>Wire
Cost</t>
        </is>
      </c>
      <c r="U211" s="254" t="inlineStr">
        <is>
          <t>Plating Cost</t>
        </is>
      </c>
      <c r="V211" s="254" t="inlineStr">
        <is>
          <t>Stone
Cost</t>
        </is>
      </c>
      <c r="W211" s="254" t="inlineStr">
        <is>
          <t>Setting
Cost</t>
        </is>
      </c>
      <c r="X211" s="255" t="inlineStr">
        <is>
          <t>Labor
Cost</t>
        </is>
      </c>
      <c r="Y211" s="256" t="inlineStr">
        <is>
          <t>Gold &amp; 5%
Cost</t>
        </is>
      </c>
      <c r="Z211" s="255" t="inlineStr">
        <is>
          <t>Current Gold &amp;
5% Cost</t>
        </is>
      </c>
      <c r="AA211" s="269" t="n"/>
      <c r="AB211" s="269" t="n"/>
      <c r="AC211" s="269" t="n"/>
      <c r="AD211" s="269" t="n"/>
      <c r="AE211" s="269" t="n"/>
      <c r="AG211" s="270" t="n"/>
    </row>
    <row r="212" ht="54.75" customFormat="1" customHeight="1" s="257">
      <c r="A212" s="258" t="inlineStr">
        <is>
          <t>IDD250325RB-5-14K</t>
        </is>
      </c>
      <c r="B212" s="259" t="inlineStr">
        <is>
          <t>K0098B494 6.5"</t>
        </is>
      </c>
      <c r="C212" s="259" t="inlineStr">
        <is>
          <t>FSBG5267S8W -6C</t>
        </is>
      </c>
      <c r="D212" s="259" t="n">
        <v>148458</v>
      </c>
      <c r="E212" s="259" t="n">
        <v>102</v>
      </c>
      <c r="F212" s="259" t="inlineStr">
        <is>
          <t>14K WG</t>
        </is>
      </c>
      <c r="G212" s="260" t="n">
        <v>1</v>
      </c>
      <c r="H212" s="261" t="n">
        <v>14.21</v>
      </c>
      <c r="I212" s="261" t="n">
        <v>0.15</v>
      </c>
      <c r="J212" s="261" t="n">
        <v>1.29</v>
      </c>
      <c r="K212" s="262">
        <f>H212-I212-J212</f>
        <v/>
      </c>
      <c r="L212" s="263" t="inlineStr">
        <is>
          <t>1.00mm
1.20mm
1.40mm
1.50mm</t>
        </is>
      </c>
      <c r="M212" s="263" t="inlineStr">
        <is>
          <t>W
W
W
W</t>
        </is>
      </c>
      <c r="N212" s="264" t="inlineStr">
        <is>
          <t>56pcs
32pcs
16pcs
7pcs</t>
        </is>
      </c>
      <c r="O212" s="265" t="n">
        <v>11</v>
      </c>
      <c r="P212" s="266" t="n">
        <v>0.745</v>
      </c>
      <c r="Q212" s="267" t="n"/>
      <c r="R212" s="267" t="n"/>
      <c r="S212" s="284" t="n"/>
      <c r="T212" s="267">
        <f>4.6*G212</f>
        <v/>
      </c>
      <c r="U212" s="267">
        <f>IF(RIGHT(F212,2)="WG",K212*$AB$4,IF(RIGHT(F212,3)="WRG",K212*$AB$4+3*G212,IF(RIGHT(F212,3)="WYG",K212*$AB$4+3*G212,IF(RIGHT(F212,3)="WYR",K212*$AB$4+3*G212,0))))</f>
        <v/>
      </c>
      <c r="V212" s="267" t="n"/>
      <c r="W212" s="267">
        <f>G212*(56+32+16+7)*0.3</f>
        <v/>
      </c>
      <c r="X212" s="267">
        <f>K212*O212</f>
        <v/>
      </c>
      <c r="Y212" s="267">
        <f>($Y$210/31.1035*IF(LEFT(F212,3)="10K",(0.417*1.07*K212),IF(LEFT(F212,3)="14K",(0.585*1.05*K212),IF(LEFT(F212,3)="18K",(0.75*1.05*K212),0))))*0.5</f>
        <v/>
      </c>
      <c r="Z212" s="268">
        <f>($Z$210/31.1035*IF(LEFT(F212,3)="10K",(0.417*1.07*K212),IF(LEFT(F212,3)="14K",(0.585*1.05*K212),IF(LEFT(F212,3)="18K",(0.75*1.05*K212),0))))*0.5</f>
        <v/>
      </c>
      <c r="AA212" s="269">
        <f>2*K212</f>
        <v/>
      </c>
      <c r="AB212" s="269" t="n">
        <v>155.8948</v>
      </c>
      <c r="AC212" s="269" t="n">
        <v>825.469174999839</v>
      </c>
      <c r="AD212" s="269" t="n">
        <v>981.363974999839</v>
      </c>
      <c r="AE212" s="269">
        <f>IF(LEFT(F212,3)="10K",(0.417*1.07*K212),IF(LEFT(F212,3)="14K",(0.585*1.05*K212),IF(LEFT(F212,3)="18K",(0.75*1.05*K212),0)))</f>
        <v/>
      </c>
      <c r="AG212" s="270">
        <f>X212</f>
        <v/>
      </c>
    </row>
    <row r="213" ht="27.75" customFormat="1" customHeight="1" s="257">
      <c r="A213" s="258" t="n">
        <v>3</v>
      </c>
      <c r="B213" s="259" t="inlineStr">
        <is>
          <t>K0038B118 OV F 6.75"</t>
        </is>
      </c>
      <c r="C213" s="259" t="inlineStr">
        <is>
          <t>FSBG5079S8W -6D</t>
        </is>
      </c>
      <c r="D213" s="259" t="n">
        <v>148458</v>
      </c>
      <c r="E213" s="259" t="n">
        <v>103</v>
      </c>
      <c r="F213" s="259" t="inlineStr">
        <is>
          <t>14K WG</t>
        </is>
      </c>
      <c r="G213" s="260" t="n">
        <v>1</v>
      </c>
      <c r="H213" s="261" t="n">
        <v>20.66</v>
      </c>
      <c r="I213" s="261" t="n">
        <v>2.07</v>
      </c>
      <c r="J213" s="261" t="n">
        <v>0.44</v>
      </c>
      <c r="K213" s="262">
        <f>H213-I213-J213</f>
        <v/>
      </c>
      <c r="L213" s="263" t="n">
        <v>4</v>
      </c>
      <c r="M213" s="263" t="inlineStr">
        <is>
          <t>W</t>
        </is>
      </c>
      <c r="N213" s="264" t="n">
        <v>40.5</v>
      </c>
      <c r="O213" s="265" t="n">
        <v>11</v>
      </c>
      <c r="P213" s="266" t="n">
        <v>10.335</v>
      </c>
      <c r="Q213" s="267" t="n"/>
      <c r="R213" s="267" t="n"/>
      <c r="S213" s="284" t="n"/>
      <c r="T213" s="267">
        <f>4.3*G213</f>
        <v/>
      </c>
      <c r="U213" s="267">
        <f>IF(RIGHT(F213,2)="WG",K213*$AB$4,IF(RIGHT(F213,3)="WRG",K213*$AB$4+3*G213,IF(RIGHT(F213,3)="WYG",K213*$AB$4+3*G213,IF(RIGHT(F213,3)="WYR",K213*$AB$4+3*G213,0))))</f>
        <v/>
      </c>
      <c r="V213" s="267" t="n"/>
      <c r="W213" s="267">
        <f>G213*N213*0.75</f>
        <v/>
      </c>
      <c r="X213" s="267">
        <f>K213*O213</f>
        <v/>
      </c>
      <c r="Y213" s="267">
        <f>($Y$210/31.1035*IF(LEFT(F213,3)="10K",(0.417*1.07*K213),IF(LEFT(F213,3)="14K",(0.585*1.05*K213),IF(LEFT(F213,3)="18K",(0.75*1.05*K213),0))))*0.5</f>
        <v/>
      </c>
      <c r="Z213" s="268">
        <f>($Z$210/31.1035*IF(LEFT(F213,3)="10K",(0.417*1.07*K213),IF(LEFT(F213,3)="14K",(0.585*1.05*K213),IF(LEFT(F213,3)="18K",(0.75*1.05*K213),0))))*0.5</f>
        <v/>
      </c>
      <c r="AA213" s="269">
        <f>2*K213</f>
        <v/>
      </c>
      <c r="AB213" s="269" t="n">
        <v>202.381</v>
      </c>
      <c r="AC213" s="269" t="n">
        <v>4419.30204352126</v>
      </c>
      <c r="AD213" s="269" t="n">
        <v>4621.68304352126</v>
      </c>
      <c r="AE213" s="269">
        <f>IF(LEFT(F213,3)="10K",(0.417*1.07*K213),IF(LEFT(F213,3)="14K",(0.585*1.05*K213),IF(LEFT(F213,3)="18K",(0.75*1.05*K213),0)))</f>
        <v/>
      </c>
      <c r="AG213" s="270">
        <f>X213</f>
        <v/>
      </c>
    </row>
    <row r="214" ht="15.75" customFormat="1" customHeight="1" s="271">
      <c r="A214" s="272" t="inlineStr">
        <is>
          <t>SUBTOTAL</t>
        </is>
      </c>
      <c r="B214" s="273" t="n"/>
      <c r="C214" s="273" t="n"/>
      <c r="D214" s="273" t="n"/>
      <c r="E214" s="273" t="n"/>
      <c r="F214" s="273" t="n"/>
      <c r="G214" s="274">
        <f>SUM(G212:G213)</f>
        <v/>
      </c>
      <c r="H214" s="275" t="n"/>
      <c r="I214" s="275" t="n"/>
      <c r="J214" s="275" t="n"/>
      <c r="K214" s="275">
        <f>SUM(K212:K213)</f>
        <v/>
      </c>
      <c r="L214" s="276" t="n"/>
      <c r="M214" s="276" t="n"/>
      <c r="N214" s="276" t="n"/>
      <c r="O214" s="277" t="n"/>
      <c r="P214" s="278">
        <f>SUM(P212:P213)</f>
        <v/>
      </c>
      <c r="Q214" s="279">
        <f>SUM(Q212:Q213)</f>
        <v/>
      </c>
      <c r="R214" s="279">
        <f>SUM(R212:R213)</f>
        <v/>
      </c>
      <c r="S214" s="279">
        <f>SUM(S212:S213)</f>
        <v/>
      </c>
      <c r="T214" s="279">
        <f>SUM(T212:T213)</f>
        <v/>
      </c>
      <c r="U214" s="279">
        <f>SUM(U212:U213)</f>
        <v/>
      </c>
      <c r="V214" s="279">
        <f>SUM(V212:V213)</f>
        <v/>
      </c>
      <c r="W214" s="279">
        <f>SUM(W212:W213)</f>
        <v/>
      </c>
      <c r="X214" s="279">
        <f>SUM(X212:X213)</f>
        <v/>
      </c>
      <c r="Y214" s="279">
        <f>SUM(Y212:Y213)</f>
        <v/>
      </c>
      <c r="Z214" s="280">
        <f>SUM(Z212:Z213)</f>
        <v/>
      </c>
      <c r="AA214" s="269" t="n"/>
      <c r="AB214" s="269" t="n"/>
      <c r="AC214" s="269" t="n"/>
      <c r="AD214" s="269" t="n"/>
      <c r="AE214" s="269" t="n"/>
      <c r="AG214" s="270" t="n"/>
    </row>
    <row r="215" ht="15.75" customHeight="1" s="240">
      <c r="A215" s="241" t="inlineStr">
        <is>
          <t>Buyer Dia</t>
        </is>
      </c>
      <c r="K215" s="242" t="n"/>
      <c r="L215" s="243" t="n"/>
      <c r="M215" s="243" t="n"/>
      <c r="N215" s="243" t="n"/>
      <c r="W215" s="244" t="n"/>
      <c r="X215" s="245" t="inlineStr">
        <is>
          <t>27 Mar London AM + 2%</t>
        </is>
      </c>
      <c r="Y215" s="246">
        <f>3051.7*1.02</f>
        <v/>
      </c>
      <c r="Z215" s="246">
        <f>3051.7*1.02</f>
        <v/>
      </c>
      <c r="AA215" s="269" t="n"/>
      <c r="AB215" s="269" t="n"/>
      <c r="AC215" s="269" t="n"/>
      <c r="AD215" s="269" t="n"/>
      <c r="AE215" s="269" t="n"/>
      <c r="AG215" s="270" t="n"/>
    </row>
    <row r="216" ht="27" customFormat="1" customHeight="1" s="247">
      <c r="A216" s="248" t="inlineStr">
        <is>
          <t>PO#</t>
        </is>
      </c>
      <c r="B216" s="249" t="inlineStr">
        <is>
          <t>Item No.</t>
        </is>
      </c>
      <c r="C216" s="249" t="inlineStr">
        <is>
          <t>Buyer No.</t>
        </is>
      </c>
      <c r="D216" s="249" t="inlineStr">
        <is>
          <t>Buyer PO</t>
        </is>
      </c>
      <c r="E216" s="249" t="n"/>
      <c r="F216" s="249" t="inlineStr">
        <is>
          <t>Metal</t>
        </is>
      </c>
      <c r="G216" s="249" t="inlineStr">
        <is>
          <t>Q'ty</t>
        </is>
      </c>
      <c r="H216" s="250" t="inlineStr">
        <is>
          <t>Total w't</t>
        </is>
      </c>
      <c r="I216" s="250" t="inlineStr">
        <is>
          <t>Dia w't</t>
        </is>
      </c>
      <c r="J216" s="250" t="inlineStr">
        <is>
          <t>Wire w't</t>
        </is>
      </c>
      <c r="K216" s="250" t="inlineStr">
        <is>
          <t>Gold w't</t>
        </is>
      </c>
      <c r="L216" s="251" t="inlineStr">
        <is>
          <t>Stone</t>
        </is>
      </c>
      <c r="M216" s="251" t="inlineStr">
        <is>
          <t>Color</t>
        </is>
      </c>
      <c r="N216" s="251" t="inlineStr">
        <is>
          <t>Stone Q'ty</t>
        </is>
      </c>
      <c r="O216" s="252" t="inlineStr">
        <is>
          <t>Labor</t>
        </is>
      </c>
      <c r="P216" s="253" t="inlineStr">
        <is>
          <t>Dia Carat</t>
        </is>
      </c>
      <c r="Q216" s="254" t="inlineStr">
        <is>
          <t>Extra Cost</t>
        </is>
      </c>
      <c r="R216" s="254" t="inlineStr">
        <is>
          <t>Dia Packaging Cost</t>
        </is>
      </c>
      <c r="S216" s="254" t="inlineStr">
        <is>
          <t>Dia Handling Service Fee</t>
        </is>
      </c>
      <c r="T216" s="254" t="inlineStr">
        <is>
          <t>Wire
Cost</t>
        </is>
      </c>
      <c r="U216" s="254" t="inlineStr">
        <is>
          <t>Plating Cost</t>
        </is>
      </c>
      <c r="V216" s="254" t="inlineStr">
        <is>
          <t>Stone
Cost</t>
        </is>
      </c>
      <c r="W216" s="254" t="inlineStr">
        <is>
          <t>Setting
Cost</t>
        </is>
      </c>
      <c r="X216" s="255" t="inlineStr">
        <is>
          <t>Labor
Cost</t>
        </is>
      </c>
      <c r="Y216" s="256" t="inlineStr">
        <is>
          <t>Gold &amp; 5%
Cost</t>
        </is>
      </c>
      <c r="Z216" s="255" t="inlineStr">
        <is>
          <t>Current Gold &amp;
5% Cost</t>
        </is>
      </c>
      <c r="AA216" s="269" t="n"/>
      <c r="AB216" s="269" t="n"/>
      <c r="AC216" s="269" t="n"/>
      <c r="AD216" s="269" t="n"/>
      <c r="AE216" s="269" t="n"/>
      <c r="AG216" s="270" t="n"/>
    </row>
    <row r="217" ht="27" customFormat="1" customHeight="1" s="257">
      <c r="A217" s="258" t="inlineStr">
        <is>
          <t>IDD250324RB-2-14K</t>
        </is>
      </c>
      <c r="B217" s="259" t="inlineStr">
        <is>
          <t>K0098B191 6.5"</t>
        </is>
      </c>
      <c r="C217" s="259" t="inlineStr">
        <is>
          <t>FSBG5153S8Y-6C</t>
        </is>
      </c>
      <c r="D217" s="259" t="n">
        <v>148437</v>
      </c>
      <c r="E217" s="259" t="n">
        <v>103</v>
      </c>
      <c r="F217" s="259" t="inlineStr">
        <is>
          <t>14K YG</t>
        </is>
      </c>
      <c r="G217" s="260" t="n">
        <v>1</v>
      </c>
      <c r="H217" s="281" t="n">
        <v>5.75</v>
      </c>
      <c r="I217" s="281" t="n">
        <v>0.1</v>
      </c>
      <c r="J217" s="281" t="n">
        <v>0.31</v>
      </c>
      <c r="K217" s="282">
        <f>H217-I217-J217</f>
        <v/>
      </c>
      <c r="L217" s="263" t="n">
        <v>2</v>
      </c>
      <c r="M217" s="263" t="inlineStr">
        <is>
          <t>W</t>
        </is>
      </c>
      <c r="N217" s="264" t="n">
        <v>15</v>
      </c>
      <c r="O217" s="265" t="n">
        <v>9.5</v>
      </c>
      <c r="P217" s="266" t="n">
        <v>0.51</v>
      </c>
      <c r="Q217" s="267" t="n"/>
      <c r="R217" s="267" t="n"/>
      <c r="S217" s="267">
        <f>G217*N217*0.02</f>
        <v/>
      </c>
      <c r="T217" s="267">
        <f>2.3*G217</f>
        <v/>
      </c>
      <c r="U217" s="267" t="n"/>
      <c r="V217" s="267" t="n"/>
      <c r="W217" s="267">
        <f>G217*N217*1</f>
        <v/>
      </c>
      <c r="X217" s="267">
        <f>K217*O217</f>
        <v/>
      </c>
      <c r="Y217" s="267">
        <f>($Y$215/31.1035*IF(LEFT(F217,3)="10K",(0.417*1.07*K217),IF(LEFT(F217,3)="14K",(0.585*1.05*K217),IF(LEFT(F217,3)="18K",(0.75*1.05*K217),0))))*0.5</f>
        <v/>
      </c>
      <c r="Z217" s="268">
        <f>($Z$215/31.1035*IF(LEFT(F217,3)="10K",(0.417*1.07*K217),IF(LEFT(F217,3)="14K",(0.585*1.05*K217),IF(LEFT(F217,3)="18K",(0.75*1.05*K217),0))))*0.5</f>
        <v/>
      </c>
      <c r="AA217" s="269">
        <f>2*K217</f>
        <v/>
      </c>
      <c r="AB217" s="269" t="n">
        <v>57.65</v>
      </c>
      <c r="AC217" s="269" t="n">
        <v>414.634771610628</v>
      </c>
      <c r="AD217" s="269" t="n">
        <v>472.284771610628</v>
      </c>
      <c r="AE217" s="269">
        <f>IF(LEFT(F217,3)="10K",(0.417*1.07*K217),IF(LEFT(F217,3)="14K",(0.585*1.05*K217),IF(LEFT(F217,3)="18K",(0.75*1.05*K217),0)))</f>
        <v/>
      </c>
      <c r="AG217" s="270">
        <f>X217</f>
        <v/>
      </c>
    </row>
    <row r="218" ht="27" customFormat="1" customHeight="1" s="257">
      <c r="A218" s="258" t="n">
        <v>7</v>
      </c>
      <c r="B218" s="259" t="inlineStr">
        <is>
          <t>K0098B140 6.5"</t>
        </is>
      </c>
      <c r="C218" s="259" t="inlineStr">
        <is>
          <t>FSBG5232P-6C</t>
        </is>
      </c>
      <c r="D218" s="259" t="n">
        <v>148437</v>
      </c>
      <c r="E218" s="259" t="n">
        <v>108</v>
      </c>
      <c r="F218" s="259" t="inlineStr">
        <is>
          <t>14K RG</t>
        </is>
      </c>
      <c r="G218" s="260" t="n">
        <v>1</v>
      </c>
      <c r="H218" s="281" t="n">
        <v>4.32</v>
      </c>
      <c r="I218" s="281" t="n">
        <v>0</v>
      </c>
      <c r="J218" s="281" t="n">
        <v>0.31</v>
      </c>
      <c r="K218" s="282">
        <f>H218-I218-J218</f>
        <v/>
      </c>
      <c r="L218" s="263" t="n"/>
      <c r="M218" s="263" t="n"/>
      <c r="N218" s="264" t="n"/>
      <c r="O218" s="265" t="n">
        <v>9.5</v>
      </c>
      <c r="P218" s="266" t="n">
        <v>0</v>
      </c>
      <c r="Q218" s="267" t="n"/>
      <c r="R218" s="267" t="n"/>
      <c r="S218" s="267" t="n"/>
      <c r="T218" s="267">
        <f>2.3*G218</f>
        <v/>
      </c>
      <c r="U218" s="267" t="n"/>
      <c r="V218" s="267" t="n"/>
      <c r="W218" s="267" t="n"/>
      <c r="X218" s="267">
        <f>K218*O218</f>
        <v/>
      </c>
      <c r="Y218" s="267">
        <f>($Y$215/31.1035*IF(LEFT(F218,3)="10K",(0.417*1.07*K218),IF(LEFT(F218,3)="14K",(0.585*1.05*K218),IF(LEFT(F218,3)="18K",(0.75*1.05*K218),0))))*0.5</f>
        <v/>
      </c>
      <c r="Z218" s="268">
        <f>($Z$215/31.1035*IF(LEFT(F218,3)="10K",(0.417*1.07*K218),IF(LEFT(F218,3)="14K",(0.585*1.05*K218),IF(LEFT(F218,3)="18K",(0.75*1.05*K218),0))))*0.5</f>
        <v/>
      </c>
      <c r="AA218" s="269">
        <f>2*K218</f>
        <v/>
      </c>
      <c r="AB218" s="269" t="n">
        <v>32.375</v>
      </c>
      <c r="AC218" s="269" t="n">
        <v>177.34626</v>
      </c>
      <c r="AD218" s="269" t="n">
        <v>209.72126</v>
      </c>
      <c r="AE218" s="269">
        <f>IF(LEFT(F218,3)="10K",(0.417*1.07*K218),IF(LEFT(F218,3)="14K",(0.585*1.05*K218),IF(LEFT(F218,3)="18K",(0.75*1.05*K218),0)))</f>
        <v/>
      </c>
      <c r="AG218" s="270">
        <f>X218</f>
        <v/>
      </c>
    </row>
    <row r="219" ht="27" customFormat="1" customHeight="1" s="257">
      <c r="A219" s="258" t="n">
        <v>10</v>
      </c>
      <c r="B219" s="259" t="inlineStr">
        <is>
          <t>K0060B02 6.75"</t>
        </is>
      </c>
      <c r="C219" s="259" t="inlineStr">
        <is>
          <t>FSBG5149S8Y</t>
        </is>
      </c>
      <c r="D219" s="259" t="n">
        <v>148437</v>
      </c>
      <c r="E219" s="259" t="n">
        <v>114</v>
      </c>
      <c r="F219" s="259" t="inlineStr">
        <is>
          <t>14K YG</t>
        </is>
      </c>
      <c r="G219" s="260" t="n">
        <v>1</v>
      </c>
      <c r="H219" s="281" t="n">
        <v>4.25</v>
      </c>
      <c r="I219" s="281" t="n">
        <v>0.04</v>
      </c>
      <c r="J219" s="281" t="n">
        <v>0.75</v>
      </c>
      <c r="K219" s="282">
        <f>H219-I219-J219</f>
        <v/>
      </c>
      <c r="L219" s="263" t="inlineStr">
        <is>
          <t>1.80mm
1.80mm</t>
        </is>
      </c>
      <c r="M219" s="263" t="inlineStr">
        <is>
          <t>W
W</t>
        </is>
      </c>
      <c r="N219" s="264" t="inlineStr">
        <is>
          <t>4pcs
3pcs</t>
        </is>
      </c>
      <c r="O219" s="265" t="n">
        <v>8.5</v>
      </c>
      <c r="P219" s="266" t="n">
        <v>0.19</v>
      </c>
      <c r="Q219" s="267" t="n"/>
      <c r="R219" s="267" t="n"/>
      <c r="S219" s="267">
        <f>G219*(4+3)*0.02</f>
        <v/>
      </c>
      <c r="T219" s="267">
        <f>2.3*G219</f>
        <v/>
      </c>
      <c r="U219" s="267" t="n"/>
      <c r="V219" s="267" t="n"/>
      <c r="W219" s="267">
        <f>G219*(4*0.3+3*1)</f>
        <v/>
      </c>
      <c r="X219" s="267">
        <f>K219*O219</f>
        <v/>
      </c>
      <c r="Y219" s="267">
        <f>($Y$215/31.1035*IF(LEFT(F219,3)="10K",(0.417*1.07*K219),IF(LEFT(F219,3)="14K",(0.585*1.05*K219),IF(LEFT(F219,3)="18K",(0.75*1.05*K219),0))))*0.5</f>
        <v/>
      </c>
      <c r="Z219" s="268">
        <f>($Z$215/31.1035*IF(LEFT(F219,3)="10K",(0.417*1.07*K219),IF(LEFT(F219,3)="14K",(0.585*1.05*K219),IF(LEFT(F219,3)="18K",(0.75*1.05*K219),0))))*0.5</f>
        <v/>
      </c>
      <c r="AA219" s="269">
        <f>2*K219</f>
        <v/>
      </c>
      <c r="AB219" s="269" t="n">
        <v>29.13</v>
      </c>
      <c r="AC219" s="269" t="n">
        <v>219.510012952979</v>
      </c>
      <c r="AD219" s="269" t="n">
        <v>248.640012952979</v>
      </c>
      <c r="AE219" s="269">
        <f>IF(LEFT(F219,3)="10K",(0.417*1.07*K219),IF(LEFT(F219,3)="14K",(0.585*1.05*K219),IF(LEFT(F219,3)="18K",(0.75*1.05*K219),0)))</f>
        <v/>
      </c>
      <c r="AG219" s="270">
        <f>X219</f>
        <v/>
      </c>
    </row>
    <row r="220" ht="27" customFormat="1" customHeight="1" s="257">
      <c r="A220" s="258" t="n">
        <v>13</v>
      </c>
      <c r="B220" s="259" t="inlineStr">
        <is>
          <t>K01589B01 OV F 6.75"</t>
        </is>
      </c>
      <c r="C220" s="259" t="inlineStr">
        <is>
          <t>FSBG5183S8WY</t>
        </is>
      </c>
      <c r="D220" s="259" t="n">
        <v>148437</v>
      </c>
      <c r="E220" s="259" t="n">
        <v>117</v>
      </c>
      <c r="F220" s="259" t="inlineStr">
        <is>
          <t>14K WYG</t>
        </is>
      </c>
      <c r="G220" s="260" t="n">
        <v>1</v>
      </c>
      <c r="H220" s="281" t="n">
        <v>7.89</v>
      </c>
      <c r="I220" s="281" t="n">
        <v>0.31</v>
      </c>
      <c r="J220" s="281" t="n">
        <v>0.32</v>
      </c>
      <c r="K220" s="282">
        <f>H220-I220-J220</f>
        <v/>
      </c>
      <c r="L220" s="263" t="n">
        <v>2</v>
      </c>
      <c r="M220" s="263" t="inlineStr">
        <is>
          <t>W</t>
        </is>
      </c>
      <c r="N220" s="264" t="n">
        <v>50</v>
      </c>
      <c r="O220" s="265" t="n">
        <v>12</v>
      </c>
      <c r="P220" s="266" t="n">
        <v>1.55</v>
      </c>
      <c r="Q220" s="267" t="n"/>
      <c r="R220" s="267" t="n"/>
      <c r="S220" s="267">
        <f>G220*N220*0.02</f>
        <v/>
      </c>
      <c r="T220" s="267">
        <f>2.3*G220</f>
        <v/>
      </c>
      <c r="U220" s="267">
        <f>IF(RIGHT(F220,2)="WG",K220*$AB$4,IF(RIGHT(F220,3)="WRG",K220*$AB$4+3*G220,IF(RIGHT(F220,3)="WYG",K220*$AB$4+3*G220,IF(RIGHT(F220,3)="WYR",K220*$AB$4+3*G220,0))))</f>
        <v/>
      </c>
      <c r="V220" s="267" t="n"/>
      <c r="W220" s="267">
        <f>G220*N220*1</f>
        <v/>
      </c>
      <c r="X220" s="267">
        <f>K220*O220</f>
        <v/>
      </c>
      <c r="Y220" s="267">
        <f>($Y$215/31.1035*IF(LEFT(F220,3)="10K",(0.417*1.07*K220),IF(LEFT(F220,3)="14K",(0.585*1.05*K220),IF(LEFT(F220,3)="18K",(0.75*1.05*K220),0))))*0.5</f>
        <v/>
      </c>
      <c r="Z220" s="268">
        <f>($Z$215/31.1035*IF(LEFT(F220,3)="10K",(0.417*1.07*K220),IF(LEFT(F220,3)="14K",(0.585*1.05*K220),IF(LEFT(F220,3)="18K",(0.75*1.05*K220),0))))*0.5</f>
        <v/>
      </c>
      <c r="AA220" s="269">
        <f>2*K220</f>
        <v/>
      </c>
      <c r="AB220" s="269" t="n">
        <v>130.6424</v>
      </c>
      <c r="AC220" s="269" t="n">
        <v>863.483297247987</v>
      </c>
      <c r="AD220" s="269" t="n">
        <v>994.125697247987</v>
      </c>
      <c r="AE220" s="269">
        <f>IF(LEFT(F220,3)="10K",(0.417*1.07*K220),IF(LEFT(F220,3)="14K",(0.585*1.05*K220),IF(LEFT(F220,3)="18K",(0.75*1.05*K220),0)))</f>
        <v/>
      </c>
      <c r="AG220" s="270">
        <f>X220</f>
        <v/>
      </c>
    </row>
    <row r="221" ht="27" customFormat="1" customHeight="1" s="257">
      <c r="A221" s="258" t="n">
        <v>15</v>
      </c>
      <c r="B221" s="259" t="inlineStr">
        <is>
          <t>K01440B01 V2 6.5"</t>
        </is>
      </c>
      <c r="C221" s="259" t="inlineStr">
        <is>
          <t>FSBG5144K5W-6C</t>
        </is>
      </c>
      <c r="D221" s="259" t="n">
        <v>148437</v>
      </c>
      <c r="E221" s="259" t="n">
        <v>119</v>
      </c>
      <c r="F221" s="259" t="inlineStr">
        <is>
          <t>14K WG</t>
        </is>
      </c>
      <c r="G221" s="260" t="n">
        <v>1</v>
      </c>
      <c r="H221" s="281" t="n">
        <v>19.1</v>
      </c>
      <c r="I221" s="281" t="n">
        <v>0.14</v>
      </c>
      <c r="J221" s="281" t="n">
        <v>0.62</v>
      </c>
      <c r="K221" s="282">
        <f>H221-I221-J221</f>
        <v/>
      </c>
      <c r="L221" s="263" t="inlineStr">
        <is>
          <t>EM 3.45*2.45</t>
        </is>
      </c>
      <c r="M221" s="263" t="inlineStr">
        <is>
          <t>W</t>
        </is>
      </c>
      <c r="N221" s="264" t="n">
        <v>5</v>
      </c>
      <c r="O221" s="265" t="n">
        <v>10.5</v>
      </c>
      <c r="P221" s="266" t="n">
        <v>0.71</v>
      </c>
      <c r="Q221" s="267" t="n"/>
      <c r="R221" s="267" t="n"/>
      <c r="S221" s="267">
        <f>G221*N221*0.02</f>
        <v/>
      </c>
      <c r="T221" s="267">
        <f>4.6*G221</f>
        <v/>
      </c>
      <c r="U221" s="267">
        <f>IF(RIGHT(F221,2)="WG",K221*$AB$4,IF(RIGHT(F221,3)="WRG",K221*$AB$4+3*G221,IF(RIGHT(F221,3)="WYG",K221*$AB$4+3*G221,IF(RIGHT(F221,3)="WYR",K221*$AB$4+3*G221,0))))</f>
        <v/>
      </c>
      <c r="V221" s="267" t="n"/>
      <c r="W221" s="267">
        <f>G221*N221*3</f>
        <v/>
      </c>
      <c r="X221" s="267">
        <f>K221*O221</f>
        <v/>
      </c>
      <c r="Y221" s="267">
        <f>($Y$215/31.1035*IF(LEFT(F221,3)="10K",(0.417*1.07*K221),IF(LEFT(F221,3)="14K",(0.585*1.05*K221),IF(LEFT(F221,3)="18K",(0.75*1.05*K221),0))))*0.5</f>
        <v/>
      </c>
      <c r="Z221" s="268">
        <f>($Z$215/31.1035*IF(LEFT(F221,3)="10K",(0.417*1.07*K221),IF(LEFT(F221,3)="14K",(0.585*1.05*K221),IF(LEFT(F221,3)="18K",(0.75*1.05*K221),0))))*0.5</f>
        <v/>
      </c>
      <c r="AA221" s="269">
        <f>2*K221</f>
        <v/>
      </c>
      <c r="AB221" s="269" t="n">
        <v>179.9916</v>
      </c>
      <c r="AC221" s="269" t="n">
        <v>1059.56019577166</v>
      </c>
      <c r="AD221" s="269" t="n">
        <v>1239.55179577166</v>
      </c>
      <c r="AE221" s="269">
        <f>IF(LEFT(F221,3)="10K",(0.417*1.07*K221),IF(LEFT(F221,3)="14K",(0.585*1.05*K221),IF(LEFT(F221,3)="18K",(0.75*1.05*K221),0)))</f>
        <v/>
      </c>
      <c r="AG221" s="270">
        <f>X221</f>
        <v/>
      </c>
    </row>
    <row r="222" ht="27.75" customFormat="1" customHeight="1" s="257">
      <c r="A222" s="258" t="n">
        <v>19</v>
      </c>
      <c r="B222" s="259" t="inlineStr">
        <is>
          <t>K0098B336 6.75"</t>
        </is>
      </c>
      <c r="C222" s="259" t="inlineStr">
        <is>
          <t>FSBG5206S8YW</t>
        </is>
      </c>
      <c r="D222" s="259" t="n">
        <v>148437</v>
      </c>
      <c r="E222" s="259" t="n">
        <v>123</v>
      </c>
      <c r="F222" s="259" t="inlineStr">
        <is>
          <t>14K WYG</t>
        </is>
      </c>
      <c r="G222" s="260" t="n">
        <v>1</v>
      </c>
      <c r="H222" s="281" t="n">
        <v>7.18</v>
      </c>
      <c r="I222" s="281" t="n">
        <v>0.19</v>
      </c>
      <c r="J222" s="281" t="n">
        <v>0.32</v>
      </c>
      <c r="K222" s="282">
        <f>H222-I222-J222</f>
        <v/>
      </c>
      <c r="L222" s="263" t="n">
        <v>2.7</v>
      </c>
      <c r="M222" s="263" t="inlineStr">
        <is>
          <t>W</t>
        </is>
      </c>
      <c r="N222" s="264" t="n">
        <v>12</v>
      </c>
      <c r="O222" s="265" t="n">
        <v>11.5</v>
      </c>
      <c r="P222" s="266" t="n">
        <v>0.96</v>
      </c>
      <c r="Q222" s="267" t="n"/>
      <c r="R222" s="267" t="n"/>
      <c r="S222" s="267">
        <f>G222*N222*0.02</f>
        <v/>
      </c>
      <c r="T222" s="267">
        <f>2.3*G222</f>
        <v/>
      </c>
      <c r="U222" s="267">
        <f>IF(RIGHT(F222,2)="WG",K222*$AB$4,IF(RIGHT(F222,3)="WRG",K222*$AB$4+3*G222,IF(RIGHT(F222,3)="WYG",K222*$AB$4+3*G222,IF(RIGHT(F222,3)="WYR",K222*$AB$4+3*G222,0))))</f>
        <v/>
      </c>
      <c r="V222" s="267" t="n"/>
      <c r="W222" s="267">
        <f>G222*N222*0.6</f>
        <v/>
      </c>
      <c r="X222" s="267">
        <f>K222*O222</f>
        <v/>
      </c>
      <c r="Y222" s="267">
        <f>($Y$215/31.1035*IF(LEFT(F222,3)="10K",(0.417*1.07*K222),IF(LEFT(F222,3)="14K",(0.585*1.05*K222),IF(LEFT(F222,3)="18K",(0.75*1.05*K222),0))))*0.5</f>
        <v/>
      </c>
      <c r="Z222" s="268">
        <f>($Z$215/31.1035*IF(LEFT(F222,3)="10K",(0.417*1.07*K222),IF(LEFT(F222,3)="14K",(0.585*1.05*K222),IF(LEFT(F222,3)="18K",(0.75*1.05*K222),0))))*0.5</f>
        <v/>
      </c>
      <c r="AA222" s="269">
        <f>2*K222</f>
        <v/>
      </c>
      <c r="AB222" s="269" t="n">
        <v>77.7058</v>
      </c>
      <c r="AC222" s="269" t="n">
        <v>630.927055972947</v>
      </c>
      <c r="AD222" s="269" t="n">
        <v>708.632855972947</v>
      </c>
      <c r="AE222" s="269">
        <f>IF(LEFT(F222,3)="10K",(0.417*1.07*K222),IF(LEFT(F222,3)="14K",(0.585*1.05*K222),IF(LEFT(F222,3)="18K",(0.75*1.05*K222),0)))</f>
        <v/>
      </c>
      <c r="AG222" s="270">
        <f>X222</f>
        <v/>
      </c>
    </row>
    <row r="223" ht="15.75" customFormat="1" customHeight="1" s="271">
      <c r="A223" s="272" t="inlineStr">
        <is>
          <t>SUBTOTAL</t>
        </is>
      </c>
      <c r="B223" s="273" t="n"/>
      <c r="C223" s="273" t="n"/>
      <c r="D223" s="273" t="n"/>
      <c r="E223" s="273" t="n"/>
      <c r="F223" s="273" t="n"/>
      <c r="G223" s="274">
        <f>SUM(G217:G222)</f>
        <v/>
      </c>
      <c r="H223" s="283" t="n"/>
      <c r="I223" s="283" t="n"/>
      <c r="J223" s="283" t="n"/>
      <c r="K223" s="283">
        <f>SUM(K217:K222)</f>
        <v/>
      </c>
      <c r="L223" s="276" t="n"/>
      <c r="M223" s="276" t="n"/>
      <c r="N223" s="276" t="n"/>
      <c r="O223" s="277" t="n"/>
      <c r="P223" s="278">
        <f>SUM(P217:P222)</f>
        <v/>
      </c>
      <c r="Q223" s="279">
        <f>SUM(Q217:Q222)</f>
        <v/>
      </c>
      <c r="R223" s="279">
        <f>SUM(R217:R222)</f>
        <v/>
      </c>
      <c r="S223" s="279">
        <f>SUM(S217:S222)</f>
        <v/>
      </c>
      <c r="T223" s="279">
        <f>SUM(T217:T222)</f>
        <v/>
      </c>
      <c r="U223" s="279">
        <f>SUM(U217:U222)</f>
        <v/>
      </c>
      <c r="V223" s="279">
        <f>SUM(V217:V222)</f>
        <v/>
      </c>
      <c r="W223" s="279">
        <f>SUM(W217:W222)</f>
        <v/>
      </c>
      <c r="X223" s="279">
        <f>SUM(X217:X222)</f>
        <v/>
      </c>
      <c r="Y223" s="279">
        <f>SUM(Y217:Y222)</f>
        <v/>
      </c>
      <c r="Z223" s="280">
        <f>SUM(Z217:Z222)</f>
        <v/>
      </c>
      <c r="AA223" s="269" t="n"/>
      <c r="AB223" s="269" t="n"/>
      <c r="AC223" s="269" t="n"/>
      <c r="AD223" s="269" t="n"/>
      <c r="AE223" s="269" t="n"/>
      <c r="AG223" s="270" t="n"/>
    </row>
    <row r="224" ht="15.75" customHeight="1" s="240">
      <c r="A224" s="241" t="inlineStr">
        <is>
          <t>Buyer Dia</t>
        </is>
      </c>
      <c r="K224" s="242" t="n"/>
      <c r="L224" s="243" t="n"/>
      <c r="M224" s="243" t="n"/>
      <c r="N224" s="243" t="n"/>
      <c r="W224" s="244" t="n"/>
      <c r="X224" s="245" t="inlineStr">
        <is>
          <t>27 Mar London AM + 2%</t>
        </is>
      </c>
      <c r="Y224" s="246">
        <f>3051.7*1.02</f>
        <v/>
      </c>
      <c r="Z224" s="246">
        <f>3051.7*1.02</f>
        <v/>
      </c>
      <c r="AA224" s="269" t="n"/>
      <c r="AB224" s="269" t="n"/>
      <c r="AC224" s="269" t="n"/>
      <c r="AD224" s="269" t="n"/>
      <c r="AE224" s="269" t="n"/>
      <c r="AG224" s="270" t="n"/>
    </row>
    <row r="225" ht="27" customFormat="1" customHeight="1" s="247">
      <c r="A225" s="248" t="inlineStr">
        <is>
          <t>PO#</t>
        </is>
      </c>
      <c r="B225" s="249" t="inlineStr">
        <is>
          <t>Item No.</t>
        </is>
      </c>
      <c r="C225" s="249" t="inlineStr">
        <is>
          <t>Buyer No.</t>
        </is>
      </c>
      <c r="D225" s="249" t="inlineStr">
        <is>
          <t>Buyer PO</t>
        </is>
      </c>
      <c r="E225" s="249" t="n"/>
      <c r="F225" s="249" t="inlineStr">
        <is>
          <t>Metal</t>
        </is>
      </c>
      <c r="G225" s="249" t="inlineStr">
        <is>
          <t>Q'ty</t>
        </is>
      </c>
      <c r="H225" s="250" t="inlineStr">
        <is>
          <t>Total w't</t>
        </is>
      </c>
      <c r="I225" s="250" t="inlineStr">
        <is>
          <t>Dia w't</t>
        </is>
      </c>
      <c r="J225" s="250" t="inlineStr">
        <is>
          <t>Wire w't</t>
        </is>
      </c>
      <c r="K225" s="250" t="inlineStr">
        <is>
          <t>Gold w't</t>
        </is>
      </c>
      <c r="L225" s="251" t="inlineStr">
        <is>
          <t>Stone</t>
        </is>
      </c>
      <c r="M225" s="251" t="inlineStr">
        <is>
          <t>Color</t>
        </is>
      </c>
      <c r="N225" s="251" t="inlineStr">
        <is>
          <t>Stone Q'ty</t>
        </is>
      </c>
      <c r="O225" s="252" t="inlineStr">
        <is>
          <t>Labor</t>
        </is>
      </c>
      <c r="P225" s="253" t="inlineStr">
        <is>
          <t>Dia Carat</t>
        </is>
      </c>
      <c r="Q225" s="254" t="inlineStr">
        <is>
          <t>Extra Cost</t>
        </is>
      </c>
      <c r="R225" s="254" t="inlineStr">
        <is>
          <t>Dia Packaging Cost</t>
        </is>
      </c>
      <c r="S225" s="254" t="inlineStr">
        <is>
          <t>Dia Handling Service Fee</t>
        </is>
      </c>
      <c r="T225" s="254" t="inlineStr">
        <is>
          <t>Wire
Cost</t>
        </is>
      </c>
      <c r="U225" s="254" t="inlineStr">
        <is>
          <t>Plating Cost</t>
        </is>
      </c>
      <c r="V225" s="254" t="inlineStr">
        <is>
          <t>Stone
Cost</t>
        </is>
      </c>
      <c r="W225" s="254" t="inlineStr">
        <is>
          <t>Setting
Cost</t>
        </is>
      </c>
      <c r="X225" s="255" t="inlineStr">
        <is>
          <t>Labor
Cost</t>
        </is>
      </c>
      <c r="Y225" s="256" t="inlineStr">
        <is>
          <t>Gold &amp; 5%
Cost</t>
        </is>
      </c>
      <c r="Z225" s="255" t="inlineStr">
        <is>
          <t>Current Gold &amp;
5% Cost</t>
        </is>
      </c>
      <c r="AA225" s="269" t="n"/>
      <c r="AB225" s="269" t="n"/>
      <c r="AC225" s="269" t="n"/>
      <c r="AD225" s="269" t="n"/>
      <c r="AE225" s="269" t="n"/>
      <c r="AG225" s="270" t="n"/>
    </row>
    <row r="226" ht="41.25" customFormat="1" customHeight="1" s="257">
      <c r="A226" s="258" t="inlineStr">
        <is>
          <t>IDD250324RB-1-14K</t>
        </is>
      </c>
      <c r="B226" s="259" t="inlineStr">
        <is>
          <t>K01135B02 OV H 6.5"</t>
        </is>
      </c>
      <c r="C226" s="259" t="inlineStr">
        <is>
          <t>FSBG5088S8Y-6C</t>
        </is>
      </c>
      <c r="D226" s="259" t="n">
        <v>148436</v>
      </c>
      <c r="E226" s="259" t="n">
        <v>104</v>
      </c>
      <c r="F226" s="259" t="inlineStr">
        <is>
          <t>14K YG</t>
        </is>
      </c>
      <c r="G226" s="260" t="n">
        <v>2</v>
      </c>
      <c r="H226" s="261" t="n">
        <v>18.35</v>
      </c>
      <c r="I226" s="261" t="n">
        <v>0.6</v>
      </c>
      <c r="J226" s="261" t="n">
        <v>0.62</v>
      </c>
      <c r="K226" s="262">
        <f>H226-I226-J226</f>
        <v/>
      </c>
      <c r="L226" s="263" t="inlineStr">
        <is>
          <t>1.60mm
1.80mm
2.25mm</t>
        </is>
      </c>
      <c r="M226" s="263" t="inlineStr">
        <is>
          <t>W
W
W</t>
        </is>
      </c>
      <c r="N226" s="264" t="inlineStr">
        <is>
          <t>8pcs
12pcs
24pcs</t>
        </is>
      </c>
      <c r="O226" s="265" t="n">
        <v>8.5</v>
      </c>
      <c r="P226" s="266" t="n">
        <v>3</v>
      </c>
      <c r="Q226" s="267" t="n"/>
      <c r="R226" s="267" t="n"/>
      <c r="S226" s="267">
        <f>G226*(8+12+24)*0.02</f>
        <v/>
      </c>
      <c r="T226" s="267">
        <f>2.3*G226</f>
        <v/>
      </c>
      <c r="U226" s="267" t="n"/>
      <c r="V226" s="267" t="n"/>
      <c r="W226" s="267">
        <f>G226*((8+12)*0.6+24*0.3)</f>
        <v/>
      </c>
      <c r="X226" s="267">
        <f>K226*O226</f>
        <v/>
      </c>
      <c r="Y226" s="267">
        <f>($Y$224/31.1035*IF(LEFT(F226,3)="10K",(0.417*1.07*K226),IF(LEFT(F226,3)="14K",(0.585*1.05*K226),IF(LEFT(F226,3)="18K",(0.75*1.05*K226),0))))*0.5</f>
        <v/>
      </c>
      <c r="Z226" s="268">
        <f>($Z$224/31.1035*IF(LEFT(F226,3)="10K",(0.417*1.07*K226),IF(LEFT(F226,3)="14K",(0.585*1.05*K226),IF(LEFT(F226,3)="18K",(0.75*1.05*K226),0))))*0.5</f>
        <v/>
      </c>
      <c r="AA226" s="269">
        <f>2*K226</f>
        <v/>
      </c>
      <c r="AB226" s="269" t="n">
        <v>156.105</v>
      </c>
      <c r="AC226" s="269" t="n">
        <v>1807.40274241546</v>
      </c>
      <c r="AD226" s="269" t="n">
        <v>1963.50774241546</v>
      </c>
      <c r="AE226" s="269">
        <f>IF(LEFT(F226,3)="10K",(0.417*1.07*K226),IF(LEFT(F226,3)="14K",(0.585*1.05*K226),IF(LEFT(F226,3)="18K",(0.75*1.05*K226),0)))</f>
        <v/>
      </c>
      <c r="AG226" s="270">
        <f>X226</f>
        <v/>
      </c>
    </row>
    <row r="227" ht="27" customFormat="1" customHeight="1" s="257">
      <c r="A227" s="258" t="n">
        <v>9</v>
      </c>
      <c r="B227" s="259" t="inlineStr">
        <is>
          <t>K0132B06 6.75"</t>
        </is>
      </c>
      <c r="C227" s="259" t="inlineStr">
        <is>
          <t>FSBG5023S8W-6D</t>
        </is>
      </c>
      <c r="D227" s="259" t="n">
        <v>148436</v>
      </c>
      <c r="E227" s="259" t="n">
        <v>111</v>
      </c>
      <c r="F227" s="259" t="inlineStr">
        <is>
          <t>14K WG</t>
        </is>
      </c>
      <c r="G227" s="260" t="n">
        <v>1</v>
      </c>
      <c r="H227" s="261" t="n">
        <v>10.96</v>
      </c>
      <c r="I227" s="261" t="n">
        <v>0.57</v>
      </c>
      <c r="J227" s="261" t="n">
        <v>0.67</v>
      </c>
      <c r="K227" s="262">
        <f>H227-I227-J227</f>
        <v/>
      </c>
      <c r="L227" s="263" t="n">
        <v>1.6</v>
      </c>
      <c r="M227" s="263" t="inlineStr">
        <is>
          <t>W</t>
        </is>
      </c>
      <c r="N227" s="264" t="n">
        <v>192</v>
      </c>
      <c r="O227" s="265" t="n">
        <v>8.5</v>
      </c>
      <c r="P227" s="266" t="n">
        <v>2.84</v>
      </c>
      <c r="Q227" s="267" t="n"/>
      <c r="R227" s="267" t="n"/>
      <c r="S227" s="267">
        <f>G227*N227*0.02</f>
        <v/>
      </c>
      <c r="T227" s="267">
        <f>4.6*G227</f>
        <v/>
      </c>
      <c r="U227" s="267">
        <f>IF(RIGHT(F227,2)="WG",K227*$AB$4,IF(RIGHT(F227,3)="WRG",K227*$AB$4+3*G227,IF(RIGHT(F227,3)="WYG",K227*$AB$4+3*G227,IF(RIGHT(F227,3)="WYR",K227*$AB$4+3*G227,0))))</f>
        <v/>
      </c>
      <c r="V227" s="267" t="n"/>
      <c r="W227" s="267">
        <f>G227*N227*0.3</f>
        <v/>
      </c>
      <c r="X227" s="267">
        <f>K227*O227</f>
        <v/>
      </c>
      <c r="Y227" s="267">
        <f>($Y$224/31.1035*IF(LEFT(F227,3)="10K",(0.417*1.07*K227),IF(LEFT(F227,3)="14K",(0.585*1.05*K227),IF(LEFT(F227,3)="18K",(0.75*1.05*K227),0))))*0.5</f>
        <v/>
      </c>
      <c r="Z227" s="268">
        <f>($Z$224/31.1035*IF(LEFT(F227,3)="10K",(0.417*1.07*K227),IF(LEFT(F227,3)="14K",(0.585*1.05*K227),IF(LEFT(F227,3)="18K",(0.75*1.05*K227),0))))*0.5</f>
        <v/>
      </c>
      <c r="AA227" s="269">
        <f>2*K227</f>
        <v/>
      </c>
      <c r="AB227" s="269" t="n">
        <v>131.5528</v>
      </c>
      <c r="AC227" s="269" t="n">
        <v>1423.69814308663</v>
      </c>
      <c r="AD227" s="269" t="n">
        <v>1555.25094308663</v>
      </c>
      <c r="AE227" s="269">
        <f>IF(LEFT(F227,3)="10K",(0.417*1.07*K227),IF(LEFT(F227,3)="14K",(0.585*1.05*K227),IF(LEFT(F227,3)="18K",(0.75*1.05*K227),0)))</f>
        <v/>
      </c>
      <c r="AG227" s="270">
        <f>X227</f>
        <v/>
      </c>
    </row>
    <row r="228" ht="27" customFormat="1" customHeight="1" s="257">
      <c r="A228" s="258" t="n">
        <v>10</v>
      </c>
      <c r="B228" s="259" t="inlineStr">
        <is>
          <t>K0304B06 OV H 6.75"</t>
        </is>
      </c>
      <c r="C228" s="259" t="inlineStr">
        <is>
          <t>FSBG5090S8Y-6D</t>
        </is>
      </c>
      <c r="D228" s="259" t="n">
        <v>148436</v>
      </c>
      <c r="E228" s="259" t="n">
        <v>114</v>
      </c>
      <c r="F228" s="259" t="inlineStr">
        <is>
          <t>14K YG</t>
        </is>
      </c>
      <c r="G228" s="260" t="n">
        <v>1</v>
      </c>
      <c r="H228" s="261" t="n">
        <v>13.81</v>
      </c>
      <c r="I228" s="261" t="n">
        <v>0.3</v>
      </c>
      <c r="J228" s="261" t="n">
        <v>0.64</v>
      </c>
      <c r="K228" s="262">
        <f>H228-I228-J228</f>
        <v/>
      </c>
      <c r="L228" s="263" t="n">
        <v>1.4</v>
      </c>
      <c r="M228" s="263" t="inlineStr">
        <is>
          <t>W</t>
        </is>
      </c>
      <c r="N228" s="264" t="n">
        <v>150</v>
      </c>
      <c r="O228" s="265" t="n">
        <v>8.5</v>
      </c>
      <c r="P228" s="266" t="n">
        <v>1.52</v>
      </c>
      <c r="Q228" s="267" t="n"/>
      <c r="R228" s="267" t="n"/>
      <c r="S228" s="267">
        <f>G228*N228*0.02</f>
        <v/>
      </c>
      <c r="T228" s="267">
        <f>4.6*G228</f>
        <v/>
      </c>
      <c r="U228" s="267" t="n"/>
      <c r="V228" s="267" t="n"/>
      <c r="W228" s="267">
        <f>G228*N228*0.3</f>
        <v/>
      </c>
      <c r="X228" s="267">
        <f>K228*O228</f>
        <v/>
      </c>
      <c r="Y228" s="267">
        <f>($Y$224/31.1035*IF(LEFT(F228,3)="10K",(0.417*1.07*K228),IF(LEFT(F228,3)="14K",(0.585*1.05*K228),IF(LEFT(F228,3)="18K",(0.75*1.05*K228),0))))*0.5</f>
        <v/>
      </c>
      <c r="Z228" s="268">
        <f>($Z$224/31.1035*IF(LEFT(F228,3)="10K",(0.417*1.07*K228),IF(LEFT(F228,3)="14K",(0.585*1.05*K228),IF(LEFT(F228,3)="18K",(0.75*1.05*K228),0))))*0.5</f>
        <v/>
      </c>
      <c r="AA228" s="269">
        <f>2*K228</f>
        <v/>
      </c>
      <c r="AB228" s="269" t="n">
        <v>136.255</v>
      </c>
      <c r="AC228" s="269" t="n">
        <v>1101.09304362383</v>
      </c>
      <c r="AD228" s="269" t="n">
        <v>1237.34804362383</v>
      </c>
      <c r="AE228" s="269">
        <f>IF(LEFT(F228,3)="10K",(0.417*1.07*K228),IF(LEFT(F228,3)="14K",(0.585*1.05*K228),IF(LEFT(F228,3)="18K",(0.75*1.05*K228),0)))</f>
        <v/>
      </c>
      <c r="AG228" s="270">
        <f>X228</f>
        <v/>
      </c>
    </row>
    <row r="229" ht="27" customFormat="1" customHeight="1" s="257">
      <c r="A229" s="258" t="n">
        <v>13</v>
      </c>
      <c r="B229" s="259" t="inlineStr">
        <is>
          <t>K0634B01 OV 6.75"</t>
        </is>
      </c>
      <c r="C229" s="259" t="inlineStr">
        <is>
          <t>FSBG5045S8W</t>
        </is>
      </c>
      <c r="D229" s="259" t="n">
        <v>148436</v>
      </c>
      <c r="E229" s="259" t="n">
        <v>117</v>
      </c>
      <c r="F229" s="259" t="inlineStr">
        <is>
          <t>14K WG</t>
        </is>
      </c>
      <c r="G229" s="260" t="n">
        <v>1</v>
      </c>
      <c r="H229" s="261" t="n">
        <v>7.2</v>
      </c>
      <c r="I229" s="261" t="n">
        <v>0</v>
      </c>
      <c r="J229" s="261" t="n">
        <v>0.32</v>
      </c>
      <c r="K229" s="262">
        <f>H229-I229-J229</f>
        <v/>
      </c>
      <c r="L229" s="263" t="n">
        <v>1.5</v>
      </c>
      <c r="M229" s="263" t="inlineStr">
        <is>
          <t>W</t>
        </is>
      </c>
      <c r="N229" s="264" t="n">
        <v>13</v>
      </c>
      <c r="O229" s="265" t="n">
        <v>9.5</v>
      </c>
      <c r="P229" s="266" t="n">
        <v>0.17</v>
      </c>
      <c r="Q229" s="267" t="n"/>
      <c r="R229" s="267" t="n"/>
      <c r="S229" s="267">
        <f>G229*N229*0.02</f>
        <v/>
      </c>
      <c r="T229" s="267">
        <f>2.3*G229</f>
        <v/>
      </c>
      <c r="U229" s="267">
        <f>IF(RIGHT(F229,2)="WG",K229*$AB$4,IF(RIGHT(F229,3)="WRG",K229*$AB$4+3*G229,IF(RIGHT(F229,3)="WYG",K229*$AB$4+3*G229,IF(RIGHT(F229,3)="WYR",K229*$AB$4+3*G229,0))))</f>
        <v/>
      </c>
      <c r="V229" s="267" t="n"/>
      <c r="W229" s="267">
        <f>G229*N229*0.3</f>
        <v/>
      </c>
      <c r="X229" s="267">
        <f>K229*O229</f>
        <v/>
      </c>
      <c r="Y229" s="267">
        <f>($Y$224/31.1035*IF(LEFT(F229,3)="10K",(0.417*1.07*K229),IF(LEFT(F229,3)="14K",(0.585*1.05*K229),IF(LEFT(F229,3)="18K",(0.75*1.05*K229),0))))*0.5</f>
        <v/>
      </c>
      <c r="Z229" s="268">
        <f>($Z$224/31.1035*IF(LEFT(F229,3)="10K",(0.417*1.07*K229),IF(LEFT(F229,3)="14K",(0.585*1.05*K229),IF(LEFT(F229,3)="18K",(0.75*1.05*K229),0))))*0.5</f>
        <v/>
      </c>
      <c r="AA229" s="269">
        <f>2*K229</f>
        <v/>
      </c>
      <c r="AB229" s="269" t="n">
        <v>59.7112</v>
      </c>
      <c r="AC229" s="269" t="n">
        <v>363.764190536876</v>
      </c>
      <c r="AD229" s="269" t="n">
        <v>423.475390536876</v>
      </c>
      <c r="AE229" s="269">
        <f>IF(LEFT(F229,3)="10K",(0.417*1.07*K229),IF(LEFT(F229,3)="14K",(0.585*1.05*K229),IF(LEFT(F229,3)="18K",(0.75*1.05*K229),0)))</f>
        <v/>
      </c>
      <c r="AG229" s="270">
        <f>X229</f>
        <v/>
      </c>
    </row>
    <row r="230" ht="27.75" customFormat="1" customHeight="1" s="257">
      <c r="A230" s="258" t="n">
        <v>13</v>
      </c>
      <c r="B230" s="259" t="inlineStr">
        <is>
          <t>K0634B01 OV 6.75"</t>
        </is>
      </c>
      <c r="C230" s="259" t="inlineStr">
        <is>
          <t>FSBG5045S8Y</t>
        </is>
      </c>
      <c r="D230" s="259" t="n">
        <v>148436</v>
      </c>
      <c r="E230" s="259" t="n">
        <v>122</v>
      </c>
      <c r="F230" s="259" t="inlineStr">
        <is>
          <t>14K YG</t>
        </is>
      </c>
      <c r="G230" s="260" t="n">
        <v>1</v>
      </c>
      <c r="H230" s="261" t="n">
        <v>6.24</v>
      </c>
      <c r="I230" s="261" t="n">
        <v>0.03</v>
      </c>
      <c r="J230" s="261" t="n">
        <v>0.32</v>
      </c>
      <c r="K230" s="262">
        <f>H230-I230-J230</f>
        <v/>
      </c>
      <c r="L230" s="263" t="n">
        <v>1.5</v>
      </c>
      <c r="M230" s="263" t="inlineStr">
        <is>
          <t>W</t>
        </is>
      </c>
      <c r="N230" s="264" t="n">
        <v>13</v>
      </c>
      <c r="O230" s="265" t="n">
        <v>9.5</v>
      </c>
      <c r="P230" s="266" t="n">
        <v>0.16</v>
      </c>
      <c r="Q230" s="267" t="n"/>
      <c r="R230" s="267" t="n"/>
      <c r="S230" s="267">
        <f>G230*N230*0.02</f>
        <v/>
      </c>
      <c r="T230" s="267">
        <f>2.3*G230</f>
        <v/>
      </c>
      <c r="U230" s="267" t="n"/>
      <c r="V230" s="267" t="n"/>
      <c r="W230" s="267">
        <f>G230*N230*0.3</f>
        <v/>
      </c>
      <c r="X230" s="267">
        <f>K230*O230</f>
        <v/>
      </c>
      <c r="Y230" s="267">
        <f>($Y$224/31.1035*IF(LEFT(F230,3)="10K",(0.417*1.07*K230),IF(LEFT(F230,3)="14K",(0.585*1.05*K230),IF(LEFT(F230,3)="18K",(0.75*1.05*K230),0))))*0.5</f>
        <v/>
      </c>
      <c r="Z230" s="268">
        <f>($Z$224/31.1035*IF(LEFT(F230,3)="10K",(0.417*1.07*K230),IF(LEFT(F230,3)="14K",(0.585*1.05*K230),IF(LEFT(F230,3)="18K",(0.75*1.05*K230),0))))*0.5</f>
        <v/>
      </c>
      <c r="AA230" s="269">
        <f>2*K230</f>
        <v/>
      </c>
      <c r="AB230" s="269" t="n">
        <v>50.635</v>
      </c>
      <c r="AC230" s="269" t="n">
        <v>316.481079328824</v>
      </c>
      <c r="AD230" s="269" t="n">
        <v>367.116079328824</v>
      </c>
      <c r="AE230" s="269">
        <f>IF(LEFT(F230,3)="10K",(0.417*1.07*K230),IF(LEFT(F230,3)="14K",(0.585*1.05*K230),IF(LEFT(F230,3)="18K",(0.75*1.05*K230),0)))</f>
        <v/>
      </c>
      <c r="AG230" s="270">
        <f>X230</f>
        <v/>
      </c>
    </row>
    <row r="231" ht="13.5" customFormat="1" customHeight="1" s="271">
      <c r="A231" s="272" t="inlineStr">
        <is>
          <t>SUBTOTAL</t>
        </is>
      </c>
      <c r="B231" s="273" t="n"/>
      <c r="C231" s="273" t="n"/>
      <c r="D231" s="273" t="n"/>
      <c r="E231" s="273" t="n"/>
      <c r="F231" s="273" t="n"/>
      <c r="G231" s="274">
        <f>SUM(G226:G230)</f>
        <v/>
      </c>
      <c r="H231" s="275" t="n"/>
      <c r="I231" s="275" t="n"/>
      <c r="J231" s="275" t="n"/>
      <c r="K231" s="275">
        <f>SUM(K226:K230)</f>
        <v/>
      </c>
      <c r="L231" s="276" t="n"/>
      <c r="M231" s="276" t="n"/>
      <c r="N231" s="276" t="n"/>
      <c r="O231" s="277" t="n"/>
      <c r="P231" s="278">
        <f>SUM(P226:P230)</f>
        <v/>
      </c>
      <c r="Q231" s="279">
        <f>SUM(Q226:Q230)</f>
        <v/>
      </c>
      <c r="R231" s="279">
        <f>SUM(R226:R230)</f>
        <v/>
      </c>
      <c r="S231" s="279">
        <f>SUM(S226:S230)</f>
        <v/>
      </c>
      <c r="T231" s="279">
        <f>SUM(T226:T230)</f>
        <v/>
      </c>
      <c r="U231" s="279">
        <f>SUM(U226:U230)</f>
        <v/>
      </c>
      <c r="V231" s="279">
        <f>SUM(V226:V230)</f>
        <v/>
      </c>
      <c r="W231" s="279">
        <f>SUM(W226:W230)</f>
        <v/>
      </c>
      <c r="X231" s="279">
        <f>SUM(X226:X230)</f>
        <v/>
      </c>
      <c r="Y231" s="279">
        <f>SUM(Y226:Y230)</f>
        <v/>
      </c>
      <c r="Z231" s="280">
        <f>SUM(Z226:Z230)</f>
        <v/>
      </c>
      <c r="AA231" s="269" t="n"/>
      <c r="AB231" s="269" t="n"/>
      <c r="AC231" s="269" t="n"/>
      <c r="AD231" s="269" t="n"/>
      <c r="AE231" s="269" t="n"/>
      <c r="AG231" s="270" t="n"/>
    </row>
    <row r="232" ht="15.75" customHeight="1" s="240">
      <c r="A232" s="241" t="inlineStr">
        <is>
          <t>Buyer Dia</t>
        </is>
      </c>
      <c r="K232" s="242" t="n"/>
      <c r="L232" s="243" t="n"/>
      <c r="M232" s="243" t="n"/>
      <c r="N232" s="243" t="n"/>
      <c r="W232" s="244" t="n"/>
      <c r="X232" s="245" t="inlineStr">
        <is>
          <t>24 Mar London AM + 2%</t>
        </is>
      </c>
      <c r="Y232" s="246">
        <f>3030.25*1.02</f>
        <v/>
      </c>
      <c r="Z232" s="246">
        <f>3030.25*1.02</f>
        <v/>
      </c>
      <c r="AA232" s="269" t="n"/>
      <c r="AB232" s="269" t="n"/>
      <c r="AC232" s="269" t="n"/>
      <c r="AD232" s="269" t="n"/>
      <c r="AE232" s="269" t="n"/>
      <c r="AG232" s="270" t="n"/>
    </row>
    <row r="233" ht="27" customFormat="1" customHeight="1" s="247">
      <c r="A233" s="248" t="inlineStr">
        <is>
          <t>PO#</t>
        </is>
      </c>
      <c r="B233" s="249" t="inlineStr">
        <is>
          <t>Item No.</t>
        </is>
      </c>
      <c r="C233" s="249" t="inlineStr">
        <is>
          <t>Buyer No.</t>
        </is>
      </c>
      <c r="D233" s="249" t="inlineStr">
        <is>
          <t>Buyer PO</t>
        </is>
      </c>
      <c r="E233" s="249" t="inlineStr">
        <is>
          <t>IDD PO SERIAL#</t>
        </is>
      </c>
      <c r="F233" s="249" t="inlineStr">
        <is>
          <t>Metal</t>
        </is>
      </c>
      <c r="G233" s="249" t="inlineStr">
        <is>
          <t>Q'ty</t>
        </is>
      </c>
      <c r="H233" s="250" t="inlineStr">
        <is>
          <t>Total w't</t>
        </is>
      </c>
      <c r="I233" s="250" t="inlineStr">
        <is>
          <t>Dia w't</t>
        </is>
      </c>
      <c r="J233" s="250" t="inlineStr">
        <is>
          <t>Wire w't</t>
        </is>
      </c>
      <c r="K233" s="250" t="inlineStr">
        <is>
          <t>Gold w't</t>
        </is>
      </c>
      <c r="L233" s="251" t="inlineStr">
        <is>
          <t>Stone</t>
        </is>
      </c>
      <c r="M233" s="251" t="inlineStr">
        <is>
          <t>Color</t>
        </is>
      </c>
      <c r="N233" s="251" t="inlineStr">
        <is>
          <t>Stone Q'ty</t>
        </is>
      </c>
      <c r="O233" s="252" t="inlineStr">
        <is>
          <t>Labor</t>
        </is>
      </c>
      <c r="P233" s="253" t="inlineStr">
        <is>
          <t>Dia Carat</t>
        </is>
      </c>
      <c r="Q233" s="254" t="inlineStr">
        <is>
          <t>Extra Cost</t>
        </is>
      </c>
      <c r="R233" s="254" t="inlineStr">
        <is>
          <t>Dia Packaging Cost</t>
        </is>
      </c>
      <c r="S233" s="254" t="inlineStr">
        <is>
          <t>Dia Handling Service Fee</t>
        </is>
      </c>
      <c r="T233" s="254" t="inlineStr">
        <is>
          <t>Wire
Cost</t>
        </is>
      </c>
      <c r="U233" s="254" t="inlineStr">
        <is>
          <t>Plating Cost</t>
        </is>
      </c>
      <c r="V233" s="254" t="inlineStr">
        <is>
          <t>Stone
Cost</t>
        </is>
      </c>
      <c r="W233" s="254" t="inlineStr">
        <is>
          <t>Setting
Cost</t>
        </is>
      </c>
      <c r="X233" s="255" t="inlineStr">
        <is>
          <t>Labor
Cost</t>
        </is>
      </c>
      <c r="Y233" s="256" t="inlineStr">
        <is>
          <t>Gold &amp; 5%
Cost</t>
        </is>
      </c>
      <c r="Z233" s="255" t="inlineStr">
        <is>
          <t>Current Gold &amp;
5% Cost</t>
        </is>
      </c>
      <c r="AA233" s="269" t="n"/>
      <c r="AB233" s="269" t="n"/>
      <c r="AC233" s="269" t="n"/>
      <c r="AD233" s="269" t="n"/>
      <c r="AE233" s="269" t="n"/>
      <c r="AG233" s="270" t="n"/>
    </row>
    <row r="234" ht="27" customFormat="1" customHeight="1" s="257">
      <c r="A234" s="258" t="inlineStr">
        <is>
          <t>IDD250312RB-2-14K</t>
        </is>
      </c>
      <c r="B234" s="259" t="inlineStr">
        <is>
          <t>K0132B08 8.0"</t>
        </is>
      </c>
      <c r="C234" s="259" t="inlineStr">
        <is>
          <t>FSBG5048S8Y-8A</t>
        </is>
      </c>
      <c r="D234" s="259" t="n">
        <v>148258</v>
      </c>
      <c r="E234" s="259" t="n">
        <v>101</v>
      </c>
      <c r="F234" s="259" t="inlineStr">
        <is>
          <t>14K YG</t>
        </is>
      </c>
      <c r="G234" s="260" t="n">
        <v>1</v>
      </c>
      <c r="H234" s="261" t="n">
        <v>25.67</v>
      </c>
      <c r="I234" s="261" t="n">
        <v>1.36</v>
      </c>
      <c r="J234" s="261" t="n">
        <v>1.64</v>
      </c>
      <c r="K234" s="262">
        <f>H234-I234-J234</f>
        <v/>
      </c>
      <c r="L234" s="263" t="n">
        <v>1.6</v>
      </c>
      <c r="M234" s="263" t="inlineStr">
        <is>
          <t>W</t>
        </is>
      </c>
      <c r="N234" s="264" t="n">
        <v>458</v>
      </c>
      <c r="O234" s="265" t="n">
        <v>10.5</v>
      </c>
      <c r="P234" s="266" t="n">
        <v>6.81</v>
      </c>
      <c r="Q234" s="267" t="n"/>
      <c r="R234" s="267" t="n"/>
      <c r="S234" s="267">
        <f>0.02*N234*G234</f>
        <v/>
      </c>
      <c r="T234" s="267">
        <f>8*G234</f>
        <v/>
      </c>
      <c r="U234" s="267">
        <f>IF(RIGHT(F234,2)="WG",K234*$AB$4,IF(RIGHT(F234,3)="WRG",K234*$AB$4+3*G234,IF(RIGHT(F234,3)="WYG",K234*$AB$4+3*G234,IF(RIGHT(F234,3)="WYR",K234*$AB$4+3*G234,0))))</f>
        <v/>
      </c>
      <c r="V234" s="267" t="n"/>
      <c r="W234" s="267">
        <f>G234*N234*0.3</f>
        <v/>
      </c>
      <c r="X234" s="267">
        <f>K234*O234</f>
        <v/>
      </c>
      <c r="Y234" s="267">
        <f>($Y$232/31.1035*IF(LEFT(F234,3)="10K",(0.417*1.07*K234),IF(LEFT(F234,3)="14K",(0.585*1.05*K234),IF(LEFT(F234,3)="18K",(0.75*1.05*K234),0))))*0.5</f>
        <v/>
      </c>
      <c r="Z234" s="268">
        <f>($Z$232/31.1035*IF(LEFT(F234,3)="10K",(0.417*1.07*K234),IF(LEFT(F234,3)="14K",(0.585*1.05*K234),IF(LEFT(F234,3)="18K",(0.75*1.05*K234),0))))*0.5</f>
        <v/>
      </c>
      <c r="AA234" s="269">
        <f>2*K234</f>
        <v/>
      </c>
      <c r="AB234" s="269" t="n">
        <v>347.255</v>
      </c>
      <c r="AC234" s="269" t="n">
        <v>3385.67521268309</v>
      </c>
      <c r="AD234" s="269" t="n">
        <v>3732.93021268309</v>
      </c>
      <c r="AE234" s="269">
        <f>IF(LEFT(F234,3)="10K",(0.417*1.07*K234),IF(LEFT(F234,3)="14K",(0.585*1.05*K234),IF(LEFT(F234,3)="18K",(0.75*1.05*K234),0)))</f>
        <v/>
      </c>
      <c r="AG234" s="270">
        <f>X234</f>
        <v/>
      </c>
    </row>
    <row r="235" ht="27" customFormat="1" customHeight="1" s="257">
      <c r="A235" s="258" t="n">
        <v>3</v>
      </c>
      <c r="B235" s="259" t="inlineStr">
        <is>
          <t>K0038B56 OV F 8.0"</t>
        </is>
      </c>
      <c r="C235" s="259" t="inlineStr">
        <is>
          <t>FSBG5076S8W-8A</t>
        </is>
      </c>
      <c r="D235" s="259" t="n">
        <v>148258</v>
      </c>
      <c r="E235" s="259" t="n">
        <v>105</v>
      </c>
      <c r="F235" s="259" t="inlineStr">
        <is>
          <t>14K WG</t>
        </is>
      </c>
      <c r="G235" s="260" t="n">
        <v>1</v>
      </c>
      <c r="H235" s="261" t="n">
        <v>19.48</v>
      </c>
      <c r="I235" s="261" t="n">
        <v>1.86</v>
      </c>
      <c r="J235" s="261" t="n">
        <v>0.54</v>
      </c>
      <c r="K235" s="262">
        <f>H235-I235-J235</f>
        <v/>
      </c>
      <c r="L235" s="263" t="n">
        <v>3.75</v>
      </c>
      <c r="M235" s="263" t="inlineStr">
        <is>
          <t>W</t>
        </is>
      </c>
      <c r="N235" s="264" t="n">
        <v>48</v>
      </c>
      <c r="O235" s="265" t="n">
        <v>8.5</v>
      </c>
      <c r="P235" s="266" t="n">
        <v>9.32</v>
      </c>
      <c r="Q235" s="267" t="n"/>
      <c r="R235" s="267" t="n"/>
      <c r="S235" s="267">
        <f>0.02*N235*G235</f>
        <v/>
      </c>
      <c r="T235" s="267">
        <f>2*G235</f>
        <v/>
      </c>
      <c r="U235" s="267">
        <f>IF(RIGHT(F235,2)="WG",K235*$AB$4,IF(RIGHT(F235,3)="WRG",K235*$AB$4+3*G235,IF(RIGHT(F235,3)="WYG",K235*$AB$4+3*G235,IF(RIGHT(F235,3)="WYR",K235*$AB$4+3*G235,0))))</f>
        <v/>
      </c>
      <c r="V235" s="267" t="n"/>
      <c r="W235" s="267">
        <f>G235*N235*0.75</f>
        <v/>
      </c>
      <c r="X235" s="267">
        <f>K235*O235</f>
        <v/>
      </c>
      <c r="Y235" s="267">
        <f>($Y$232/31.1035*IF(LEFT(F235,3)="10K",(0.417*1.07*K235),IF(LEFT(F235,3)="14K",(0.585*1.05*K235),IF(LEFT(F235,3)="18K",(0.75*1.05*K235),0))))*0.5</f>
        <v/>
      </c>
      <c r="Z235" s="268">
        <f>($Z$232/31.1035*IF(LEFT(F235,3)="10K",(0.417*1.07*K235),IF(LEFT(F235,3)="14K",(0.585*1.05*K235),IF(LEFT(F235,3)="18K",(0.75*1.05*K235),0))))*0.5</f>
        <v/>
      </c>
      <c r="AA235" s="269">
        <f>2*K235</f>
        <v/>
      </c>
      <c r="AB235" s="269" t="n">
        <v>154.0792</v>
      </c>
      <c r="AC235" s="269" t="n">
        <v>4016.79404590403</v>
      </c>
      <c r="AD235" s="269" t="n">
        <v>4170.87324590403</v>
      </c>
      <c r="AE235" s="269">
        <f>IF(LEFT(F235,3)="10K",(0.417*1.07*K235),IF(LEFT(F235,3)="14K",(0.585*1.05*K235),IF(LEFT(F235,3)="18K",(0.75*1.05*K235),0)))</f>
        <v/>
      </c>
      <c r="AG235" s="270">
        <f>X235</f>
        <v/>
      </c>
    </row>
    <row r="236" ht="27" customFormat="1" customHeight="1" s="257">
      <c r="A236" s="258" t="n">
        <v>5</v>
      </c>
      <c r="B236" s="259" t="inlineStr">
        <is>
          <t>K0038B56 OV F 6.50"</t>
        </is>
      </c>
      <c r="C236" s="259" t="inlineStr">
        <is>
          <t>FSBG5076S8W-6C</t>
        </is>
      </c>
      <c r="D236" s="259" t="n">
        <v>148258</v>
      </c>
      <c r="E236" s="259" t="n">
        <v>118</v>
      </c>
      <c r="F236" s="259" t="inlineStr">
        <is>
          <t>14K WG</t>
        </is>
      </c>
      <c r="G236" s="260" t="n">
        <v>4</v>
      </c>
      <c r="H236" s="261" t="n">
        <v>63.8</v>
      </c>
      <c r="I236" s="261" t="n">
        <v>5.83</v>
      </c>
      <c r="J236" s="261" t="n">
        <v>1.72</v>
      </c>
      <c r="K236" s="262">
        <f>H236-I236-J236</f>
        <v/>
      </c>
      <c r="L236" s="263" t="n">
        <v>3.75</v>
      </c>
      <c r="M236" s="263" t="inlineStr">
        <is>
          <t>W</t>
        </is>
      </c>
      <c r="N236" s="264" t="n">
        <v>38</v>
      </c>
      <c r="O236" s="265" t="n">
        <v>8.5</v>
      </c>
      <c r="P236" s="266" t="n">
        <v>29.18</v>
      </c>
      <c r="Q236" s="267" t="n"/>
      <c r="R236" s="267" t="n"/>
      <c r="S236" s="267">
        <f>0.02*N236*G236</f>
        <v/>
      </c>
      <c r="T236" s="267">
        <f>2*G236</f>
        <v/>
      </c>
      <c r="U236" s="267">
        <f>IF(RIGHT(F236,2)="WG",K236*$AB$4,IF(RIGHT(F236,3)="WRG",K236*$AB$4+3*G236,IF(RIGHT(F236,3)="WYG",K236*$AB$4+3*G236,IF(RIGHT(F236,3)="WYR",K236*$AB$4+3*G236,0))))</f>
        <v/>
      </c>
      <c r="V236" s="267" t="n"/>
      <c r="W236" s="267">
        <f>G236*N236*0.75</f>
        <v/>
      </c>
      <c r="X236" s="267">
        <f>K236*O236</f>
        <v/>
      </c>
      <c r="Y236" s="267">
        <f>($Y$232/31.1035*IF(LEFT(F236,3)="10K",(0.417*1.07*K236),IF(LEFT(F236,3)="14K",(0.585*1.05*K236),IF(LEFT(F236,3)="18K",(0.75*1.05*K236),0))))*0.5</f>
        <v/>
      </c>
      <c r="Z236" s="268">
        <f>($Z$232/31.1035*IF(LEFT(F236,3)="10K",(0.417*1.07*K236),IF(LEFT(F236,3)="14K",(0.585*1.05*K236),IF(LEFT(F236,3)="18K",(0.75*1.05*K236),0))))*0.5</f>
        <v/>
      </c>
      <c r="AA236" s="269">
        <f>2*K236</f>
        <v/>
      </c>
      <c r="AB236" s="269" t="n">
        <v>504.165</v>
      </c>
      <c r="AC236" s="269" t="n">
        <v>12698.8776850944</v>
      </c>
      <c r="AD236" s="269" t="n">
        <v>13203.0426850944</v>
      </c>
      <c r="AE236" s="269">
        <f>IF(LEFT(F236,3)="10K",(0.417*1.07*K236),IF(LEFT(F236,3)="14K",(0.585*1.05*K236),IF(LEFT(F236,3)="18K",(0.75*1.05*K236),0)))</f>
        <v/>
      </c>
      <c r="AG236" s="270">
        <f>X236</f>
        <v/>
      </c>
    </row>
    <row r="237" ht="41.25" customFormat="1" customHeight="1" s="257">
      <c r="A237" s="258" t="n">
        <v>6</v>
      </c>
      <c r="B237" s="259" t="inlineStr">
        <is>
          <t>K01135B02 OV H 6.50"</t>
        </is>
      </c>
      <c r="C237" s="259" t="inlineStr">
        <is>
          <t>FSBG5088S8W-6C</t>
        </is>
      </c>
      <c r="D237" s="259" t="n">
        <v>148258</v>
      </c>
      <c r="E237" s="259" t="n">
        <v>119</v>
      </c>
      <c r="F237" s="259" t="inlineStr">
        <is>
          <t>14K WG</t>
        </is>
      </c>
      <c r="G237" s="260" t="n">
        <v>2</v>
      </c>
      <c r="H237" s="261" t="n">
        <v>20.89</v>
      </c>
      <c r="I237" s="261" t="n">
        <v>0.61</v>
      </c>
      <c r="J237" s="261" t="n">
        <v>0.62</v>
      </c>
      <c r="K237" s="262">
        <f>H237-I237-J237</f>
        <v/>
      </c>
      <c r="L237" s="263" t="inlineStr">
        <is>
          <t>1.60mm
1.80mm
2.25mm</t>
        </is>
      </c>
      <c r="M237" s="263" t="inlineStr">
        <is>
          <t>W
W
W</t>
        </is>
      </c>
      <c r="N237" s="264" t="inlineStr">
        <is>
          <t>8pcs
12pcs
24pcs</t>
        </is>
      </c>
      <c r="O237" s="265" t="n">
        <v>8.5</v>
      </c>
      <c r="P237" s="266" t="n">
        <v>3.03</v>
      </c>
      <c r="Q237" s="267" t="n"/>
      <c r="R237" s="267" t="n"/>
      <c r="S237" s="267">
        <f>0.02*(8+12+24)*G237</f>
        <v/>
      </c>
      <c r="T237" s="267">
        <f>2*G237</f>
        <v/>
      </c>
      <c r="U237" s="267">
        <f>IF(RIGHT(F237,2)="WG",K237*$AB$4,IF(RIGHT(F237,3)="WRG",K237*$AB$4+3*G237,IF(RIGHT(F237,3)="WYG",K237*$AB$4+3*G237,IF(RIGHT(F237,3)="WYR",K237*$AB$4+3*G237,0))))</f>
        <v/>
      </c>
      <c r="V237" s="267" t="n"/>
      <c r="W237" s="267">
        <f>((8+12)*0.6+(0.3*24))*G237</f>
        <v/>
      </c>
      <c r="X237" s="267">
        <f>K237*O237</f>
        <v/>
      </c>
      <c r="Y237" s="267">
        <f>($Y$232/31.1035*IF(LEFT(F237,3)="10K",(0.417*1.07*K237),IF(LEFT(F237,3)="14K",(0.585*1.05*K237),IF(LEFT(F237,3)="18K",(0.75*1.05*K237),0))))*0.5</f>
        <v/>
      </c>
      <c r="Z237" s="268">
        <f>($Z$232/31.1035*IF(LEFT(F237,3)="10K",(0.417*1.07*K237),IF(LEFT(F237,3)="14K",(0.585*1.05*K237),IF(LEFT(F237,3)="18K",(0.75*1.05*K237),0))))*0.5</f>
        <v/>
      </c>
      <c r="AA237" s="269">
        <f>2*K237</f>
        <v/>
      </c>
      <c r="AB237" s="269" t="n">
        <v>176.6684</v>
      </c>
      <c r="AC237" s="269" t="n">
        <v>1929.79263603961</v>
      </c>
      <c r="AD237" s="269" t="n">
        <v>2106.46103603961</v>
      </c>
      <c r="AE237" s="269">
        <f>IF(LEFT(F237,3)="10K",(0.417*1.07*K237),IF(LEFT(F237,3)="14K",(0.585*1.05*K237),IF(LEFT(F237,3)="18K",(0.75*1.05*K237),0)))</f>
        <v/>
      </c>
      <c r="AG237" s="270">
        <f>X237</f>
        <v/>
      </c>
    </row>
    <row r="238" ht="41.25" customFormat="1" customHeight="1" s="257">
      <c r="A238" s="258" t="n">
        <v>20</v>
      </c>
      <c r="B238" s="259" t="inlineStr">
        <is>
          <t>K01135B02 OV H 6.50"</t>
        </is>
      </c>
      <c r="C238" s="259" t="inlineStr">
        <is>
          <t>FSBG5088S8P-6C</t>
        </is>
      </c>
      <c r="D238" s="259" t="n">
        <v>148258</v>
      </c>
      <c r="E238" s="259" t="n">
        <v>107</v>
      </c>
      <c r="F238" s="259" t="inlineStr">
        <is>
          <t>14K RG</t>
        </is>
      </c>
      <c r="G238" s="260" t="n">
        <v>1</v>
      </c>
      <c r="H238" s="261" t="n">
        <v>10.09</v>
      </c>
      <c r="I238" s="261" t="n">
        <v>0.31</v>
      </c>
      <c r="J238" s="261" t="n">
        <v>0.31</v>
      </c>
      <c r="K238" s="262">
        <f>H238-I238-J238</f>
        <v/>
      </c>
      <c r="L238" s="263" t="inlineStr">
        <is>
          <t>1.60mm
1.80mm
2.25mm</t>
        </is>
      </c>
      <c r="M238" s="263" t="inlineStr">
        <is>
          <t>W
W
W</t>
        </is>
      </c>
      <c r="N238" s="264" t="inlineStr">
        <is>
          <t>8pcs
12pcs
24pcs</t>
        </is>
      </c>
      <c r="O238" s="265" t="n">
        <v>8.5</v>
      </c>
      <c r="P238" s="266" t="n">
        <v>1.53</v>
      </c>
      <c r="Q238" s="267" t="n"/>
      <c r="R238" s="267" t="n"/>
      <c r="S238" s="267">
        <f>0.02*(8+12+24)*G238</f>
        <v/>
      </c>
      <c r="T238" s="267">
        <f>2*G238</f>
        <v/>
      </c>
      <c r="U238" s="267">
        <f>IF(RIGHT(F238,2)="WG",K238*$AB$4,IF(RIGHT(F238,3)="WRG",K238*$AB$4+3*G238,IF(RIGHT(F238,3)="WYG",K238*$AB$4+3*G238,IF(RIGHT(F238,3)="WYR",K238*$AB$4+3*G238,0))))</f>
        <v/>
      </c>
      <c r="V238" s="267" t="n"/>
      <c r="W238" s="267">
        <f>((8+12)*0.6+(0.3*24))*G238</f>
        <v/>
      </c>
      <c r="X238" s="267">
        <f>K238*O238</f>
        <v/>
      </c>
      <c r="Y238" s="267">
        <f>($Y$232/31.1035*IF(LEFT(F238,3)="10K",(0.417*1.07*K238),IF(LEFT(F238,3)="14K",(0.585*1.05*K238),IF(LEFT(F238,3)="18K",(0.75*1.05*K238),0))))*0.5</f>
        <v/>
      </c>
      <c r="Z238" s="268">
        <f>($Z$232/31.1035*IF(LEFT(F238,3)="10K",(0.417*1.07*K238),IF(LEFT(F238,3)="14K",(0.585*1.05*K238),IF(LEFT(F238,3)="18K",(0.75*1.05*K238),0))))*0.5</f>
        <v/>
      </c>
      <c r="AA238" s="269">
        <f>2*K238</f>
        <v/>
      </c>
      <c r="AB238" s="269" t="n">
        <v>83.63500000000001</v>
      </c>
      <c r="AC238" s="269" t="n">
        <v>954.224014831884</v>
      </c>
      <c r="AD238" s="269" t="n">
        <v>1037.85901483188</v>
      </c>
      <c r="AE238" s="269">
        <f>IF(LEFT(F238,3)="10K",(0.417*1.07*K238),IF(LEFT(F238,3)="14K",(0.585*1.05*K238),IF(LEFT(F238,3)="18K",(0.75*1.05*K238),0)))</f>
        <v/>
      </c>
      <c r="AG238" s="270">
        <f>X238</f>
        <v/>
      </c>
    </row>
    <row r="239" ht="27.75" customFormat="1" customHeight="1" s="257">
      <c r="A239" s="258" t="n">
        <v>9</v>
      </c>
      <c r="B239" s="259" t="inlineStr">
        <is>
          <t>K0038B54 OV F 6.0"</t>
        </is>
      </c>
      <c r="C239" s="259" t="inlineStr">
        <is>
          <t>FSBG5073S8Y-6A</t>
        </is>
      </c>
      <c r="D239" s="259" t="n">
        <v>148258</v>
      </c>
      <c r="E239" s="259" t="n">
        <v>116</v>
      </c>
      <c r="F239" s="259" t="inlineStr">
        <is>
          <t>14K YG</t>
        </is>
      </c>
      <c r="G239" s="260" t="n">
        <v>1</v>
      </c>
      <c r="H239" s="261" t="n">
        <v>10.93</v>
      </c>
      <c r="I239" s="261" t="n">
        <v>0.89</v>
      </c>
      <c r="J239" s="261" t="n">
        <v>0.4</v>
      </c>
      <c r="K239" s="262">
        <f>H239-I239-J239</f>
        <v/>
      </c>
      <c r="L239" s="263" t="n">
        <v>3</v>
      </c>
      <c r="M239" s="263" t="inlineStr">
        <is>
          <t>W</t>
        </is>
      </c>
      <c r="N239" s="264" t="n">
        <v>44</v>
      </c>
      <c r="O239" s="265" t="n">
        <v>8.5</v>
      </c>
      <c r="P239" s="266" t="n">
        <v>4.45</v>
      </c>
      <c r="Q239" s="267" t="n"/>
      <c r="R239" s="267" t="n"/>
      <c r="S239" s="267">
        <f>0.02*N239*G239</f>
        <v/>
      </c>
      <c r="T239" s="267">
        <f>2*G239</f>
        <v/>
      </c>
      <c r="U239" s="267">
        <f>IF(RIGHT(F239,2)="WG",K239*$AB$4,IF(RIGHT(F239,3)="WRG",K239*$AB$4+3*G239,IF(RIGHT(F239,3)="WYG",K239*$AB$4+3*G239,IF(RIGHT(F239,3)="WYR",K239*$AB$4+3*G239,0))))</f>
        <v/>
      </c>
      <c r="V239" s="267" t="n"/>
      <c r="W239" s="267">
        <f>G239*N239*0.5</f>
        <v/>
      </c>
      <c r="X239" s="267">
        <f>K239*O239</f>
        <v/>
      </c>
      <c r="Y239" s="267">
        <f>($Y$232/31.1035*IF(LEFT(F239,3)="10K",(0.417*1.07*K239),IF(LEFT(F239,3)="14K",(0.585*1.05*K239),IF(LEFT(F239,3)="18K",(0.75*1.05*K239),0))))*0.5</f>
        <v/>
      </c>
      <c r="Z239" s="268">
        <f>($Z$232/31.1035*IF(LEFT(F239,3)="10K",(0.417*1.07*K239),IF(LEFT(F239,3)="14K",(0.585*1.05*K239),IF(LEFT(F239,3)="18K",(0.75*1.05*K239),0))))*0.5</f>
        <v/>
      </c>
      <c r="AA239" s="269">
        <f>2*K239</f>
        <v/>
      </c>
      <c r="AB239" s="269" t="n">
        <v>87.54000000000001</v>
      </c>
      <c r="AC239" s="269" t="n">
        <v>1983.55882758293</v>
      </c>
      <c r="AD239" s="269" t="n">
        <v>2071.09882758293</v>
      </c>
      <c r="AE239" s="269">
        <f>IF(LEFT(F239,3)="10K",(0.417*1.07*K239),IF(LEFT(F239,3)="14K",(0.585*1.05*K239),IF(LEFT(F239,3)="18K",(0.75*1.05*K239),0)))</f>
        <v/>
      </c>
      <c r="AG239" s="270">
        <f>X239</f>
        <v/>
      </c>
    </row>
    <row r="240" ht="15.75" customFormat="1" customHeight="1" s="271">
      <c r="A240" s="272" t="inlineStr">
        <is>
          <t>SUBTOTAL</t>
        </is>
      </c>
      <c r="B240" s="273" t="n"/>
      <c r="C240" s="273" t="n"/>
      <c r="D240" s="273" t="n"/>
      <c r="E240" s="273" t="n"/>
      <c r="F240" s="273" t="n"/>
      <c r="G240" s="274">
        <f>SUM(G234:G239)</f>
        <v/>
      </c>
      <c r="H240" s="275" t="n"/>
      <c r="I240" s="275" t="n"/>
      <c r="J240" s="275" t="n"/>
      <c r="K240" s="275">
        <f>SUM(K234:K239)</f>
        <v/>
      </c>
      <c r="L240" s="276" t="n"/>
      <c r="M240" s="276" t="n"/>
      <c r="N240" s="276" t="n"/>
      <c r="O240" s="277" t="n"/>
      <c r="P240" s="278">
        <f>SUM(P234:P239)</f>
        <v/>
      </c>
      <c r="Q240" s="279">
        <f>SUM(Q234:Q239)</f>
        <v/>
      </c>
      <c r="R240" s="279">
        <f>SUM(R234:R239)</f>
        <v/>
      </c>
      <c r="S240" s="279">
        <f>SUM(S234:S239)</f>
        <v/>
      </c>
      <c r="T240" s="279">
        <f>SUM(T234:T239)</f>
        <v/>
      </c>
      <c r="U240" s="279">
        <f>SUM(U234:U239)</f>
        <v/>
      </c>
      <c r="V240" s="279">
        <f>SUM(V234:V239)</f>
        <v/>
      </c>
      <c r="W240" s="279">
        <f>SUM(W234:W239)</f>
        <v/>
      </c>
      <c r="X240" s="279">
        <f>SUM(X234:X239)</f>
        <v/>
      </c>
      <c r="Y240" s="279">
        <f>SUM(Y234:Y239)</f>
        <v/>
      </c>
      <c r="Z240" s="280">
        <f>SUM(Z234:Z239)</f>
        <v/>
      </c>
      <c r="AA240" s="269" t="n"/>
      <c r="AB240" s="269" t="n"/>
      <c r="AC240" s="269" t="n"/>
      <c r="AD240" s="269" t="n"/>
      <c r="AE240" s="269" t="n"/>
      <c r="AG240" s="270" t="n"/>
    </row>
    <row r="241" ht="15.75" customHeight="1" s="240">
      <c r="A241" s="241" t="inlineStr">
        <is>
          <t>Buyer Dia</t>
        </is>
      </c>
      <c r="K241" s="242" t="n"/>
      <c r="L241" s="243" t="n"/>
      <c r="M241" s="243" t="n"/>
      <c r="N241" s="243" t="n"/>
      <c r="W241" s="244" t="n"/>
      <c r="X241" s="245" t="inlineStr">
        <is>
          <t>24 Mar London AM + 2%</t>
        </is>
      </c>
      <c r="Y241" s="246">
        <f>3030.25*1.02</f>
        <v/>
      </c>
      <c r="Z241" s="246">
        <f>3030.25*1.02</f>
        <v/>
      </c>
      <c r="AA241" s="269" t="n"/>
      <c r="AB241" s="269" t="n"/>
      <c r="AC241" s="269" t="n"/>
      <c r="AD241" s="269" t="n"/>
      <c r="AE241" s="269" t="n"/>
      <c r="AG241" s="270" t="n"/>
    </row>
    <row r="242" ht="27" customFormat="1" customHeight="1" s="247">
      <c r="A242" s="248" t="inlineStr">
        <is>
          <t>PO#</t>
        </is>
      </c>
      <c r="B242" s="249" t="inlineStr">
        <is>
          <t>Item No.</t>
        </is>
      </c>
      <c r="C242" s="249" t="inlineStr">
        <is>
          <t>Buyer No.</t>
        </is>
      </c>
      <c r="D242" s="249" t="inlineStr">
        <is>
          <t>Buyer PO</t>
        </is>
      </c>
      <c r="E242" s="249" t="inlineStr">
        <is>
          <t>IDD PO SERIAL#</t>
        </is>
      </c>
      <c r="F242" s="249" t="inlineStr">
        <is>
          <t>Metal</t>
        </is>
      </c>
      <c r="G242" s="249" t="inlineStr">
        <is>
          <t>Q'ty</t>
        </is>
      </c>
      <c r="H242" s="250" t="inlineStr">
        <is>
          <t>Total w't</t>
        </is>
      </c>
      <c r="I242" s="250" t="inlineStr">
        <is>
          <t>Dia w't</t>
        </is>
      </c>
      <c r="J242" s="250" t="inlineStr">
        <is>
          <t>Wire w't</t>
        </is>
      </c>
      <c r="K242" s="250" t="inlineStr">
        <is>
          <t>Gold w't</t>
        </is>
      </c>
      <c r="L242" s="251" t="inlineStr">
        <is>
          <t>Stone</t>
        </is>
      </c>
      <c r="M242" s="251" t="inlineStr">
        <is>
          <t>Color</t>
        </is>
      </c>
      <c r="N242" s="251" t="inlineStr">
        <is>
          <t>Stone Q'ty</t>
        </is>
      </c>
      <c r="O242" s="252" t="inlineStr">
        <is>
          <t>Labor</t>
        </is>
      </c>
      <c r="P242" s="253" t="inlineStr">
        <is>
          <t>Dia Carat</t>
        </is>
      </c>
      <c r="Q242" s="254" t="inlineStr">
        <is>
          <t>Extra Cost</t>
        </is>
      </c>
      <c r="R242" s="254" t="inlineStr">
        <is>
          <t>Dia Packaging Cost</t>
        </is>
      </c>
      <c r="S242" s="254" t="inlineStr">
        <is>
          <t>Dia Handling Service Fee</t>
        </is>
      </c>
      <c r="T242" s="254" t="inlineStr">
        <is>
          <t>Wire
Cost</t>
        </is>
      </c>
      <c r="U242" s="254" t="inlineStr">
        <is>
          <t>Plating Cost</t>
        </is>
      </c>
      <c r="V242" s="254" t="inlineStr">
        <is>
          <t>Stone
Cost</t>
        </is>
      </c>
      <c r="W242" s="254" t="inlineStr">
        <is>
          <t>Setting
Cost</t>
        </is>
      </c>
      <c r="X242" s="255" t="inlineStr">
        <is>
          <t>Labor
Cost</t>
        </is>
      </c>
      <c r="Y242" s="256" t="inlineStr">
        <is>
          <t>Gold &amp; 5%
Cost</t>
        </is>
      </c>
      <c r="Z242" s="255" t="inlineStr">
        <is>
          <t>Current Gold &amp;
5% Cost</t>
        </is>
      </c>
      <c r="AA242" s="269" t="n"/>
      <c r="AB242" s="269" t="n"/>
      <c r="AC242" s="269" t="n"/>
      <c r="AD242" s="269" t="n"/>
      <c r="AE242" s="269" t="n"/>
      <c r="AG242" s="270" t="n"/>
    </row>
    <row r="243" ht="27" customFormat="1" customHeight="1" s="257">
      <c r="A243" s="258" t="inlineStr">
        <is>
          <t>IDD250318RB-14K</t>
        </is>
      </c>
      <c r="B243" s="259" t="inlineStr">
        <is>
          <t>K0038B59 6.75"</t>
        </is>
      </c>
      <c r="C243" s="259" t="inlineStr">
        <is>
          <t>FSBG5036S8PS</t>
        </is>
      </c>
      <c r="D243" s="259" t="n">
        <v>148340</v>
      </c>
      <c r="E243" s="259" t="n">
        <v>121</v>
      </c>
      <c r="F243" s="259" t="inlineStr">
        <is>
          <t>14K RG</t>
        </is>
      </c>
      <c r="G243" s="260" t="n">
        <v>1</v>
      </c>
      <c r="H243" s="261" t="n">
        <v>5.73</v>
      </c>
      <c r="I243" s="261" t="n">
        <v>0.3</v>
      </c>
      <c r="J243" s="261" t="n">
        <v>0.32</v>
      </c>
      <c r="K243" s="262">
        <f>H243-I243-J243</f>
        <v/>
      </c>
      <c r="L243" s="263" t="n">
        <v>1.65</v>
      </c>
      <c r="M243" s="263" t="inlineStr">
        <is>
          <t>W</t>
        </is>
      </c>
      <c r="N243" s="264" t="n">
        <v>85</v>
      </c>
      <c r="O243" s="265" t="n">
        <v>8.5</v>
      </c>
      <c r="P243" s="266" t="n">
        <v>1.5</v>
      </c>
      <c r="Q243" s="267" t="n"/>
      <c r="R243" s="267" t="n"/>
      <c r="S243" s="267">
        <f>0.02*N243*G243</f>
        <v/>
      </c>
      <c r="T243" s="267">
        <f>2*G243</f>
        <v/>
      </c>
      <c r="U243" s="267">
        <f>IF(RIGHT(F243,2)="WG",K243*$AB$4,IF(RIGHT(F243,3)="WRG",K243*$AB$4+3*G243,IF(RIGHT(F243,3)="WYG",K243*$AB$4+3*G243,IF(RIGHT(F243,3)="WYR",K243*$AB$4+3*G243,0))))</f>
        <v/>
      </c>
      <c r="V243" s="267" t="n"/>
      <c r="W243" s="267">
        <f>G243*N243*0.3</f>
        <v/>
      </c>
      <c r="X243" s="267">
        <f>K243*O243</f>
        <v/>
      </c>
      <c r="Y243" s="267">
        <f>($Y$241/31.1035*IF(LEFT(F243,3)="10K",(0.417*1.07*K243),IF(LEFT(F243,3)="14K",(0.585*1.05*K243),IF(LEFT(F243,3)="18K",(0.75*1.05*K243),0))))*0.5</f>
        <v/>
      </c>
      <c r="Z243" s="268">
        <f>($Z$241/31.1035*IF(LEFT(F243,3)="10K",(0.417*1.07*K243),IF(LEFT(F243,3)="14K",(0.585*1.05*K243),IF(LEFT(F243,3)="18K",(0.75*1.05*K243),0))))*0.5</f>
        <v/>
      </c>
      <c r="AA243" s="269">
        <f>2*K243</f>
        <v/>
      </c>
      <c r="AB243" s="269" t="n">
        <v>62.415</v>
      </c>
      <c r="AC243" s="269" t="n">
        <v>750.90054120773</v>
      </c>
      <c r="AD243" s="269" t="n">
        <v>813.315541207729</v>
      </c>
      <c r="AE243" s="269">
        <f>IF(LEFT(F243,3)="10K",(0.417*1.07*K243),IF(LEFT(F243,3)="14K",(0.585*1.05*K243),IF(LEFT(F243,3)="18K",(0.75*1.05*K243),0)))</f>
        <v/>
      </c>
      <c r="AG243" s="270">
        <f>X243</f>
        <v/>
      </c>
    </row>
    <row r="244" ht="27" customFormat="1" customHeight="1" s="257">
      <c r="A244" s="258" t="n">
        <v>7</v>
      </c>
      <c r="B244" s="259" t="inlineStr">
        <is>
          <t>K0038B50 6.75"</t>
        </is>
      </c>
      <c r="C244" s="259" t="inlineStr">
        <is>
          <t>FSBG5041S8WS</t>
        </is>
      </c>
      <c r="D244" s="259" t="n">
        <v>148340</v>
      </c>
      <c r="E244" s="259" t="n">
        <v>110</v>
      </c>
      <c r="F244" s="259" t="inlineStr">
        <is>
          <t>14K WG</t>
        </is>
      </c>
      <c r="G244" s="260" t="n">
        <v>1</v>
      </c>
      <c r="H244" s="261" t="n">
        <v>9.949999999999999</v>
      </c>
      <c r="I244" s="261" t="n">
        <v>0.4</v>
      </c>
      <c r="J244" s="261" t="n">
        <v>0.32</v>
      </c>
      <c r="K244" s="262">
        <f>H244-I244-J244</f>
        <v/>
      </c>
      <c r="L244" s="263" t="n">
        <v>2.55</v>
      </c>
      <c r="M244" s="263" t="inlineStr">
        <is>
          <t>W</t>
        </is>
      </c>
      <c r="N244" s="264" t="n">
        <v>33</v>
      </c>
      <c r="O244" s="265" t="n">
        <v>8.5</v>
      </c>
      <c r="P244" s="266" t="n">
        <v>1.99</v>
      </c>
      <c r="Q244" s="267" t="n"/>
      <c r="R244" s="267" t="n"/>
      <c r="S244" s="267">
        <f>0.02*N244*G244</f>
        <v/>
      </c>
      <c r="T244" s="267">
        <f>2*G244</f>
        <v/>
      </c>
      <c r="U244" s="267">
        <f>IF(RIGHT(F244,2)="WG",K244*$AB$4,IF(RIGHT(F244,3)="WRG",K244*$AB$4+3*G244,IF(RIGHT(F244,3)="WYG",K244*$AB$4+3*G244,IF(RIGHT(F244,3)="WYR",K244*$AB$4+3*G244,0))))</f>
        <v/>
      </c>
      <c r="V244" s="267" t="n"/>
      <c r="W244" s="267">
        <f>G244*N244*0.4</f>
        <v/>
      </c>
      <c r="X244" s="267">
        <f>K244*O244</f>
        <v/>
      </c>
      <c r="Y244" s="267">
        <f>($Y$241/31.1035*IF(LEFT(F244,3)="10K",(0.417*1.07*K244),IF(LEFT(F244,3)="14K",(0.585*1.05*K244),IF(LEFT(F244,3)="18K",(0.75*1.05*K244),0))))*0.5</f>
        <v/>
      </c>
      <c r="Z244" s="268">
        <f>($Z$241/31.1035*IF(LEFT(F244,3)="10K",(0.417*1.07*K244),IF(LEFT(F244,3)="14K",(0.585*1.05*K244),IF(LEFT(F244,3)="18K",(0.75*1.05*K244),0))))*0.5</f>
        <v/>
      </c>
      <c r="AA244" s="269">
        <f>2*K244</f>
        <v/>
      </c>
      <c r="AB244" s="269" t="n">
        <v>78.0702</v>
      </c>
      <c r="AC244" s="269" t="n">
        <v>1104.58085040225</v>
      </c>
      <c r="AD244" s="269" t="n">
        <v>1182.65105040225</v>
      </c>
      <c r="AE244" s="269">
        <f>IF(LEFT(F244,3)="10K",(0.417*1.07*K244),IF(LEFT(F244,3)="14K",(0.585*1.05*K244),IF(LEFT(F244,3)="18K",(0.75*1.05*K244),0)))</f>
        <v/>
      </c>
      <c r="AG244" s="270">
        <f>X244</f>
        <v/>
      </c>
    </row>
    <row r="245" ht="27" customFormat="1" customHeight="1" s="257">
      <c r="A245" s="258" t="n">
        <v>20</v>
      </c>
      <c r="B245" s="259" t="inlineStr">
        <is>
          <t>K0038B50 6.75"</t>
        </is>
      </c>
      <c r="C245" s="259" t="inlineStr">
        <is>
          <t>FSBG5041S8YS</t>
        </is>
      </c>
      <c r="D245" s="259" t="n">
        <v>148340</v>
      </c>
      <c r="E245" s="259" t="n">
        <v>111</v>
      </c>
      <c r="F245" s="259" t="inlineStr">
        <is>
          <t>14K YG</t>
        </is>
      </c>
      <c r="G245" s="260" t="n">
        <v>1</v>
      </c>
      <c r="H245" s="261" t="n">
        <v>9.27</v>
      </c>
      <c r="I245" s="261" t="n">
        <v>0.4</v>
      </c>
      <c r="J245" s="261" t="n">
        <v>0.32</v>
      </c>
      <c r="K245" s="262">
        <f>H245-I245-J245</f>
        <v/>
      </c>
      <c r="L245" s="263" t="n">
        <v>2.55</v>
      </c>
      <c r="M245" s="263" t="inlineStr">
        <is>
          <t>W</t>
        </is>
      </c>
      <c r="N245" s="264" t="n">
        <v>33</v>
      </c>
      <c r="O245" s="265" t="n">
        <v>8.5</v>
      </c>
      <c r="P245" s="266" t="n">
        <v>2.01</v>
      </c>
      <c r="Q245" s="267" t="n"/>
      <c r="R245" s="267" t="n"/>
      <c r="S245" s="267">
        <f>0.02*N245*G245</f>
        <v/>
      </c>
      <c r="T245" s="267">
        <f>2*G245</f>
        <v/>
      </c>
      <c r="U245" s="267">
        <f>IF(RIGHT(F245,2)="WG",K245*$AB$4,IF(RIGHT(F245,3)="WRG",K245*$AB$4+3*G245,IF(RIGHT(F245,3)="WYG",K245*$AB$4+3*G245,IF(RIGHT(F245,3)="WYR",K245*$AB$4+3*G245,0))))</f>
        <v/>
      </c>
      <c r="V245" s="267" t="n"/>
      <c r="W245" s="267">
        <f>G245*N245*0.4</f>
        <v/>
      </c>
      <c r="X245" s="267">
        <f>K245*O245</f>
        <v/>
      </c>
      <c r="Y245" s="267">
        <f>($Y$241/31.1035*IF(LEFT(F245,3)="10K",(0.417*1.07*K245),IF(LEFT(F245,3)="14K",(0.585*1.05*K245),IF(LEFT(F245,3)="18K",(0.75*1.05*K245),0))))*0.5</f>
        <v/>
      </c>
      <c r="Z245" s="268">
        <f>($Z$241/31.1035*IF(LEFT(F245,3)="10K",(0.417*1.07*K245),IF(LEFT(F245,3)="14K",(0.585*1.05*K245),IF(LEFT(F245,3)="18K",(0.75*1.05*K245),0))))*0.5</f>
        <v/>
      </c>
      <c r="AA245" s="269">
        <f>2*K245</f>
        <v/>
      </c>
      <c r="AB245" s="269" t="n">
        <v>71.435</v>
      </c>
      <c r="AC245" s="269" t="n">
        <v>1081.50591281836</v>
      </c>
      <c r="AD245" s="269" t="n">
        <v>1152.94091281836</v>
      </c>
      <c r="AE245" s="269">
        <f>IF(LEFT(F245,3)="10K",(0.417*1.07*K245),IF(LEFT(F245,3)="14K",(0.585*1.05*K245),IF(LEFT(F245,3)="18K",(0.75*1.05*K245),0)))</f>
        <v/>
      </c>
      <c r="AG245" s="270">
        <f>X245</f>
        <v/>
      </c>
    </row>
    <row r="246" ht="27" customFormat="1" customHeight="1" s="257">
      <c r="A246" s="258" t="n">
        <v>20</v>
      </c>
      <c r="B246" s="259" t="inlineStr">
        <is>
          <t>K0038B50 6.75"</t>
        </is>
      </c>
      <c r="C246" s="259" t="inlineStr">
        <is>
          <t>FSBG5041S8PS</t>
        </is>
      </c>
      <c r="D246" s="259" t="n">
        <v>148340</v>
      </c>
      <c r="E246" s="259" t="n">
        <v>126</v>
      </c>
      <c r="F246" s="259" t="inlineStr">
        <is>
          <t>14K RG</t>
        </is>
      </c>
      <c r="G246" s="260" t="n">
        <v>1</v>
      </c>
      <c r="H246" s="261" t="n">
        <v>9.039999999999999</v>
      </c>
      <c r="I246" s="261" t="n">
        <v>0.4</v>
      </c>
      <c r="J246" s="261" t="n">
        <v>0.32</v>
      </c>
      <c r="K246" s="262">
        <f>H246-I246-J246</f>
        <v/>
      </c>
      <c r="L246" s="263" t="n">
        <v>2.55</v>
      </c>
      <c r="M246" s="263" t="inlineStr">
        <is>
          <t>W</t>
        </is>
      </c>
      <c r="N246" s="264" t="n">
        <v>33</v>
      </c>
      <c r="O246" s="265" t="n">
        <v>8.5</v>
      </c>
      <c r="P246" s="266" t="n">
        <v>1.99</v>
      </c>
      <c r="Q246" s="267" t="n"/>
      <c r="R246" s="267" t="n"/>
      <c r="S246" s="267">
        <f>0.02*N246*G246</f>
        <v/>
      </c>
      <c r="T246" s="267">
        <f>2*G246</f>
        <v/>
      </c>
      <c r="U246" s="267">
        <f>IF(RIGHT(F246,2)="WG",K246*$AB$4,IF(RIGHT(F246,3)="WRG",K246*$AB$4+3*G246,IF(RIGHT(F246,3)="WYG",K246*$AB$4+3*G246,IF(RIGHT(F246,3)="WYR",K246*$AB$4+3*G246,0))))</f>
        <v/>
      </c>
      <c r="V246" s="267" t="n"/>
      <c r="W246" s="267">
        <f>G246*N246*0.4</f>
        <v/>
      </c>
      <c r="X246" s="267">
        <f>K246*O246</f>
        <v/>
      </c>
      <c r="Y246" s="267">
        <f>($Y$241/31.1035*IF(LEFT(F246,3)="10K",(0.417*1.07*K246),IF(LEFT(F246,3)="14K",(0.585*1.05*K246),IF(LEFT(F246,3)="18K",(0.75*1.05*K246),0))))*0.5</f>
        <v/>
      </c>
      <c r="Z246" s="268">
        <f>($Z$241/31.1035*IF(LEFT(F246,3)="10K",(0.417*1.07*K246),IF(LEFT(F246,3)="14K",(0.585*1.05*K246),IF(LEFT(F246,3)="18K",(0.75*1.05*K246),0))))*0.5</f>
        <v/>
      </c>
      <c r="AA246" s="269">
        <f>2*K246</f>
        <v/>
      </c>
      <c r="AB246" s="269" t="n">
        <v>69.94</v>
      </c>
      <c r="AC246" s="269" t="n">
        <v>1064.33519040225</v>
      </c>
      <c r="AD246" s="269" t="n">
        <v>1134.27519040225</v>
      </c>
      <c r="AE246" s="269">
        <f>IF(LEFT(F246,3)="10K",(0.417*1.07*K246),IF(LEFT(F246,3)="14K",(0.585*1.05*K246),IF(LEFT(F246,3)="18K",(0.75*1.05*K246),0)))</f>
        <v/>
      </c>
      <c r="AG246" s="270">
        <f>X246</f>
        <v/>
      </c>
    </row>
    <row r="247" ht="27" customFormat="1" customHeight="1" s="257">
      <c r="A247" s="258" t="n">
        <v>8</v>
      </c>
      <c r="B247" s="259" t="inlineStr">
        <is>
          <t>K0038B49 6.75"</t>
        </is>
      </c>
      <c r="C247" s="259" t="inlineStr">
        <is>
          <t>FSBG5039S8PS</t>
        </is>
      </c>
      <c r="D247" s="259" t="n">
        <v>148340</v>
      </c>
      <c r="E247" s="259" t="n">
        <v>113</v>
      </c>
      <c r="F247" s="259" t="inlineStr">
        <is>
          <t>14K RG</t>
        </is>
      </c>
      <c r="G247" s="260" t="n">
        <v>1</v>
      </c>
      <c r="H247" s="261" t="n">
        <v>8.15</v>
      </c>
      <c r="I247" s="261" t="n">
        <v>0.2</v>
      </c>
      <c r="J247" s="261" t="n">
        <v>0.32</v>
      </c>
      <c r="K247" s="262">
        <f>H247-I247-J247</f>
        <v/>
      </c>
      <c r="L247" s="263" t="n">
        <v>1.85</v>
      </c>
      <c r="M247" s="263" t="inlineStr">
        <is>
          <t>W</t>
        </is>
      </c>
      <c r="N247" s="264" t="n">
        <v>41</v>
      </c>
      <c r="O247" s="265" t="n">
        <v>8.5</v>
      </c>
      <c r="P247" s="266" t="n">
        <v>0.99</v>
      </c>
      <c r="Q247" s="267" t="n"/>
      <c r="R247" s="267" t="n"/>
      <c r="S247" s="267">
        <f>0.02*N247*G247</f>
        <v/>
      </c>
      <c r="T247" s="267">
        <f>2*G247</f>
        <v/>
      </c>
      <c r="U247" s="267">
        <f>IF(RIGHT(F247,2)="WG",K247*$AB$4,IF(RIGHT(F247,3)="WRG",K247*$AB$4+3*G247,IF(RIGHT(F247,3)="WYG",K247*$AB$4+3*G247,IF(RIGHT(F247,3)="WYR",K247*$AB$4+3*G247,0))))</f>
        <v/>
      </c>
      <c r="V247" s="267" t="n"/>
      <c r="W247" s="267">
        <f>G247*N247*0.3</f>
        <v/>
      </c>
      <c r="X247" s="267">
        <f>K247*O247</f>
        <v/>
      </c>
      <c r="Y247" s="267">
        <f>($Y$241/31.1035*IF(LEFT(F247,3)="10K",(0.417*1.07*K247),IF(LEFT(F247,3)="14K",(0.585*1.05*K247),IF(LEFT(F247,3)="18K",(0.75*1.05*K247),0))))*0.5</f>
        <v/>
      </c>
      <c r="Z247" s="268">
        <f>($Z$241/31.1035*IF(LEFT(F247,3)="10K",(0.417*1.07*K247),IF(LEFT(F247,3)="14K",(0.585*1.05*K247),IF(LEFT(F247,3)="18K",(0.75*1.05*K247),0))))*0.5</f>
        <v/>
      </c>
      <c r="AA247" s="269">
        <f>2*K247</f>
        <v/>
      </c>
      <c r="AB247" s="269" t="n">
        <v>64.715</v>
      </c>
      <c r="AC247" s="269" t="n">
        <v>683.882129597102</v>
      </c>
      <c r="AD247" s="269" t="n">
        <v>748.597129597102</v>
      </c>
      <c r="AE247" s="269">
        <f>IF(LEFT(F247,3)="10K",(0.417*1.07*K247),IF(LEFT(F247,3)="14K",(0.585*1.05*K247),IF(LEFT(F247,3)="18K",(0.75*1.05*K247),0)))</f>
        <v/>
      </c>
      <c r="AG247" s="270">
        <f>X247</f>
        <v/>
      </c>
    </row>
    <row r="248" ht="27" customFormat="1" customHeight="1" s="257">
      <c r="A248" s="258" t="n">
        <v>9</v>
      </c>
      <c r="B248" s="259" t="inlineStr">
        <is>
          <t>K0107B15 6.5"</t>
        </is>
      </c>
      <c r="C248" s="259" t="inlineStr">
        <is>
          <t>FSBG5043S8YS</t>
        </is>
      </c>
      <c r="D248" s="259" t="n">
        <v>148340</v>
      </c>
      <c r="E248" s="259" t="n">
        <v>115</v>
      </c>
      <c r="F248" s="259" t="inlineStr">
        <is>
          <t>14K YG</t>
        </is>
      </c>
      <c r="G248" s="260" t="n">
        <v>1</v>
      </c>
      <c r="H248" s="261" t="n">
        <v>13.2</v>
      </c>
      <c r="I248" s="261" t="n">
        <v>0.8</v>
      </c>
      <c r="J248" s="261" t="n">
        <v>0.65</v>
      </c>
      <c r="K248" s="262">
        <f>H248-I248-J248</f>
        <v/>
      </c>
      <c r="L248" s="263" t="n">
        <v>1.95</v>
      </c>
      <c r="M248" s="263" t="inlineStr">
        <is>
          <t>W</t>
        </is>
      </c>
      <c r="N248" s="264" t="n">
        <v>145</v>
      </c>
      <c r="O248" s="265" t="n">
        <v>8.5</v>
      </c>
      <c r="P248" s="266" t="n">
        <v>4.01</v>
      </c>
      <c r="Q248" s="267" t="n"/>
      <c r="R248" s="267" t="n"/>
      <c r="S248" s="267">
        <f>0.02*N248*G248</f>
        <v/>
      </c>
      <c r="T248" s="267">
        <f>4*G248</f>
        <v/>
      </c>
      <c r="U248" s="267">
        <f>IF(RIGHT(F248,2)="WG",K248*$AB$4,IF(RIGHT(F248,3)="WRG",K248*$AB$4+3*G248,IF(RIGHT(F248,3)="WYG",K248*$AB$4+3*G248,IF(RIGHT(F248,3)="WYR",K248*$AB$4+3*G248,0))))</f>
        <v/>
      </c>
      <c r="V248" s="267" t="n"/>
      <c r="W248" s="267">
        <f>G248*N248*0.3</f>
        <v/>
      </c>
      <c r="X248" s="267">
        <f>K248*O248</f>
        <v/>
      </c>
      <c r="Y248" s="267">
        <f>($Y$241/31.1035*IF(LEFT(F248,3)="10K",(0.417*1.07*K248),IF(LEFT(F248,3)="14K",(0.585*1.05*K248),IF(LEFT(F248,3)="18K",(0.75*1.05*K248),0))))*0.5</f>
        <v/>
      </c>
      <c r="Z248" s="268">
        <f>($Z$241/31.1035*IF(LEFT(F248,3)="10K",(0.417*1.07*K248),IF(LEFT(F248,3)="14K",(0.585*1.05*K248),IF(LEFT(F248,3)="18K",(0.75*1.05*K248),0))))*0.5</f>
        <v/>
      </c>
      <c r="AA248" s="269">
        <f>2*K248</f>
        <v/>
      </c>
      <c r="AB248" s="269" t="n">
        <v>126.775</v>
      </c>
      <c r="AC248" s="269" t="n">
        <v>1922.90335442866</v>
      </c>
      <c r="AD248" s="269" t="n">
        <v>2049.67835442866</v>
      </c>
      <c r="AE248" s="269">
        <f>IF(LEFT(F248,3)="10K",(0.417*1.07*K248),IF(LEFT(F248,3)="14K",(0.585*1.05*K248),IF(LEFT(F248,3)="18K",(0.75*1.05*K248),0)))</f>
        <v/>
      </c>
      <c r="AG248" s="270">
        <f>X248</f>
        <v/>
      </c>
    </row>
    <row r="249" ht="123.75" customFormat="1" customHeight="1" s="257">
      <c r="A249" s="258" t="n">
        <v>10</v>
      </c>
      <c r="B249" s="259" t="inlineStr">
        <is>
          <t>K0039B01 6.75"</t>
        </is>
      </c>
      <c r="C249" s="259" t="inlineStr">
        <is>
          <t>FSBG5007S8YS</t>
        </is>
      </c>
      <c r="D249" s="259" t="n">
        <v>148340</v>
      </c>
      <c r="E249" s="259" t="n">
        <v>116</v>
      </c>
      <c r="F249" s="259" t="inlineStr">
        <is>
          <t>14K YG</t>
        </is>
      </c>
      <c r="G249" s="260" t="n">
        <v>1</v>
      </c>
      <c r="H249" s="261" t="n">
        <v>7.36</v>
      </c>
      <c r="I249" s="261" t="n">
        <v>0.17</v>
      </c>
      <c r="J249" s="261" t="n">
        <v>0.32</v>
      </c>
      <c r="K249" s="262">
        <f>H249-I249-J249</f>
        <v/>
      </c>
      <c r="L249" s="263" t="inlineStr">
        <is>
          <t>1.40mm
1.60mm
1.80mm
1.90mm
2.20mm
2.50mm
2.70mm
2.90mm
3.50mm</t>
        </is>
      </c>
      <c r="M249" s="263" t="inlineStr">
        <is>
          <t>W
W
W
W
W
W
W
W
W</t>
        </is>
      </c>
      <c r="N249" s="264" t="inlineStr">
        <is>
          <t>4pcs
2pcs
2pcs
2pcs
2pcs
2pcs
2pcs
2pcs
1pcs</t>
        </is>
      </c>
      <c r="O249" s="265" t="n">
        <v>10.5</v>
      </c>
      <c r="P249" s="266" t="n">
        <v>0.865</v>
      </c>
      <c r="Q249" s="267" t="n"/>
      <c r="R249" s="267" t="n"/>
      <c r="S249" s="267">
        <f>0.02*(4+2+2+2+2+2+2+2+1)*G249</f>
        <v/>
      </c>
      <c r="T249" s="267">
        <f>2*G249</f>
        <v/>
      </c>
      <c r="U249" s="267">
        <f>IF(RIGHT(F249,2)="WG",K249*$AB$4,IF(RIGHT(F249,3)="WRG",K249*$AB$4+3*G249,IF(RIGHT(F249,3)="WYG",K249*$AB$4+3*G249,IF(RIGHT(F249,3)="WYR",K249*$AB$4+3*G249,0))))</f>
        <v/>
      </c>
      <c r="V249" s="267" t="n"/>
      <c r="W249" s="267">
        <f>9.6*G249</f>
        <v/>
      </c>
      <c r="X249" s="267">
        <f>K249*O249</f>
        <v/>
      </c>
      <c r="Y249" s="267">
        <f>($Y$241/31.1035*IF(LEFT(F249,3)="10K",(0.417*1.07*K249),IF(LEFT(F249,3)="14K",(0.585*1.05*K249),IF(LEFT(F249,3)="18K",(0.75*1.05*K249),0))))*0.5</f>
        <v/>
      </c>
      <c r="Z249" s="268">
        <f>($Z$241/31.1035*IF(LEFT(F249,3)="10K",(0.417*1.07*K249),IF(LEFT(F249,3)="14K",(0.585*1.05*K249),IF(LEFT(F249,3)="18K",(0.75*1.05*K249),0))))*0.5</f>
        <v/>
      </c>
      <c r="AA249" s="269">
        <f>2*K249</f>
        <v/>
      </c>
      <c r="AB249" s="269" t="n">
        <v>70.375</v>
      </c>
      <c r="AC249" s="269" t="n">
        <v>606.528229496457</v>
      </c>
      <c r="AD249" s="269" t="n">
        <v>676.903229496457</v>
      </c>
      <c r="AE249" s="269">
        <f>IF(LEFT(F249,3)="10K",(0.417*1.07*K249),IF(LEFT(F249,3)="14K",(0.585*1.05*K249),IF(LEFT(F249,3)="18K",(0.75*1.05*K249),0)))</f>
        <v/>
      </c>
      <c r="AG249" s="270">
        <f>X249</f>
        <v/>
      </c>
    </row>
    <row r="250" ht="27.75" customFormat="1" customHeight="1" s="257">
      <c r="A250" s="258" t="n">
        <v>12</v>
      </c>
      <c r="B250" s="259" t="inlineStr">
        <is>
          <t>K0038B19 6.75"</t>
        </is>
      </c>
      <c r="C250" s="259" t="inlineStr">
        <is>
          <t>FSBG5038S8WS</t>
        </is>
      </c>
      <c r="D250" s="259" t="n">
        <v>148340</v>
      </c>
      <c r="E250" s="259" t="n">
        <v>122</v>
      </c>
      <c r="F250" s="259" t="inlineStr">
        <is>
          <t>14K WG</t>
        </is>
      </c>
      <c r="G250" s="260" t="n">
        <v>1</v>
      </c>
      <c r="H250" s="261" t="n">
        <v>9.32</v>
      </c>
      <c r="I250" s="261" t="n">
        <v>0.6899999999999999</v>
      </c>
      <c r="J250" s="261" t="n">
        <v>0.32</v>
      </c>
      <c r="K250" s="262">
        <f>H250-I250-J250</f>
        <v/>
      </c>
      <c r="L250" s="263" t="n">
        <v>2.55</v>
      </c>
      <c r="M250" s="263" t="inlineStr">
        <is>
          <t>W</t>
        </is>
      </c>
      <c r="N250" s="264" t="n">
        <v>59</v>
      </c>
      <c r="O250" s="265" t="n">
        <v>10.5</v>
      </c>
      <c r="P250" s="266" t="n">
        <v>3.47</v>
      </c>
      <c r="Q250" s="267" t="n"/>
      <c r="R250" s="267" t="n"/>
      <c r="S250" s="267">
        <f>0.02*N250*G250</f>
        <v/>
      </c>
      <c r="T250" s="267">
        <f>2*G250</f>
        <v/>
      </c>
      <c r="U250" s="267">
        <f>IF(RIGHT(F250,2)="WG",K250*$AB$4,IF(RIGHT(F250,3)="WRG",K250*$AB$4+3*G250,IF(RIGHT(F250,3)="WYG",K250*$AB$4+3*G250,IF(RIGHT(F250,3)="WYR",K250*$AB$4+3*G250,0))))</f>
        <v/>
      </c>
      <c r="V250" s="267" t="n"/>
      <c r="W250" s="267">
        <f>G250*N250*0.4</f>
        <v/>
      </c>
      <c r="X250" s="267">
        <f>K250*O250</f>
        <v/>
      </c>
      <c r="Y250" s="267">
        <f>($Y$241/31.1035*IF(LEFT(F250,3)="10K",(0.417*1.07*K250),IF(LEFT(F250,3)="14K",(0.585*1.05*K250),IF(LEFT(F250,3)="18K",(0.75*1.05*K250),0))))*0.5</f>
        <v/>
      </c>
      <c r="Z250" s="268">
        <f>($Z$241/31.1035*IF(LEFT(F250,3)="10K",(0.417*1.07*K250),IF(LEFT(F250,3)="14K",(0.585*1.05*K250),IF(LEFT(F250,3)="18K",(0.75*1.05*K250),0))))*0.5</f>
        <v/>
      </c>
      <c r="AA250" s="269">
        <f>2*K250</f>
        <v/>
      </c>
      <c r="AB250" s="269" t="n">
        <v>99.40940000000001</v>
      </c>
      <c r="AC250" s="269" t="n">
        <v>1581.79986919388</v>
      </c>
      <c r="AD250" s="269" t="n">
        <v>1681.20926919388</v>
      </c>
      <c r="AE250" s="269">
        <f>IF(LEFT(F250,3)="10K",(0.417*1.07*K250),IF(LEFT(F250,3)="14K",(0.585*1.05*K250),IF(LEFT(F250,3)="18K",(0.75*1.05*K250),0)))</f>
        <v/>
      </c>
      <c r="AG250" s="270">
        <f>X250</f>
        <v/>
      </c>
    </row>
    <row r="251" ht="15.75" customFormat="1" customHeight="1" s="271">
      <c r="A251" s="272" t="inlineStr">
        <is>
          <t>SUBTOTAL</t>
        </is>
      </c>
      <c r="B251" s="273" t="n"/>
      <c r="C251" s="273" t="n"/>
      <c r="D251" s="273" t="n"/>
      <c r="E251" s="273" t="n"/>
      <c r="F251" s="273" t="n"/>
      <c r="G251" s="274">
        <f>SUM(G243:G250)</f>
        <v/>
      </c>
      <c r="H251" s="275" t="n"/>
      <c r="I251" s="275" t="n"/>
      <c r="J251" s="275" t="n"/>
      <c r="K251" s="275">
        <f>SUM(K243:K250)</f>
        <v/>
      </c>
      <c r="L251" s="276" t="n"/>
      <c r="M251" s="276" t="n"/>
      <c r="N251" s="276" t="n"/>
      <c r="O251" s="277" t="n"/>
      <c r="P251" s="278">
        <f>SUM(P243:P250)</f>
        <v/>
      </c>
      <c r="Q251" s="279">
        <f>SUM(Q243:Q250)</f>
        <v/>
      </c>
      <c r="R251" s="279">
        <f>SUM(R243:R250)</f>
        <v/>
      </c>
      <c r="S251" s="279">
        <f>SUM(S243:S250)</f>
        <v/>
      </c>
      <c r="T251" s="279">
        <f>SUM(T243:T250)</f>
        <v/>
      </c>
      <c r="U251" s="279">
        <f>SUM(U243:U250)</f>
        <v/>
      </c>
      <c r="V251" s="279">
        <f>SUM(V243:V250)</f>
        <v/>
      </c>
      <c r="W251" s="279">
        <f>SUM(W243:W250)</f>
        <v/>
      </c>
      <c r="X251" s="279">
        <f>SUM(X243:X250)</f>
        <v/>
      </c>
      <c r="Y251" s="279">
        <f>SUM(Y243:Y250)</f>
        <v/>
      </c>
      <c r="Z251" s="280">
        <f>SUM(Z243:Z250)</f>
        <v/>
      </c>
      <c r="AA251" s="269" t="n"/>
      <c r="AB251" s="269" t="n"/>
      <c r="AC251" s="269" t="n"/>
      <c r="AD251" s="269" t="n"/>
      <c r="AE251" s="269" t="n"/>
      <c r="AG251" s="270" t="n"/>
    </row>
    <row r="252" ht="15.75" customHeight="1" s="240">
      <c r="A252" s="241" t="inlineStr">
        <is>
          <t>Buyer Dia</t>
        </is>
      </c>
      <c r="K252" s="242" t="n"/>
      <c r="L252" s="243" t="n"/>
      <c r="M252" s="243" t="n"/>
      <c r="N252" s="243" t="n"/>
      <c r="W252" s="244" t="n"/>
      <c r="X252" s="245" t="inlineStr">
        <is>
          <t>21 Mar London AM + 2%</t>
        </is>
      </c>
      <c r="Y252" s="246">
        <f>1.02*3031.3</f>
        <v/>
      </c>
      <c r="Z252" s="246">
        <f>1.02*3031.3</f>
        <v/>
      </c>
      <c r="AA252" s="269" t="n"/>
      <c r="AB252" s="269" t="n"/>
      <c r="AC252" s="269" t="n"/>
      <c r="AD252" s="269" t="n"/>
      <c r="AE252" s="269" t="n"/>
      <c r="AG252" s="270" t="n"/>
    </row>
    <row r="253" ht="27" customFormat="1" customHeight="1" s="247">
      <c r="A253" s="248" t="inlineStr">
        <is>
          <t>PO#</t>
        </is>
      </c>
      <c r="B253" s="249" t="inlineStr">
        <is>
          <t>Item No.</t>
        </is>
      </c>
      <c r="C253" s="249" t="inlineStr">
        <is>
          <t>Buyer No.</t>
        </is>
      </c>
      <c r="D253" s="249" t="inlineStr">
        <is>
          <t>Buyer PO</t>
        </is>
      </c>
      <c r="E253" s="249" t="inlineStr">
        <is>
          <t>IDD PO SERIAL#</t>
        </is>
      </c>
      <c r="F253" s="249" t="inlineStr">
        <is>
          <t>Metal</t>
        </is>
      </c>
      <c r="G253" s="249" t="inlineStr">
        <is>
          <t>Q'ty</t>
        </is>
      </c>
      <c r="H253" s="250" t="inlineStr">
        <is>
          <t>Total w't</t>
        </is>
      </c>
      <c r="I253" s="250" t="inlineStr">
        <is>
          <t>Dia w't</t>
        </is>
      </c>
      <c r="J253" s="250" t="inlineStr">
        <is>
          <t>Wire w't</t>
        </is>
      </c>
      <c r="K253" s="250" t="inlineStr">
        <is>
          <t>Gold w't</t>
        </is>
      </c>
      <c r="L253" s="251" t="inlineStr">
        <is>
          <t>Stone</t>
        </is>
      </c>
      <c r="M253" s="251" t="inlineStr">
        <is>
          <t>Color</t>
        </is>
      </c>
      <c r="N253" s="251" t="inlineStr">
        <is>
          <t>Stone Q'ty</t>
        </is>
      </c>
      <c r="O253" s="252" t="inlineStr">
        <is>
          <t>Labor</t>
        </is>
      </c>
      <c r="P253" s="253" t="inlineStr">
        <is>
          <t>Dia Carat</t>
        </is>
      </c>
      <c r="Q253" s="254" t="inlineStr">
        <is>
          <t>Extra Cost</t>
        </is>
      </c>
      <c r="R253" s="254" t="inlineStr">
        <is>
          <t>Dia Packaging Cost</t>
        </is>
      </c>
      <c r="S253" s="254" t="inlineStr">
        <is>
          <t>Dia Handling Service Fee</t>
        </is>
      </c>
      <c r="T253" s="254" t="inlineStr">
        <is>
          <t>Wire
Cost</t>
        </is>
      </c>
      <c r="U253" s="254" t="inlineStr">
        <is>
          <t>Plating Cost</t>
        </is>
      </c>
      <c r="V253" s="254" t="inlineStr">
        <is>
          <t>Stone
Cost</t>
        </is>
      </c>
      <c r="W253" s="254" t="inlineStr">
        <is>
          <t>Setting
Cost</t>
        </is>
      </c>
      <c r="X253" s="255" t="inlineStr">
        <is>
          <t>Labor
Cost</t>
        </is>
      </c>
      <c r="Y253" s="256" t="inlineStr">
        <is>
          <t>Gold &amp; 5%
Cost</t>
        </is>
      </c>
      <c r="Z253" s="255" t="inlineStr">
        <is>
          <t>Current Gold &amp;
5% Cost</t>
        </is>
      </c>
      <c r="AA253" s="269" t="n"/>
      <c r="AB253" s="269" t="n"/>
      <c r="AC253" s="269" t="n"/>
      <c r="AD253" s="269" t="n"/>
      <c r="AE253" s="269" t="n"/>
      <c r="AG253" s="270" t="n"/>
    </row>
    <row r="254" ht="54.75" customFormat="1" customHeight="1" s="257">
      <c r="A254" s="258" t="inlineStr">
        <is>
          <t>IDD250319RB-1-14K</t>
        </is>
      </c>
      <c r="B254" s="259" t="inlineStr">
        <is>
          <t>K02057B01 6.75"</t>
        </is>
      </c>
      <c r="C254" s="259" t="inlineStr">
        <is>
          <t>FSBG5246S8Y</t>
        </is>
      </c>
      <c r="D254" s="259" t="n">
        <v>148347</v>
      </c>
      <c r="E254" s="259" t="n">
        <v>104</v>
      </c>
      <c r="F254" s="259" t="inlineStr">
        <is>
          <t>14K YG</t>
        </is>
      </c>
      <c r="G254" s="260" t="n">
        <v>1</v>
      </c>
      <c r="H254" s="261" t="n">
        <v>10.93</v>
      </c>
      <c r="I254" s="261" t="n">
        <v>0.11</v>
      </c>
      <c r="J254" s="261" t="n">
        <v>0.32</v>
      </c>
      <c r="K254" s="262">
        <f>H254-I254-J254</f>
        <v/>
      </c>
      <c r="L254" s="263" t="inlineStr">
        <is>
          <t>1.30mm
1.40mm
1.50mm
1.60mm</t>
        </is>
      </c>
      <c r="M254" s="263" t="inlineStr">
        <is>
          <t>W
W
W
W</t>
        </is>
      </c>
      <c r="N254" s="264" t="inlineStr">
        <is>
          <t>6pcs
18pcs
18pcs
3pcs</t>
        </is>
      </c>
      <c r="O254" s="265" t="n">
        <v>8.5</v>
      </c>
      <c r="P254" s="266" t="n">
        <v>0.57</v>
      </c>
      <c r="Q254" s="267" t="n"/>
      <c r="R254" s="267" t="n"/>
      <c r="S254" s="267">
        <f>0.02*(6+18+18+3)*G254</f>
        <v/>
      </c>
      <c r="T254" s="267">
        <f>2*G254</f>
        <v/>
      </c>
      <c r="U254" s="267">
        <f>IF(RIGHT(F254,2)="WG",K254*$AB$4,IF(RIGHT(F254,3)="WRG",K254*$AB$4+3*G254,IF(RIGHT(F254,3)="WYG",K254*$AB$4+3*G254,IF(RIGHT(F254,3)="WYR",K254*$AB$4+3*G254,0))))</f>
        <v/>
      </c>
      <c r="V254" s="267" t="n"/>
      <c r="W254" s="267">
        <f>G254*(6+18+18+3)*0.3</f>
        <v/>
      </c>
      <c r="X254" s="267">
        <f>K254*O254</f>
        <v/>
      </c>
      <c r="Y254" s="267">
        <f>($Y$252/31.1035*IF(LEFT(F254,3)="10K",(0.417*1.07*K254),IF(LEFT(F254,3)="14K",(0.585*1.05*K254),IF(LEFT(F254,3)="18K",(0.75*1.05*K254),0))))*0.5</f>
        <v/>
      </c>
      <c r="Z254" s="268">
        <f>($Z$252/31.1035*IF(LEFT(F254,3)="10K",(0.417*1.07*K254),IF(LEFT(F254,3)="14K",(0.585*1.05*K254),IF(LEFT(F254,3)="18K",(0.75*1.05*K254),0))))*0.5</f>
        <v/>
      </c>
      <c r="AA254" s="269">
        <f>2*K254</f>
        <v/>
      </c>
      <c r="AB254" s="269" t="n">
        <v>84.65000000000001</v>
      </c>
      <c r="AC254" s="269" t="n">
        <v>663.837158858937</v>
      </c>
      <c r="AD254" s="269" t="n">
        <v>748.4871588589371</v>
      </c>
      <c r="AE254" s="269">
        <f>IF(LEFT(F254,3)="10K",(0.417*1.07*K254),IF(LEFT(F254,3)="14K",(0.585*1.05*K254),IF(LEFT(F254,3)="18K",(0.75*1.05*K254),0)))</f>
        <v/>
      </c>
      <c r="AG254" s="270">
        <f>X254</f>
        <v/>
      </c>
    </row>
    <row r="255" ht="27" customFormat="1" customHeight="1" s="257">
      <c r="A255" s="258" t="n">
        <v>5</v>
      </c>
      <c r="B255" s="259" t="inlineStr">
        <is>
          <t>K01438B01 6.5"</t>
        </is>
      </c>
      <c r="C255" s="259" t="inlineStr">
        <is>
          <t>FSBG5142K6Y-6C</t>
        </is>
      </c>
      <c r="D255" s="259" t="n">
        <v>148347</v>
      </c>
      <c r="E255" s="259" t="n">
        <v>105</v>
      </c>
      <c r="F255" s="259" t="inlineStr">
        <is>
          <t>14K YG</t>
        </is>
      </c>
      <c r="G255" s="260" t="n">
        <v>1</v>
      </c>
      <c r="H255" s="261" t="n">
        <v>18.95</v>
      </c>
      <c r="I255" s="261" t="n">
        <v>0.14</v>
      </c>
      <c r="J255" s="261" t="n">
        <v>0.62</v>
      </c>
      <c r="K255" s="262">
        <f>H255-I255-J255</f>
        <v/>
      </c>
      <c r="L255" s="263" t="inlineStr">
        <is>
          <t>OV 3.75*2.80</t>
        </is>
      </c>
      <c r="M255" s="263" t="inlineStr">
        <is>
          <t>W</t>
        </is>
      </c>
      <c r="N255" s="264" t="n">
        <v>5</v>
      </c>
      <c r="O255" s="265" t="n">
        <v>10.5</v>
      </c>
      <c r="P255" s="266" t="n">
        <v>0.71</v>
      </c>
      <c r="Q255" s="267" t="n"/>
      <c r="R255" s="267" t="n"/>
      <c r="S255" s="267">
        <f>0.02*N255*G255</f>
        <v/>
      </c>
      <c r="T255" s="267">
        <f>4*G255</f>
        <v/>
      </c>
      <c r="U255" s="267">
        <f>IF(RIGHT(F255,2)="WG",K255*$AB$4,IF(RIGHT(F255,3)="WRG",K255*$AB$4+3*G255,IF(RIGHT(F255,3)="WYG",K255*$AB$4+3*G255,IF(RIGHT(F255,3)="WYR",K255*$AB$4+3*G255,0))))</f>
        <v/>
      </c>
      <c r="V255" s="267" t="n"/>
      <c r="W255" s="267">
        <f>G255*N255*3</f>
        <v/>
      </c>
      <c r="X255" s="267">
        <f>K255*O255</f>
        <v/>
      </c>
      <c r="Y255" s="267">
        <f>($Y$252/31.1035*IF(LEFT(F255,3)="10K",(0.417*1.07*K255),IF(LEFT(F255,3)="14K",(0.585*1.05*K255),IF(LEFT(F255,3)="18K",(0.75*1.05*K255),0))))*0.5</f>
        <v/>
      </c>
      <c r="Z255" s="268">
        <f>($Z$252/31.1035*IF(LEFT(F255,3)="10K",(0.417*1.07*K255),IF(LEFT(F255,3)="14K",(0.585*1.05*K255),IF(LEFT(F255,3)="18K",(0.75*1.05*K255),0))))*0.5</f>
        <v/>
      </c>
      <c r="AA255" s="269">
        <f>2*K255</f>
        <v/>
      </c>
      <c r="AB255" s="269" t="n">
        <v>173.715</v>
      </c>
      <c r="AC255" s="269" t="n">
        <v>1052.92629577166</v>
      </c>
      <c r="AD255" s="269" t="n">
        <v>1226.64129577166</v>
      </c>
      <c r="AE255" s="269">
        <f>IF(LEFT(F255,3)="10K",(0.417*1.07*K255),IF(LEFT(F255,3)="14K",(0.585*1.05*K255),IF(LEFT(F255,3)="18K",(0.75*1.05*K255),0)))</f>
        <v/>
      </c>
      <c r="AG255" s="270">
        <f>X255</f>
        <v/>
      </c>
    </row>
    <row r="256" ht="27" customFormat="1" customHeight="1" s="257">
      <c r="A256" s="258" t="n">
        <v>6</v>
      </c>
      <c r="B256" s="259" t="inlineStr">
        <is>
          <t>K0041B05 RD 6.75"</t>
        </is>
      </c>
      <c r="C256" s="259" t="inlineStr">
        <is>
          <t>FSBG5012S8Y</t>
        </is>
      </c>
      <c r="D256" s="259" t="n">
        <v>148347</v>
      </c>
      <c r="E256" s="259" t="n">
        <v>106</v>
      </c>
      <c r="F256" s="259" t="inlineStr">
        <is>
          <t>14K YG</t>
        </is>
      </c>
      <c r="G256" s="260" t="n">
        <v>1</v>
      </c>
      <c r="H256" s="261" t="n">
        <v>11.65</v>
      </c>
      <c r="I256" s="261" t="n">
        <v>0.5600000000000001</v>
      </c>
      <c r="J256" s="261" t="n">
        <v>0.32</v>
      </c>
      <c r="K256" s="262">
        <f>H256-I256-J256</f>
        <v/>
      </c>
      <c r="L256" s="263" t="n">
        <v>2.3</v>
      </c>
      <c r="M256" s="263" t="inlineStr">
        <is>
          <t>W</t>
        </is>
      </c>
      <c r="N256" s="264" t="n">
        <v>62</v>
      </c>
      <c r="O256" s="265" t="n">
        <v>10.5</v>
      </c>
      <c r="P256" s="266" t="n">
        <v>2.8</v>
      </c>
      <c r="Q256" s="267" t="n"/>
      <c r="R256" s="267" t="n"/>
      <c r="S256" s="267">
        <f>0.02*N256*G256</f>
        <v/>
      </c>
      <c r="T256" s="267">
        <f>2*G256</f>
        <v/>
      </c>
      <c r="U256" s="267">
        <f>IF(RIGHT(F256,2)="WG",K256*$AB$4,IF(RIGHT(F256,3)="WRG",K256*$AB$4+3*G256,IF(RIGHT(F256,3)="WYG",K256*$AB$4+3*G256,IF(RIGHT(F256,3)="WYR",K256*$AB$4+3*G256,0))))</f>
        <v/>
      </c>
      <c r="V256" s="267" t="n"/>
      <c r="W256" s="267">
        <f>G256*N256*0.3</f>
        <v/>
      </c>
      <c r="X256" s="267">
        <f>K256*O256</f>
        <v/>
      </c>
      <c r="Y256" s="267">
        <f>($Y$252/31.1035*IF(LEFT(F256,3)="10K",(0.417*1.07*K256),IF(LEFT(F256,3)="14K",(0.585*1.05*K256),IF(LEFT(F256,3)="18K",(0.75*1.05*K256),0))))*0.5</f>
        <v/>
      </c>
      <c r="Z256" s="268">
        <f>($Z$252/31.1035*IF(LEFT(F256,3)="10K",(0.417*1.07*K256),IF(LEFT(F256,3)="14K",(0.585*1.05*K256),IF(LEFT(F256,3)="18K",(0.75*1.05*K256),0))))*0.5</f>
        <v/>
      </c>
      <c r="AA256" s="269">
        <f>2*K256</f>
        <v/>
      </c>
      <c r="AB256" s="269" t="n">
        <v>113.385</v>
      </c>
      <c r="AC256" s="269" t="n">
        <v>1456.13795825443</v>
      </c>
      <c r="AD256" s="269" t="n">
        <v>1569.52295825443</v>
      </c>
      <c r="AE256" s="269">
        <f>IF(LEFT(F256,3)="10K",(0.417*1.07*K256),IF(LEFT(F256,3)="14K",(0.585*1.05*K256),IF(LEFT(F256,3)="18K",(0.75*1.05*K256),0)))</f>
        <v/>
      </c>
      <c r="AG256" s="270">
        <f>X256</f>
        <v/>
      </c>
    </row>
    <row r="257" ht="27.75" customFormat="1" customHeight="1" s="257">
      <c r="A257" s="258" t="n">
        <v>8</v>
      </c>
      <c r="B257" s="259" t="inlineStr">
        <is>
          <t>K0098B409 6.75"</t>
        </is>
      </c>
      <c r="C257" s="259" t="inlineStr">
        <is>
          <t>FSBG5210S8YW</t>
        </is>
      </c>
      <c r="D257" s="259" t="n">
        <v>148347</v>
      </c>
      <c r="E257" s="259" t="n">
        <v>108</v>
      </c>
      <c r="F257" s="259" t="inlineStr">
        <is>
          <t>14K WYG</t>
        </is>
      </c>
      <c r="G257" s="260" t="n">
        <v>3</v>
      </c>
      <c r="H257" s="261" t="n">
        <v>47.54</v>
      </c>
      <c r="I257" s="261" t="n">
        <v>0.41</v>
      </c>
      <c r="J257" s="261" t="n">
        <v>2.88</v>
      </c>
      <c r="K257" s="262">
        <f>H257-I257-J257</f>
        <v/>
      </c>
      <c r="L257" s="263" t="n">
        <v>2</v>
      </c>
      <c r="M257" s="263" t="inlineStr">
        <is>
          <t>W</t>
        </is>
      </c>
      <c r="N257" s="264" t="n">
        <v>20</v>
      </c>
      <c r="O257" s="265" t="n">
        <v>9.5</v>
      </c>
      <c r="P257" s="266" t="n">
        <v>2.02</v>
      </c>
      <c r="Q257" s="267" t="n"/>
      <c r="R257" s="267" t="n"/>
      <c r="S257" s="267">
        <f>0.02*N257*G257</f>
        <v/>
      </c>
      <c r="T257" s="267">
        <f>6*G257</f>
        <v/>
      </c>
      <c r="U257" s="267">
        <f>IF(RIGHT(F257,2)="WG",K257*$AB$4,IF(RIGHT(F257,3)="WRG",K257*$AB$4+3*G257,IF(RIGHT(F257,3)="WYG",K257*$AB$4+3*G257,IF(RIGHT(F257,3)="WYR",K257*$AB$4+3*G257,0))))</f>
        <v/>
      </c>
      <c r="V257" s="267" t="n"/>
      <c r="W257" s="267">
        <f>G257*N257*0.3</f>
        <v/>
      </c>
      <c r="X257" s="267">
        <f>K257*O257</f>
        <v/>
      </c>
      <c r="Y257" s="267">
        <f>($Y$252/31.1035*IF(LEFT(F257,3)="10K",(0.417*1.07*K257),IF(LEFT(F257,3)="14K",(0.585*1.05*K257),IF(LEFT(F257,3)="18K",(0.75*1.05*K257),0))))*0.5</f>
        <v/>
      </c>
      <c r="Z257" s="268">
        <f>($Z$252/31.1035*IF(LEFT(F257,3)="10K",(0.417*1.07*K257),IF(LEFT(F257,3)="14K",(0.585*1.05*K257),IF(LEFT(F257,3)="18K",(0.75*1.05*K257),0))))*0.5</f>
        <v/>
      </c>
      <c r="AA257" s="269">
        <f>2*K257</f>
        <v/>
      </c>
      <c r="AB257" s="269" t="n">
        <v>388.695</v>
      </c>
      <c r="AC257" s="269" t="n">
        <v>2663.87348402641</v>
      </c>
      <c r="AD257" s="269" t="n">
        <v>3052.56848402641</v>
      </c>
      <c r="AE257" s="269">
        <f>IF(LEFT(F257,3)="10K",(0.417*1.07*K257),IF(LEFT(F257,3)="14K",(0.585*1.05*K257),IF(LEFT(F257,3)="18K",(0.75*1.05*K257),0)))</f>
        <v/>
      </c>
      <c r="AG257" s="270">
        <f>X257</f>
        <v/>
      </c>
    </row>
    <row r="258" ht="15.75" customFormat="1" customHeight="1" s="271">
      <c r="A258" s="272" t="inlineStr">
        <is>
          <t>SUBTOTAL</t>
        </is>
      </c>
      <c r="B258" s="273" t="n"/>
      <c r="C258" s="273" t="n"/>
      <c r="D258" s="273" t="n"/>
      <c r="E258" s="273" t="n"/>
      <c r="F258" s="273" t="n"/>
      <c r="G258" s="274">
        <f>SUM(G254:G257)</f>
        <v/>
      </c>
      <c r="H258" s="275" t="n"/>
      <c r="I258" s="275" t="n"/>
      <c r="J258" s="275" t="n"/>
      <c r="K258" s="275">
        <f>SUM(K254:K257)</f>
        <v/>
      </c>
      <c r="L258" s="276" t="n"/>
      <c r="M258" s="276" t="n"/>
      <c r="N258" s="276" t="n"/>
      <c r="O258" s="277" t="n"/>
      <c r="P258" s="278">
        <f>SUM(P254:P257)</f>
        <v/>
      </c>
      <c r="Q258" s="279">
        <f>SUM(Q254:Q257)</f>
        <v/>
      </c>
      <c r="R258" s="279">
        <f>SUM(R254:R257)</f>
        <v/>
      </c>
      <c r="S258" s="279">
        <f>SUM(S254:S257)</f>
        <v/>
      </c>
      <c r="T258" s="279">
        <f>SUM(T254:T257)</f>
        <v/>
      </c>
      <c r="U258" s="279">
        <f>SUM(U254:U257)</f>
        <v/>
      </c>
      <c r="V258" s="279">
        <f>SUM(V254:V257)</f>
        <v/>
      </c>
      <c r="W258" s="279">
        <f>SUM(W254:W257)</f>
        <v/>
      </c>
      <c r="X258" s="279">
        <f>SUM(X254:X257)</f>
        <v/>
      </c>
      <c r="Y258" s="279">
        <f>SUM(Y254:Y257)</f>
        <v/>
      </c>
      <c r="Z258" s="280">
        <f>SUM(Z254:Z257)</f>
        <v/>
      </c>
      <c r="AA258" s="269" t="n"/>
      <c r="AB258" s="269" t="n"/>
      <c r="AC258" s="269" t="n"/>
      <c r="AD258" s="269" t="n"/>
      <c r="AE258" s="269" t="n"/>
      <c r="AG258" s="270" t="n"/>
    </row>
    <row r="259" ht="15.75" customHeight="1" s="240">
      <c r="A259" s="241" t="inlineStr">
        <is>
          <t>Buyer Dia</t>
        </is>
      </c>
      <c r="K259" s="242" t="n"/>
      <c r="L259" s="243" t="n"/>
      <c r="M259" s="243" t="n"/>
      <c r="N259" s="243" t="n"/>
      <c r="W259" s="244" t="n"/>
      <c r="X259" s="245" t="inlineStr">
        <is>
          <t>1 Apr London AM + 2%</t>
        </is>
      </c>
      <c r="Y259" s="246">
        <f>3131.5*1.02</f>
        <v/>
      </c>
      <c r="Z259" s="246">
        <f>3131.5*1.02</f>
        <v/>
      </c>
      <c r="AA259" s="269" t="n"/>
      <c r="AB259" s="269" t="n"/>
      <c r="AC259" s="269" t="n"/>
      <c r="AD259" s="269" t="n"/>
      <c r="AE259" s="269" t="n"/>
      <c r="AG259" s="270" t="n"/>
    </row>
    <row r="260" ht="27" customFormat="1" customHeight="1" s="247">
      <c r="A260" s="248" t="inlineStr">
        <is>
          <t>PO#</t>
        </is>
      </c>
      <c r="B260" s="249" t="inlineStr">
        <is>
          <t>Item No.</t>
        </is>
      </c>
      <c r="C260" s="249" t="inlineStr">
        <is>
          <t>Buyer No.</t>
        </is>
      </c>
      <c r="D260" s="249" t="inlineStr">
        <is>
          <t>Buyer PO</t>
        </is>
      </c>
      <c r="E260" s="249" t="inlineStr">
        <is>
          <t>IDD PO SERIAL#</t>
        </is>
      </c>
      <c r="F260" s="249" t="inlineStr">
        <is>
          <t>Metal</t>
        </is>
      </c>
      <c r="G260" s="249" t="inlineStr">
        <is>
          <t>Q'ty</t>
        </is>
      </c>
      <c r="H260" s="250" t="inlineStr">
        <is>
          <t>Total w't</t>
        </is>
      </c>
      <c r="I260" s="250" t="inlineStr">
        <is>
          <t>Dia w't</t>
        </is>
      </c>
      <c r="J260" s="250" t="inlineStr">
        <is>
          <t>Wire w't</t>
        </is>
      </c>
      <c r="K260" s="250" t="inlineStr">
        <is>
          <t>Gold w't</t>
        </is>
      </c>
      <c r="L260" s="251" t="inlineStr">
        <is>
          <t>Stone</t>
        </is>
      </c>
      <c r="M260" s="251" t="inlineStr">
        <is>
          <t>Color</t>
        </is>
      </c>
      <c r="N260" s="251" t="inlineStr">
        <is>
          <t>Stone Q'ty</t>
        </is>
      </c>
      <c r="O260" s="252" t="inlineStr">
        <is>
          <t>Labor</t>
        </is>
      </c>
      <c r="P260" s="253" t="inlineStr">
        <is>
          <t>Dia Carat</t>
        </is>
      </c>
      <c r="Q260" s="254" t="inlineStr">
        <is>
          <t>Extra Cost</t>
        </is>
      </c>
      <c r="R260" s="254" t="inlineStr">
        <is>
          <t>Dia Packaging Cost</t>
        </is>
      </c>
      <c r="S260" s="254" t="inlineStr">
        <is>
          <t>Dia Handling Service Fee</t>
        </is>
      </c>
      <c r="T260" s="254" t="inlineStr">
        <is>
          <t>Wire
Cost</t>
        </is>
      </c>
      <c r="U260" s="254" t="inlineStr">
        <is>
          <t>Plating Cost</t>
        </is>
      </c>
      <c r="V260" s="254" t="inlineStr">
        <is>
          <t>Stone
Cost</t>
        </is>
      </c>
      <c r="W260" s="254" t="inlineStr">
        <is>
          <t>Setting
Cost</t>
        </is>
      </c>
      <c r="X260" s="255" t="inlineStr">
        <is>
          <t>Labor
Cost</t>
        </is>
      </c>
      <c r="Y260" s="256" t="inlineStr">
        <is>
          <t>Gold &amp; 5%
Cost</t>
        </is>
      </c>
      <c r="Z260" s="255" t="inlineStr">
        <is>
          <t>Current Gold &amp;
5% Cost</t>
        </is>
      </c>
      <c r="AA260" s="269" t="n"/>
      <c r="AB260" s="269" t="n"/>
      <c r="AC260" s="269" t="n"/>
      <c r="AD260" s="269" t="n"/>
      <c r="AE260" s="269" t="n"/>
      <c r="AG260" s="270" t="n"/>
    </row>
    <row r="261" ht="124.5" customFormat="1" customHeight="1" s="257">
      <c r="A261" s="258" t="inlineStr">
        <is>
          <t>IDD250319RB-2-14K-NS</t>
        </is>
      </c>
      <c r="B261" s="259" t="inlineStr">
        <is>
          <t>H0181B01 6.75"</t>
        </is>
      </c>
      <c r="C261" s="259" t="inlineStr">
        <is>
          <t>FSBG5420PLS8YS</t>
        </is>
      </c>
      <c r="D261" s="259" t="n">
        <v>148349</v>
      </c>
      <c r="E261" s="259" t="n">
        <v>104</v>
      </c>
      <c r="F261" s="259" t="inlineStr">
        <is>
          <t>14K YG</t>
        </is>
      </c>
      <c r="G261" s="260" t="n">
        <v>2</v>
      </c>
      <c r="H261" s="261" t="n">
        <v>39.52</v>
      </c>
      <c r="I261" s="261" t="n">
        <v>0.98</v>
      </c>
      <c r="J261" s="261" t="n">
        <v>8.19</v>
      </c>
      <c r="K261" s="262">
        <f>H261-I261-J261</f>
        <v/>
      </c>
      <c r="L261" s="263" t="inlineStr">
        <is>
          <t>1.10mm
Rectangle Cabochon 6.05*3.5*1.23
Triangle Cabochon 12.85*5.8*3.2</t>
        </is>
      </c>
      <c r="M261" s="263" t="inlineStr">
        <is>
          <t>W
White MOP
Black Onyx</t>
        </is>
      </c>
      <c r="N261" s="264" t="inlineStr">
        <is>
          <t>20pcs
1pcs
1pcs</t>
        </is>
      </c>
      <c r="O261" s="265" t="n">
        <v>11.5</v>
      </c>
      <c r="P261" s="266" t="n">
        <v>0.25</v>
      </c>
      <c r="Q261" s="267">
        <f>25*G261</f>
        <v/>
      </c>
      <c r="R261" s="267" t="n"/>
      <c r="S261" s="267">
        <f>0.02*20*G261</f>
        <v/>
      </c>
      <c r="T261" s="267">
        <f>4.5*G261</f>
        <v/>
      </c>
      <c r="U261" s="267">
        <f>IF(RIGHT(F261,2)="WG",K261*$AB$4,IF(RIGHT(F261,3)="WRG",K261*$AB$4+3*G261,IF(RIGHT(F261,3)="WYG",K261*$AB$4+3*G261,IF(RIGHT(F261,3)="WYR",K261*$AB$4+3*G261,0))))</f>
        <v/>
      </c>
      <c r="V261" s="267">
        <f>30*G261</f>
        <v/>
      </c>
      <c r="W261" s="267">
        <f>G261*20*0.3</f>
        <v/>
      </c>
      <c r="X261" s="267">
        <f>K261*O261</f>
        <v/>
      </c>
      <c r="Y261" s="267">
        <f>($Y$259/31.1035*IF(LEFT(F261,3)="10K",(0.417*1.07*K261),IF(LEFT(F261,3)="14K",(0.585*1.05*K261),IF(LEFT(F261,3)="18K",(0.75*1.05*K261),0))))*0.5</f>
        <v/>
      </c>
      <c r="Z261" s="268">
        <f>($Z$259/31.1035*IF(LEFT(F261,3)="10K",(0.417*1.07*K261),IF(LEFT(F261,3)="14K",(0.585*1.05*K261),IF(LEFT(F261,3)="18K",(0.75*1.05*K261),0))))*0.5</f>
        <v/>
      </c>
      <c r="AA261" s="269">
        <f>2*K261</f>
        <v/>
      </c>
      <c r="AB261" s="269" t="n">
        <v>420.125</v>
      </c>
      <c r="AC261" s="269" t="n">
        <v>1429.74338020129</v>
      </c>
      <c r="AD261" s="269" t="n">
        <v>1849.86838020129</v>
      </c>
      <c r="AE261" s="269">
        <f>IF(LEFT(F261,3)="10K",(0.417*1.07*K261),IF(LEFT(F261,3)="14K",(0.585*1.05*K261),IF(LEFT(F261,3)="18K",(0.75*1.05*K261),0)))</f>
        <v/>
      </c>
      <c r="AG261" s="270">
        <f>X261</f>
        <v/>
      </c>
    </row>
    <row r="262" ht="15.75" customFormat="1" customHeight="1" s="271">
      <c r="A262" s="272" t="inlineStr">
        <is>
          <t>SUBTOTAL</t>
        </is>
      </c>
      <c r="B262" s="273" t="n"/>
      <c r="C262" s="273" t="n"/>
      <c r="D262" s="273" t="n"/>
      <c r="E262" s="273" t="n"/>
      <c r="F262" s="273" t="n"/>
      <c r="G262" s="274">
        <f>SUM(G261)</f>
        <v/>
      </c>
      <c r="H262" s="275" t="n"/>
      <c r="I262" s="275" t="n"/>
      <c r="J262" s="275" t="n"/>
      <c r="K262" s="275">
        <f>SUM(K261)</f>
        <v/>
      </c>
      <c r="L262" s="276" t="n"/>
      <c r="M262" s="276" t="n"/>
      <c r="N262" s="276" t="n"/>
      <c r="O262" s="277" t="n"/>
      <c r="P262" s="278">
        <f>SUM(P261)</f>
        <v/>
      </c>
      <c r="Q262" s="279">
        <f>SUM(Q261)</f>
        <v/>
      </c>
      <c r="R262" s="279">
        <f>SUM(R261)</f>
        <v/>
      </c>
      <c r="S262" s="279">
        <f>SUM(S261)</f>
        <v/>
      </c>
      <c r="T262" s="279">
        <f>SUM(T261)</f>
        <v/>
      </c>
      <c r="U262" s="279">
        <f>SUM(U261)</f>
        <v/>
      </c>
      <c r="V262" s="279">
        <f>SUM(V261)</f>
        <v/>
      </c>
      <c r="W262" s="279">
        <f>SUM(W261)</f>
        <v/>
      </c>
      <c r="X262" s="279">
        <f>SUM(X261)</f>
        <v/>
      </c>
      <c r="Y262" s="279">
        <f>SUM(Y261)</f>
        <v/>
      </c>
      <c r="Z262" s="280">
        <f>SUM(Z261)</f>
        <v/>
      </c>
      <c r="AA262" s="269" t="n"/>
      <c r="AB262" s="269" t="n"/>
      <c r="AC262" s="269" t="n"/>
      <c r="AD262" s="269" t="n"/>
      <c r="AE262" s="269" t="n"/>
      <c r="AG262" s="270" t="n"/>
    </row>
    <row r="263" ht="15.75" customHeight="1" s="240">
      <c r="A263" s="241" t="inlineStr">
        <is>
          <t>Buyer Dia</t>
        </is>
      </c>
      <c r="K263" s="242" t="n"/>
      <c r="L263" s="243" t="n"/>
      <c r="M263" s="243" t="n"/>
      <c r="N263" s="243" t="n"/>
      <c r="W263" s="244" t="n"/>
      <c r="X263" s="245" t="inlineStr">
        <is>
          <t>1 Apr London AM + 2%</t>
        </is>
      </c>
      <c r="Y263" s="246">
        <f>3131.5*1.02</f>
        <v/>
      </c>
      <c r="Z263" s="246">
        <f>3131.5*1.02</f>
        <v/>
      </c>
      <c r="AA263" s="269" t="n"/>
      <c r="AB263" s="269" t="n"/>
      <c r="AC263" s="269" t="n"/>
      <c r="AD263" s="269" t="n"/>
      <c r="AE263" s="269" t="n"/>
      <c r="AG263" s="270" t="n"/>
    </row>
    <row r="264" ht="27" customFormat="1" customHeight="1" s="247">
      <c r="A264" s="248" t="inlineStr">
        <is>
          <t>PO#</t>
        </is>
      </c>
      <c r="B264" s="249" t="inlineStr">
        <is>
          <t>Item No.</t>
        </is>
      </c>
      <c r="C264" s="249" t="inlineStr">
        <is>
          <t>Buyer No.</t>
        </is>
      </c>
      <c r="D264" s="249" t="inlineStr">
        <is>
          <t>Buyer PO</t>
        </is>
      </c>
      <c r="E264" s="249" t="inlineStr">
        <is>
          <t>IDD PO SERIAL#</t>
        </is>
      </c>
      <c r="F264" s="249" t="inlineStr">
        <is>
          <t>Metal</t>
        </is>
      </c>
      <c r="G264" s="249" t="inlineStr">
        <is>
          <t>Q'ty</t>
        </is>
      </c>
      <c r="H264" s="250" t="inlineStr">
        <is>
          <t>Total w't</t>
        </is>
      </c>
      <c r="I264" s="250" t="inlineStr">
        <is>
          <t>Dia w't</t>
        </is>
      </c>
      <c r="J264" s="250" t="inlineStr">
        <is>
          <t>Wire w't</t>
        </is>
      </c>
      <c r="K264" s="250" t="inlineStr">
        <is>
          <t>Gold w't</t>
        </is>
      </c>
      <c r="L264" s="251" t="inlineStr">
        <is>
          <t>Stone</t>
        </is>
      </c>
      <c r="M264" s="251" t="inlineStr">
        <is>
          <t>Color</t>
        </is>
      </c>
      <c r="N264" s="251" t="inlineStr">
        <is>
          <t>Stone Q'ty</t>
        </is>
      </c>
      <c r="O264" s="252" t="inlineStr">
        <is>
          <t>Labor</t>
        </is>
      </c>
      <c r="P264" s="253" t="inlineStr">
        <is>
          <t>Dia Carat</t>
        </is>
      </c>
      <c r="Q264" s="254" t="inlineStr">
        <is>
          <t>Extra Cost</t>
        </is>
      </c>
      <c r="R264" s="254" t="inlineStr">
        <is>
          <t>Dia Packaging Cost</t>
        </is>
      </c>
      <c r="S264" s="254" t="inlineStr">
        <is>
          <t>Dia Handling Service Fee</t>
        </is>
      </c>
      <c r="T264" s="254" t="inlineStr">
        <is>
          <t>Wire
Cost</t>
        </is>
      </c>
      <c r="U264" s="254" t="inlineStr">
        <is>
          <t>Plating Cost</t>
        </is>
      </c>
      <c r="V264" s="254" t="inlineStr">
        <is>
          <t>Stone
Cost</t>
        </is>
      </c>
      <c r="W264" s="254" t="inlineStr">
        <is>
          <t>Setting
Cost</t>
        </is>
      </c>
      <c r="X264" s="255" t="inlineStr">
        <is>
          <t>Labor
Cost</t>
        </is>
      </c>
      <c r="Y264" s="256" t="inlineStr">
        <is>
          <t>Gold &amp; 5%
Cost</t>
        </is>
      </c>
      <c r="Z264" s="255" t="inlineStr">
        <is>
          <t>Current Gold &amp;
5% Cost</t>
        </is>
      </c>
      <c r="AA264" s="269" t="n"/>
      <c r="AB264" s="269" t="n"/>
      <c r="AC264" s="269" t="n"/>
      <c r="AD264" s="269" t="n"/>
      <c r="AE264" s="269" t="n"/>
      <c r="AG264" s="270" t="n"/>
    </row>
    <row r="265" ht="27" customFormat="1" customHeight="1" s="257">
      <c r="A265" s="258" t="inlineStr">
        <is>
          <t>IDD250326DB-3-14K</t>
        </is>
      </c>
      <c r="B265" s="259" t="inlineStr">
        <is>
          <t>K0038B574 OV F 6.75"</t>
        </is>
      </c>
      <c r="C265" s="259" t="inlineStr">
        <is>
          <t>FSBG5449S8WS</t>
        </is>
      </c>
      <c r="D265" s="259" t="n">
        <v>148500</v>
      </c>
      <c r="E265" s="259" t="n">
        <v>104</v>
      </c>
      <c r="F265" s="259" t="inlineStr">
        <is>
          <t>14K WG</t>
        </is>
      </c>
      <c r="G265" s="260" t="n">
        <v>1</v>
      </c>
      <c r="H265" s="281" t="n">
        <v>6.71</v>
      </c>
      <c r="I265" s="281" t="n">
        <v>0.3</v>
      </c>
      <c r="J265" s="281" t="n">
        <v>0.32</v>
      </c>
      <c r="K265" s="282">
        <f>H265-I265-J265</f>
        <v/>
      </c>
      <c r="L265" s="263" t="n">
        <v>1.65</v>
      </c>
      <c r="M265" s="263" t="inlineStr">
        <is>
          <t>W</t>
        </is>
      </c>
      <c r="N265" s="285" t="n">
        <v>88</v>
      </c>
      <c r="O265" s="265" t="n">
        <v>10.5</v>
      </c>
      <c r="P265" s="266" t="n">
        <v>1.495</v>
      </c>
      <c r="Q265" s="267" t="n">
        <v>200</v>
      </c>
      <c r="R265" s="267" t="n"/>
      <c r="S265" s="267">
        <f>0.02*N265*G265</f>
        <v/>
      </c>
      <c r="T265" s="267">
        <f>2.3*G265</f>
        <v/>
      </c>
      <c r="U265" s="267">
        <f>IF(RIGHT(F265,2)="WG",K265*$AB$4,IF(RIGHT(F265,3)="WRG",K265*$AB$4+3*G265,IF(RIGHT(F265,3)="WYG",K265*$AB$4+3*G265,IF(RIGHT(F265,3)="WYR",K265*$AB$4+3*G265,0))))</f>
        <v/>
      </c>
      <c r="V265" s="267" t="n"/>
      <c r="W265" s="267">
        <f>G265*N265*0.3</f>
        <v/>
      </c>
      <c r="X265" s="267">
        <f>K265*O265</f>
        <v/>
      </c>
      <c r="Y265" s="267">
        <f>($Y$263/31.1035*IF(LEFT(F265,3)="10K",(0.417*1.07*K265),IF(LEFT(F265,3)="14K",(0.585*1.05*K265),IF(LEFT(F265,3)="18K",(0.75*1.05*K265),0))))*0.5</f>
        <v/>
      </c>
      <c r="Z265" s="268">
        <f>($Z$263/31.1035*IF(LEFT(F265,3)="10K",(0.417*1.07*K265),IF(LEFT(F265,3)="14K",(0.585*1.05*K265),IF(LEFT(F265,3)="18K",(0.75*1.05*K265),0))))*0.5</f>
        <v/>
      </c>
      <c r="AA265" s="269">
        <f>2*K265</f>
        <v/>
      </c>
      <c r="AB265" s="269" t="n">
        <v>283.6866</v>
      </c>
      <c r="AC265" s="269" t="n">
        <v>792.492335603704</v>
      </c>
      <c r="AD265" s="269" t="n">
        <v>1076.1789356037</v>
      </c>
      <c r="AE265" s="269">
        <f>IF(LEFT(F265,3)="10K",(0.417*1.07*K265),IF(LEFT(F265,3)="14K",(0.585*1.05*K265),IF(LEFT(F265,3)="18K",(0.75*1.05*K265),0)))</f>
        <v/>
      </c>
      <c r="AG265" s="270">
        <f>X265</f>
        <v/>
      </c>
    </row>
    <row r="266" ht="27.75" customFormat="1" customHeight="1" s="257">
      <c r="A266" s="258" t="n">
        <v>2</v>
      </c>
      <c r="B266" s="259" t="inlineStr">
        <is>
          <t>K0038B533 OV F 6.75"</t>
        </is>
      </c>
      <c r="C266" s="259" t="inlineStr">
        <is>
          <t>FSBG5450S8WS</t>
        </is>
      </c>
      <c r="D266" s="259" t="n">
        <v>148500</v>
      </c>
      <c r="E266" s="259" t="n">
        <v>105</v>
      </c>
      <c r="F266" s="259" t="inlineStr">
        <is>
          <t>14K WG</t>
        </is>
      </c>
      <c r="G266" s="260" t="n">
        <v>1</v>
      </c>
      <c r="H266" s="281" t="n">
        <v>13.74</v>
      </c>
      <c r="I266" s="281" t="n">
        <v>1.54</v>
      </c>
      <c r="J266" s="281" t="n">
        <v>0.44</v>
      </c>
      <c r="K266" s="282">
        <f>H266-I266-J266</f>
        <v/>
      </c>
      <c r="L266" s="263" t="n">
        <v>3.75</v>
      </c>
      <c r="M266" s="263" t="inlineStr">
        <is>
          <t>W</t>
        </is>
      </c>
      <c r="N266" s="264" t="n">
        <v>39</v>
      </c>
      <c r="O266" s="265" t="n">
        <v>10.5</v>
      </c>
      <c r="P266" s="266" t="n">
        <v>7.7</v>
      </c>
      <c r="Q266" s="267" t="n">
        <v>200</v>
      </c>
      <c r="R266" s="267" t="n"/>
      <c r="S266" s="267">
        <f>0.02*N266*G266</f>
        <v/>
      </c>
      <c r="T266" s="267">
        <f>2.3*G266</f>
        <v/>
      </c>
      <c r="U266" s="267">
        <f>IF(RIGHT(F266,2)="WG",K266*$AB$4,IF(RIGHT(F266,3)="WRG",K266*$AB$4+3*G266,IF(RIGHT(F266,3)="WYG",K266*$AB$4+3*G266,IF(RIGHT(F266,3)="WYR",K266*$AB$4+3*G266,0))))</f>
        <v/>
      </c>
      <c r="V266" s="267" t="n"/>
      <c r="W266" s="267">
        <f>G266*N266*0.75</f>
        <v/>
      </c>
      <c r="X266" s="267">
        <f>K266*O266</f>
        <v/>
      </c>
      <c r="Y266" s="267">
        <f>($Y$263/31.1035*IF(LEFT(F266,3)="10K",(0.417*1.07*K266),IF(LEFT(F266,3)="14K",(0.585*1.05*K266),IF(LEFT(F266,3)="18K",(0.75*1.05*K266),0))))*0.5</f>
        <v/>
      </c>
      <c r="Z266" s="268">
        <f>($Z$263/31.1035*IF(LEFT(F266,3)="10K",(0.417*1.07*K266),IF(LEFT(F266,3)="14K",(0.585*1.05*K266),IF(LEFT(F266,3)="18K",(0.75*1.05*K266),0))))*0.5</f>
        <v/>
      </c>
      <c r="AA266" s="269">
        <f>2*K266</f>
        <v/>
      </c>
      <c r="AB266" s="269" t="n">
        <v>335.1124</v>
      </c>
      <c r="AC266" s="269" t="n">
        <v>3214.61359019968</v>
      </c>
      <c r="AD266" s="269" t="n">
        <v>3549.72599019968</v>
      </c>
      <c r="AE266" s="269">
        <f>IF(LEFT(F266,3)="10K",(0.417*1.07*K266),IF(LEFT(F266,3)="14K",(0.585*1.05*K266),IF(LEFT(F266,3)="18K",(0.75*1.05*K266),0)))</f>
        <v/>
      </c>
      <c r="AG266" s="270">
        <f>X266</f>
        <v/>
      </c>
    </row>
    <row r="267" ht="15.75" customFormat="1" customHeight="1" s="271">
      <c r="A267" s="272" t="inlineStr">
        <is>
          <t>SUBTOTAL</t>
        </is>
      </c>
      <c r="B267" s="273" t="n"/>
      <c r="C267" s="273" t="n"/>
      <c r="D267" s="273" t="n"/>
      <c r="E267" s="273" t="n"/>
      <c r="F267" s="273" t="n"/>
      <c r="G267" s="274">
        <f>SUM(G265:G266)</f>
        <v/>
      </c>
      <c r="H267" s="283" t="n"/>
      <c r="I267" s="283" t="n"/>
      <c r="J267" s="283" t="n"/>
      <c r="K267" s="283">
        <f>SUM(K265:K266)</f>
        <v/>
      </c>
      <c r="L267" s="276" t="n"/>
      <c r="M267" s="276" t="n"/>
      <c r="N267" s="276" t="n"/>
      <c r="O267" s="277" t="n"/>
      <c r="P267" s="278">
        <f>SUM(P265:P266)</f>
        <v/>
      </c>
      <c r="Q267" s="279">
        <f>SUM(Q265:Q266)</f>
        <v/>
      </c>
      <c r="R267" s="279">
        <f>SUM(R265:R266)</f>
        <v/>
      </c>
      <c r="S267" s="279">
        <f>SUM(S265:S266)</f>
        <v/>
      </c>
      <c r="T267" s="279">
        <f>SUM(T265:T266)</f>
        <v/>
      </c>
      <c r="U267" s="279">
        <f>SUM(U265:U266)</f>
        <v/>
      </c>
      <c r="V267" s="279">
        <f>SUM(V265:V266)</f>
        <v/>
      </c>
      <c r="W267" s="279">
        <f>SUM(W265:W266)</f>
        <v/>
      </c>
      <c r="X267" s="279">
        <f>SUM(X265:X266)</f>
        <v/>
      </c>
      <c r="Y267" s="279">
        <f>SUM(Y265:Y266)</f>
        <v/>
      </c>
      <c r="Z267" s="280">
        <f>SUM(Z265:Z266)</f>
        <v/>
      </c>
      <c r="AA267" s="269" t="n"/>
      <c r="AB267" s="269" t="n"/>
      <c r="AC267" s="269" t="n"/>
      <c r="AD267" s="269" t="n"/>
      <c r="AE267" s="269" t="n"/>
      <c r="AG267" s="270" t="n"/>
    </row>
    <row r="268" ht="15.75" customHeight="1" s="240">
      <c r="A268" s="241" t="inlineStr">
        <is>
          <t>Buyer Dia</t>
        </is>
      </c>
      <c r="K268" s="242" t="n"/>
      <c r="L268" s="243" t="n"/>
      <c r="M268" s="243" t="n"/>
      <c r="N268" s="243" t="n"/>
      <c r="W268" s="244" t="n"/>
      <c r="X268" s="245" t="inlineStr">
        <is>
          <t>31 Mar London AM + 2%</t>
        </is>
      </c>
      <c r="Y268" s="246">
        <f>3120.2*1.02</f>
        <v/>
      </c>
      <c r="Z268" s="246">
        <f>3120.2*1.02</f>
        <v/>
      </c>
      <c r="AA268" s="269" t="n"/>
      <c r="AB268" s="269" t="n"/>
      <c r="AC268" s="269" t="n"/>
      <c r="AD268" s="269" t="n"/>
      <c r="AE268" s="269" t="n"/>
      <c r="AG268" s="270" t="n"/>
    </row>
    <row r="269" ht="27" customFormat="1" customHeight="1" s="247">
      <c r="A269" s="248" t="inlineStr">
        <is>
          <t>PO#</t>
        </is>
      </c>
      <c r="B269" s="249" t="inlineStr">
        <is>
          <t>Item No.</t>
        </is>
      </c>
      <c r="C269" s="249" t="inlineStr">
        <is>
          <t>Buyer No.</t>
        </is>
      </c>
      <c r="D269" s="249" t="inlineStr">
        <is>
          <t>Buyer PO</t>
        </is>
      </c>
      <c r="E269" s="249" t="inlineStr">
        <is>
          <t>IDD PO SERIAL#</t>
        </is>
      </c>
      <c r="F269" s="249" t="inlineStr">
        <is>
          <t>Metal</t>
        </is>
      </c>
      <c r="G269" s="249" t="inlineStr">
        <is>
          <t>Q'ty</t>
        </is>
      </c>
      <c r="H269" s="250" t="inlineStr">
        <is>
          <t>Total w't</t>
        </is>
      </c>
      <c r="I269" s="250" t="inlineStr">
        <is>
          <t>Dia w't</t>
        </is>
      </c>
      <c r="J269" s="250" t="inlineStr">
        <is>
          <t>Wire w't</t>
        </is>
      </c>
      <c r="K269" s="250" t="inlineStr">
        <is>
          <t>Gold w't</t>
        </is>
      </c>
      <c r="L269" s="251" t="inlineStr">
        <is>
          <t>Stone</t>
        </is>
      </c>
      <c r="M269" s="251" t="inlineStr">
        <is>
          <t>Color</t>
        </is>
      </c>
      <c r="N269" s="251" t="inlineStr">
        <is>
          <t>Stone Q'ty</t>
        </is>
      </c>
      <c r="O269" s="252" t="inlineStr">
        <is>
          <t>Labor</t>
        </is>
      </c>
      <c r="P269" s="253" t="inlineStr">
        <is>
          <t>Dia Carat</t>
        </is>
      </c>
      <c r="Q269" s="254" t="inlineStr">
        <is>
          <t>Extra Cost</t>
        </is>
      </c>
      <c r="R269" s="254" t="inlineStr">
        <is>
          <t>Dia Packaging Cost</t>
        </is>
      </c>
      <c r="S269" s="254" t="inlineStr">
        <is>
          <t>Dia Handling Service Fee</t>
        </is>
      </c>
      <c r="T269" s="254" t="inlineStr">
        <is>
          <t>Wire
Cost</t>
        </is>
      </c>
      <c r="U269" s="254" t="inlineStr">
        <is>
          <t>Plating Cost</t>
        </is>
      </c>
      <c r="V269" s="254" t="inlineStr">
        <is>
          <t>Stone
Cost</t>
        </is>
      </c>
      <c r="W269" s="254" t="inlineStr">
        <is>
          <t>Setting
Cost</t>
        </is>
      </c>
      <c r="X269" s="255" t="inlineStr">
        <is>
          <t>Labor
Cost</t>
        </is>
      </c>
      <c r="Y269" s="256" t="inlineStr">
        <is>
          <t>Gold &amp; 5%
Cost</t>
        </is>
      </c>
      <c r="Z269" s="255" t="inlineStr">
        <is>
          <t>Current Gold &amp;
5% Cost</t>
        </is>
      </c>
      <c r="AA269" s="269" t="n"/>
      <c r="AB269" s="269" t="n"/>
      <c r="AC269" s="269" t="n"/>
      <c r="AD269" s="269" t="n"/>
      <c r="AE269" s="269" t="n"/>
      <c r="AG269" s="270" t="n"/>
    </row>
    <row r="270" ht="27.75" customFormat="1" customHeight="1" s="257">
      <c r="A270" s="258" t="inlineStr">
        <is>
          <t>IDD250326RB-1-14K</t>
        </is>
      </c>
      <c r="B270" s="259" t="inlineStr">
        <is>
          <t>K01810B01 OV H 6.25"</t>
        </is>
      </c>
      <c r="C270" s="259" t="inlineStr">
        <is>
          <t>FSBG5216S8W-6B</t>
        </is>
      </c>
      <c r="D270" s="259" t="n">
        <v>148468</v>
      </c>
      <c r="E270" s="259" t="n">
        <v>103</v>
      </c>
      <c r="F270" s="259" t="inlineStr">
        <is>
          <t>14K WG</t>
        </is>
      </c>
      <c r="G270" s="260" t="n">
        <v>1</v>
      </c>
      <c r="H270" s="261" t="n">
        <v>8.41</v>
      </c>
      <c r="I270" s="261" t="n">
        <v>0.43</v>
      </c>
      <c r="J270" s="261" t="n">
        <v>0.3</v>
      </c>
      <c r="K270" s="262">
        <f>H270-I270-J270</f>
        <v/>
      </c>
      <c r="L270" s="263" t="inlineStr">
        <is>
          <t>2.00mm
4.15mm</t>
        </is>
      </c>
      <c r="M270" s="263" t="inlineStr">
        <is>
          <t>W
W</t>
        </is>
      </c>
      <c r="N270" s="264" t="inlineStr">
        <is>
          <t>28pcs
4pcs</t>
        </is>
      </c>
      <c r="O270" s="265" t="n">
        <v>10.5</v>
      </c>
      <c r="P270" s="266" t="n">
        <v>2.14</v>
      </c>
      <c r="Q270" s="267" t="n"/>
      <c r="R270" s="267" t="n"/>
      <c r="S270" s="267">
        <f>0.02*(28+4)*G270</f>
        <v/>
      </c>
      <c r="T270" s="267">
        <f>2.3*G270</f>
        <v/>
      </c>
      <c r="U270" s="267">
        <f>IF(RIGHT(F270,2)="WG",K270*$AB$4,IF(RIGHT(F270,3)="WRG",K270*$AB$4+3*G270,IF(RIGHT(F270,3)="WYG",K270*$AB$4+3*G270,IF(RIGHT(F270,3)="WYR",K270*$AB$4+3*G270,0))))</f>
        <v/>
      </c>
      <c r="V270" s="267" t="n"/>
      <c r="W270" s="267">
        <f>(0.3*28+0.75*4)*G270</f>
        <v/>
      </c>
      <c r="X270" s="267">
        <f>K270*O270</f>
        <v/>
      </c>
      <c r="Y270" s="267">
        <f>($Y$268/31.1035*IF(LEFT(F270,3)="10K",(0.417*1.07*K270),IF(LEFT(F270,3)="14K",(0.585*1.05*K270),IF(LEFT(F270,3)="18K",(0.75*1.05*K270),0))))*0.5</f>
        <v/>
      </c>
      <c r="Z270" s="268">
        <f>($Z$268/31.1035*IF(LEFT(F270,3)="10K",(0.417*1.07*K270),IF(LEFT(F270,3)="14K",(0.585*1.05*K270),IF(LEFT(F270,3)="18K",(0.75*1.05*K270),0))))*0.5</f>
        <v/>
      </c>
      <c r="AA270" s="269">
        <f>2*K270</f>
        <v/>
      </c>
      <c r="AB270" s="269" t="n">
        <v>81.4632</v>
      </c>
      <c r="AC270" s="269" t="n">
        <v>1088.52111852303</v>
      </c>
      <c r="AD270" s="269" t="n">
        <v>1169.98431852303</v>
      </c>
      <c r="AE270" s="269">
        <f>IF(LEFT(F270,3)="10K",(0.417*1.07*K270),IF(LEFT(F270,3)="14K",(0.585*1.05*K270),IF(LEFT(F270,3)="18K",(0.75*1.05*K270),0)))</f>
        <v/>
      </c>
      <c r="AG270" s="270">
        <f>X270</f>
        <v/>
      </c>
    </row>
    <row r="271" ht="15.75" customFormat="1" customHeight="1" s="271">
      <c r="A271" s="272" t="inlineStr">
        <is>
          <t>SUBTOTAL</t>
        </is>
      </c>
      <c r="B271" s="273" t="n"/>
      <c r="C271" s="273" t="n"/>
      <c r="D271" s="273" t="n"/>
      <c r="E271" s="273" t="n"/>
      <c r="F271" s="273" t="n"/>
      <c r="G271" s="274">
        <f>SUM(G270)</f>
        <v/>
      </c>
      <c r="H271" s="275" t="n"/>
      <c r="I271" s="275" t="n"/>
      <c r="J271" s="275" t="n"/>
      <c r="K271" s="275">
        <f>SUM(K270)</f>
        <v/>
      </c>
      <c r="L271" s="276" t="n"/>
      <c r="M271" s="276" t="n"/>
      <c r="N271" s="276" t="n"/>
      <c r="O271" s="277" t="n"/>
      <c r="P271" s="278">
        <f>SUM(P270)</f>
        <v/>
      </c>
      <c r="Q271" s="279">
        <f>SUM(Q270)</f>
        <v/>
      </c>
      <c r="R271" s="279">
        <f>SUM(R270)</f>
        <v/>
      </c>
      <c r="S271" s="279">
        <f>SUM(S270)</f>
        <v/>
      </c>
      <c r="T271" s="279">
        <f>SUM(T270)</f>
        <v/>
      </c>
      <c r="U271" s="279">
        <f>SUM(U270)</f>
        <v/>
      </c>
      <c r="V271" s="279">
        <f>SUM(V270)</f>
        <v/>
      </c>
      <c r="W271" s="279">
        <f>SUM(W270)</f>
        <v/>
      </c>
      <c r="X271" s="279">
        <f>SUM(X270)</f>
        <v/>
      </c>
      <c r="Y271" s="279">
        <f>SUM(Y270)</f>
        <v/>
      </c>
      <c r="Z271" s="280">
        <f>SUM(Z270)</f>
        <v/>
      </c>
      <c r="AA271" s="269" t="n"/>
      <c r="AB271" s="269" t="n"/>
      <c r="AC271" s="269" t="n"/>
      <c r="AD271" s="269" t="n"/>
      <c r="AE271" s="269" t="n"/>
      <c r="AG271" s="270" t="n"/>
    </row>
    <row r="272" ht="15.75" customHeight="1" s="240">
      <c r="A272" s="241" t="inlineStr">
        <is>
          <t>Buyer Dia</t>
        </is>
      </c>
      <c r="K272" s="242" t="n"/>
      <c r="L272" s="243" t="n"/>
      <c r="M272" s="243" t="n"/>
      <c r="N272" s="243" t="n"/>
      <c r="W272" s="244" t="n"/>
      <c r="X272" s="245" t="inlineStr">
        <is>
          <t>8 Apr London AM + 2%</t>
        </is>
      </c>
      <c r="Y272" s="246">
        <f>3002.7*1.02</f>
        <v/>
      </c>
      <c r="Z272" s="246">
        <f>3002.7*1.02</f>
        <v/>
      </c>
      <c r="AA272" s="269" t="n"/>
      <c r="AB272" s="269" t="n"/>
      <c r="AC272" s="269" t="n"/>
      <c r="AD272" s="269" t="n"/>
      <c r="AE272" s="269" t="n"/>
      <c r="AG272" s="270" t="n"/>
    </row>
    <row r="273" ht="27" customFormat="1" customHeight="1" s="247">
      <c r="A273" s="248" t="inlineStr">
        <is>
          <t>PO#</t>
        </is>
      </c>
      <c r="B273" s="249" t="inlineStr">
        <is>
          <t>Item No.</t>
        </is>
      </c>
      <c r="C273" s="249" t="inlineStr">
        <is>
          <t>Buyer No.</t>
        </is>
      </c>
      <c r="D273" s="249" t="inlineStr">
        <is>
          <t>Buyer PO</t>
        </is>
      </c>
      <c r="E273" s="249" t="inlineStr">
        <is>
          <t>IDD PO SERIAL#</t>
        </is>
      </c>
      <c r="F273" s="249" t="inlineStr">
        <is>
          <t>Metal</t>
        </is>
      </c>
      <c r="G273" s="249" t="inlineStr">
        <is>
          <t>Q'ty</t>
        </is>
      </c>
      <c r="H273" s="250" t="inlineStr">
        <is>
          <t>Total w't</t>
        </is>
      </c>
      <c r="I273" s="250" t="inlineStr">
        <is>
          <t>Dia w't</t>
        </is>
      </c>
      <c r="J273" s="250" t="inlineStr">
        <is>
          <t>Wire w't</t>
        </is>
      </c>
      <c r="K273" s="250" t="inlineStr">
        <is>
          <t>Gold w't</t>
        </is>
      </c>
      <c r="L273" s="251" t="inlineStr">
        <is>
          <t>Stone</t>
        </is>
      </c>
      <c r="M273" s="251" t="inlineStr">
        <is>
          <t>Color</t>
        </is>
      </c>
      <c r="N273" s="251" t="inlineStr">
        <is>
          <t>Stone Q'ty</t>
        </is>
      </c>
      <c r="O273" s="252" t="inlineStr">
        <is>
          <t>Labor</t>
        </is>
      </c>
      <c r="P273" s="253" t="inlineStr">
        <is>
          <t>Dia Carat</t>
        </is>
      </c>
      <c r="Q273" s="254" t="inlineStr">
        <is>
          <t>Extra Cost</t>
        </is>
      </c>
      <c r="R273" s="254" t="inlineStr">
        <is>
          <t>Dia Packaging Cost</t>
        </is>
      </c>
      <c r="S273" s="254" t="inlineStr">
        <is>
          <t>Dia Handling Service Fee</t>
        </is>
      </c>
      <c r="T273" s="254" t="inlineStr">
        <is>
          <t>Wire
Cost</t>
        </is>
      </c>
      <c r="U273" s="254" t="inlineStr">
        <is>
          <t>Plating Cost</t>
        </is>
      </c>
      <c r="V273" s="254" t="inlineStr">
        <is>
          <t>Stone
Cost</t>
        </is>
      </c>
      <c r="W273" s="254" t="inlineStr">
        <is>
          <t>Setting
Cost</t>
        </is>
      </c>
      <c r="X273" s="255" t="inlineStr">
        <is>
          <t>Labor
Cost</t>
        </is>
      </c>
      <c r="Y273" s="256" t="inlineStr">
        <is>
          <t>Gold &amp; 5%
Cost</t>
        </is>
      </c>
      <c r="Z273" s="255" t="inlineStr">
        <is>
          <t>Current Gold &amp;
5% Cost</t>
        </is>
      </c>
      <c r="AA273" s="269" t="n"/>
      <c r="AB273" s="269" t="n"/>
      <c r="AC273" s="269" t="n"/>
      <c r="AD273" s="269" t="n"/>
      <c r="AE273" s="269" t="n"/>
      <c r="AG273" s="270" t="n"/>
    </row>
    <row r="274" ht="27" customFormat="1" customHeight="1" s="257">
      <c r="A274" s="258" t="inlineStr">
        <is>
          <t>IDD250324RB-4-14K</t>
        </is>
      </c>
      <c r="B274" s="259" t="inlineStr">
        <is>
          <t>K02654B01 OV 6.5"</t>
        </is>
      </c>
      <c r="C274" s="259" t="inlineStr">
        <is>
          <t>FSBG5376S8YW-6C</t>
        </is>
      </c>
      <c r="D274" s="259" t="n">
        <v>148439</v>
      </c>
      <c r="E274" s="259" t="n">
        <v>101</v>
      </c>
      <c r="F274" s="259" t="inlineStr">
        <is>
          <t>14K WYG</t>
        </is>
      </c>
      <c r="G274" s="260" t="n">
        <v>1</v>
      </c>
      <c r="H274" s="261" t="n">
        <v>10.92</v>
      </c>
      <c r="I274" s="261" t="n">
        <v>0.13</v>
      </c>
      <c r="J274" s="261" t="n">
        <v>0.31</v>
      </c>
      <c r="K274" s="262">
        <f>H274-I274-J274</f>
        <v/>
      </c>
      <c r="L274" s="263" t="n">
        <v>1.7</v>
      </c>
      <c r="M274" s="263" t="inlineStr">
        <is>
          <t>W</t>
        </is>
      </c>
      <c r="N274" s="264" t="n">
        <v>35</v>
      </c>
      <c r="O274" s="265" t="n">
        <v>8.5</v>
      </c>
      <c r="P274" s="266" t="n">
        <v>0.63</v>
      </c>
      <c r="Q274" s="267" t="n"/>
      <c r="R274" s="267" t="n"/>
      <c r="S274" s="267">
        <f>G274*N274*0.02</f>
        <v/>
      </c>
      <c r="T274" s="267">
        <f>G274*2.3</f>
        <v/>
      </c>
      <c r="U274" s="267">
        <f>IF(RIGHT(F274,2)="WG",K274*$AB$4,IF(RIGHT(F274,3)="WRG",K274*$AB$4+3*G274,IF(RIGHT(F274,3)="WYG",K274*$AB$4+3*G274,IF(RIGHT(F274,3)="WYR",K274*$AB$4+3*G274,0))))</f>
        <v/>
      </c>
      <c r="V274" s="267" t="n"/>
      <c r="W274" s="267">
        <f>G274*N274*0.3</f>
        <v/>
      </c>
      <c r="X274" s="267">
        <f>K274*O274</f>
        <v/>
      </c>
      <c r="Y274" s="267">
        <f>($Y$272/31.1035*IF(LEFT(F274,3)="10K",(0.417*1.07*K274),IF(LEFT(F274,3)="14K",(0.585*1.05*K274),IF(LEFT(F274,3)="18K",(0.75*1.05*K274),0))))*0.5</f>
        <v/>
      </c>
      <c r="Z274" s="268">
        <f>($Z$272/31.1035*IF(LEFT(F274,3)="10K",(0.417*1.07*K274),IF(LEFT(F274,3)="14K",(0.585*1.05*K274),IF(LEFT(F274,3)="18K",(0.75*1.05*K274),0))))*0.5</f>
        <v/>
      </c>
      <c r="AA274" s="269">
        <f>2*K274</f>
        <v/>
      </c>
      <c r="AB274" s="269" t="n">
        <v>87.1352</v>
      </c>
      <c r="AC274" s="269" t="n">
        <v>683.948866107246</v>
      </c>
      <c r="AD274" s="269" t="n">
        <v>771.084066107246</v>
      </c>
      <c r="AE274" s="269">
        <f>IF(LEFT(F274,3)="10K",(0.417*1.07*K274),IF(LEFT(F274,3)="14K",(0.585*1.05*K274),IF(LEFT(F274,3)="18K",(0.75*1.05*K274),0)))</f>
        <v/>
      </c>
      <c r="AG274" s="270">
        <f>X274</f>
        <v/>
      </c>
    </row>
    <row r="275" ht="27" customFormat="1" customHeight="1" s="257">
      <c r="A275" s="258" t="n">
        <v>2</v>
      </c>
      <c r="B275" s="259" t="inlineStr">
        <is>
          <t>K01589B03 6.5"</t>
        </is>
      </c>
      <c r="C275" s="259" t="inlineStr">
        <is>
          <t>FSBG5387S8W-6C</t>
        </is>
      </c>
      <c r="D275" s="259" t="n">
        <v>148439</v>
      </c>
      <c r="E275" s="259" t="n">
        <v>102</v>
      </c>
      <c r="F275" s="259" t="inlineStr">
        <is>
          <t>14K WG</t>
        </is>
      </c>
      <c r="G275" s="260" t="n">
        <v>2</v>
      </c>
      <c r="H275" s="261" t="n">
        <v>19.38</v>
      </c>
      <c r="I275" s="261" t="n">
        <v>0.39</v>
      </c>
      <c r="J275" s="261" t="n">
        <v>0.31</v>
      </c>
      <c r="K275" s="262">
        <f>H275-I275-J275</f>
        <v/>
      </c>
      <c r="L275" s="263" t="n">
        <v>2</v>
      </c>
      <c r="M275" s="263" t="inlineStr">
        <is>
          <t>W</t>
        </is>
      </c>
      <c r="N275" s="264" t="n">
        <v>29</v>
      </c>
      <c r="O275" s="265" t="n">
        <v>10</v>
      </c>
      <c r="P275" s="266" t="n">
        <v>1.95</v>
      </c>
      <c r="Q275" s="267" t="n"/>
      <c r="R275" s="267" t="n"/>
      <c r="S275" s="267">
        <f>G275*N275*0.02</f>
        <v/>
      </c>
      <c r="T275" s="267">
        <f>G275*2.3</f>
        <v/>
      </c>
      <c r="U275" s="267">
        <f>IF(RIGHT(F275,2)="WG",K275*$AB$4,IF(RIGHT(F275,3)="WRG",K275*$AB$4+3*G275,IF(RIGHT(F275,3)="WYG",K275*$AB$4+3*G275,IF(RIGHT(F275,3)="WYR",K275*$AB$4+3*G275,0))))</f>
        <v/>
      </c>
      <c r="V275" s="267" t="n"/>
      <c r="W275" s="267">
        <f>G275*N275*1</f>
        <v/>
      </c>
      <c r="X275" s="267">
        <f>K275*O275</f>
        <v/>
      </c>
      <c r="Y275" s="267">
        <f>($Y$272/31.1035*IF(LEFT(F275,3)="10K",(0.417*1.07*K275),IF(LEFT(F275,3)="14K",(0.585*1.05*K275),IF(LEFT(F275,3)="18K",(0.75*1.05*K275),0))))*0.5</f>
        <v/>
      </c>
      <c r="Z275" s="268">
        <f>($Z$272/31.1035*IF(LEFT(F275,3)="10K",(0.417*1.07*K275),IF(LEFT(F275,3)="14K",(0.585*1.05*K275),IF(LEFT(F275,3)="18K",(0.75*1.05*K275),0))))*0.5</f>
        <v/>
      </c>
      <c r="AA275" s="269">
        <f>2*K275</f>
        <v/>
      </c>
      <c r="AB275" s="269" t="n">
        <v>217.6832</v>
      </c>
      <c r="AC275" s="269" t="n">
        <v>1508.51906557005</v>
      </c>
      <c r="AD275" s="269" t="n">
        <v>1726.20226557005</v>
      </c>
      <c r="AE275" s="269">
        <f>IF(LEFT(F275,3)="10K",(0.417*1.07*K275),IF(LEFT(F275,3)="14K",(0.585*1.05*K275),IF(LEFT(F275,3)="18K",(0.75*1.05*K275),0)))</f>
        <v/>
      </c>
      <c r="AG275" s="270">
        <f>X275</f>
        <v/>
      </c>
    </row>
    <row r="276" ht="27" customFormat="1" customHeight="1" s="257">
      <c r="A276" s="258" t="n">
        <v>2</v>
      </c>
      <c r="B276" s="259" t="inlineStr">
        <is>
          <t>K01589B03 6.5"</t>
        </is>
      </c>
      <c r="C276" s="259" t="inlineStr">
        <is>
          <t>FSBG5387S8Y-6C</t>
        </is>
      </c>
      <c r="D276" s="259" t="n">
        <v>148439</v>
      </c>
      <c r="E276" s="259" t="n">
        <v>105</v>
      </c>
      <c r="F276" s="259" t="inlineStr">
        <is>
          <t>14K YG</t>
        </is>
      </c>
      <c r="G276" s="260" t="n">
        <v>1</v>
      </c>
      <c r="H276" s="261" t="n">
        <v>9.35</v>
      </c>
      <c r="I276" s="261" t="n">
        <v>0.2</v>
      </c>
      <c r="J276" s="261" t="n">
        <v>0.31</v>
      </c>
      <c r="K276" s="262">
        <f>H276-I276-J276</f>
        <v/>
      </c>
      <c r="L276" s="263" t="n">
        <v>2</v>
      </c>
      <c r="M276" s="263" t="inlineStr">
        <is>
          <t>W</t>
        </is>
      </c>
      <c r="N276" s="264" t="n">
        <v>29</v>
      </c>
      <c r="O276" s="265" t="n">
        <v>10</v>
      </c>
      <c r="P276" s="266" t="n">
        <v>0.98</v>
      </c>
      <c r="Q276" s="267" t="n"/>
      <c r="R276" s="267" t="n"/>
      <c r="S276" s="267">
        <f>G276*N276*0.02</f>
        <v/>
      </c>
      <c r="T276" s="267">
        <f>G276*2.3</f>
        <v/>
      </c>
      <c r="U276" s="267" t="n"/>
      <c r="V276" s="267" t="n"/>
      <c r="W276" s="267">
        <f>G276*N276*1</f>
        <v/>
      </c>
      <c r="X276" s="267">
        <f>K276*O276</f>
        <v/>
      </c>
      <c r="Y276" s="267">
        <f>($Y$272/31.1035*IF(LEFT(F276,3)="10K",(0.417*1.07*K276),IF(LEFT(F276,3)="14K",(0.585*1.05*K276),IF(LEFT(F276,3)="18K",(0.75*1.05*K276),0))))*0.5</f>
        <v/>
      </c>
      <c r="Z276" s="268">
        <f>($Z$272/31.1035*IF(LEFT(F276,3)="10K",(0.417*1.07*K276),IF(LEFT(F276,3)="14K",(0.585*1.05*K276),IF(LEFT(F276,3)="18K",(0.75*1.05*K276),0))))*0.5</f>
        <v/>
      </c>
      <c r="AA276" s="269">
        <f>2*K276</f>
        <v/>
      </c>
      <c r="AB276" s="269" t="n">
        <v>102.6</v>
      </c>
      <c r="AC276" s="269" t="n">
        <v>733.89621838905</v>
      </c>
      <c r="AD276" s="269" t="n">
        <v>836.49621838905</v>
      </c>
      <c r="AE276" s="269">
        <f>IF(LEFT(F276,3)="10K",(0.417*1.07*K276),IF(LEFT(F276,3)="14K",(0.585*1.05*K276),IF(LEFT(F276,3)="18K",(0.75*1.05*K276),0)))</f>
        <v/>
      </c>
      <c r="AG276" s="270">
        <f>X276</f>
        <v/>
      </c>
    </row>
    <row r="277" ht="96" customFormat="1" customHeight="1" s="257">
      <c r="A277" s="258" t="n">
        <v>4</v>
      </c>
      <c r="B277" s="259" t="inlineStr">
        <is>
          <t>K02645B01 6.75"</t>
        </is>
      </c>
      <c r="C277" s="259" t="inlineStr">
        <is>
          <t>FSBG5373S8Y</t>
        </is>
      </c>
      <c r="D277" s="259" t="n">
        <v>148439</v>
      </c>
      <c r="E277" s="259" t="n">
        <v>104</v>
      </c>
      <c r="F277" s="259" t="inlineStr">
        <is>
          <t>14K YG</t>
        </is>
      </c>
      <c r="G277" s="260" t="n">
        <v>3</v>
      </c>
      <c r="H277" s="261" t="n">
        <v>21.93</v>
      </c>
      <c r="I277" s="261" t="n">
        <v>0.41</v>
      </c>
      <c r="J277" s="261" t="n">
        <v>0.96</v>
      </c>
      <c r="K277" s="262">
        <f>H277-I277-J277</f>
        <v/>
      </c>
      <c r="L277" s="263" t="inlineStr">
        <is>
          <t>1.70mm
1.80mm
2.70mm
3.00mm
2.90mm
2.40mm
2.10mm</t>
        </is>
      </c>
      <c r="M277" s="263" t="inlineStr">
        <is>
          <t>W
W
W
W
W
W
W</t>
        </is>
      </c>
      <c r="N277" s="264" t="inlineStr">
        <is>
          <t>2pcs
2pcs
1pcs
1pcs
2pcs
3pcs
1pcs</t>
        </is>
      </c>
      <c r="O277" s="265" t="n">
        <v>8.5</v>
      </c>
      <c r="P277" s="266" t="n">
        <v>2.06</v>
      </c>
      <c r="Q277" s="267" t="n"/>
      <c r="R277" s="267" t="n"/>
      <c r="S277" s="267">
        <f>G277*(2+2+1+1+2+3+1)*0.02</f>
        <v/>
      </c>
      <c r="T277" s="267">
        <f>G277*2.3</f>
        <v/>
      </c>
      <c r="U277" s="267" t="n"/>
      <c r="V277" s="267" t="n"/>
      <c r="W277" s="267">
        <f>G277*((2+2+1)*0.3+(1+1+2+3)*0.5)</f>
        <v/>
      </c>
      <c r="X277" s="267">
        <f>K277*O277</f>
        <v/>
      </c>
      <c r="Y277" s="267">
        <f>($Y$272/31.1035*IF(LEFT(F277,3)="10K",(0.417*1.07*K277),IF(LEFT(F277,3)="14K",(0.585*1.05*K277),IF(LEFT(F277,3)="18K",(0.75*1.05*K277),0))))*0.5</f>
        <v/>
      </c>
      <c r="Z277" s="268">
        <f>($Z$272/31.1035*IF(LEFT(F277,3)="10K",(0.417*1.07*K277),IF(LEFT(F277,3)="14K",(0.585*1.05*K277),IF(LEFT(F277,3)="18K",(0.75*1.05*K277),0))))*0.5</f>
        <v/>
      </c>
      <c r="AA277" s="269">
        <f>2*K277</f>
        <v/>
      </c>
      <c r="AB277" s="269" t="n">
        <v>156.26</v>
      </c>
      <c r="AC277" s="269" t="n">
        <v>1630.15702885862</v>
      </c>
      <c r="AD277" s="269" t="n">
        <v>1786.41702885862</v>
      </c>
      <c r="AE277" s="269">
        <f>IF(LEFT(F277,3)="10K",(0.417*1.07*K277),IF(LEFT(F277,3)="14K",(0.585*1.05*K277),IF(LEFT(F277,3)="18K",(0.75*1.05*K277),0)))</f>
        <v/>
      </c>
      <c r="AG277" s="270">
        <f>X277</f>
        <v/>
      </c>
    </row>
    <row r="278" ht="27" customFormat="1" customHeight="1" s="257">
      <c r="A278" s="258" t="n">
        <v>6</v>
      </c>
      <c r="B278" s="259" t="inlineStr">
        <is>
          <t>K0098R41 #6.5-8.0</t>
        </is>
      </c>
      <c r="C278" s="259" t="inlineStr">
        <is>
          <t>FSR5024W</t>
        </is>
      </c>
      <c r="D278" s="259" t="n">
        <v>148439</v>
      </c>
      <c r="E278" s="259" t="n">
        <v>108</v>
      </c>
      <c r="F278" s="259" t="inlineStr">
        <is>
          <t>14K WG</t>
        </is>
      </c>
      <c r="G278" s="260" t="n">
        <v>1</v>
      </c>
      <c r="H278" s="261" t="n">
        <v>2.46</v>
      </c>
      <c r="I278" s="261" t="n">
        <v>0</v>
      </c>
      <c r="J278" s="261" t="n">
        <v>0.16</v>
      </c>
      <c r="K278" s="262">
        <f>H278-I278-J278</f>
        <v/>
      </c>
      <c r="L278" s="263" t="n"/>
      <c r="M278" s="263" t="n"/>
      <c r="N278" s="264" t="n"/>
      <c r="O278" s="265" t="n">
        <v>12.5</v>
      </c>
      <c r="P278" s="266" t="n">
        <v>0</v>
      </c>
      <c r="Q278" s="267" t="n"/>
      <c r="R278" s="267" t="n"/>
      <c r="S278" s="267" t="n"/>
      <c r="T278" s="267">
        <f>G278*1.225</f>
        <v/>
      </c>
      <c r="U278" s="267">
        <f>IF(RIGHT(F278,2)="WG",K278*$AB$4,IF(RIGHT(F278,3)="WRG",K278*$AB$4+3*G278,IF(RIGHT(F278,3)="WYG",K278*$AB$4+3*G278,IF(RIGHT(F278,3)="WYR",K278*$AB$4+3*G278,0))))</f>
        <v/>
      </c>
      <c r="V278" s="267" t="n"/>
      <c r="W278" s="267" t="n"/>
      <c r="X278" s="267">
        <f>K278*O278</f>
        <v/>
      </c>
      <c r="Y278" s="267">
        <f>($Y$272/31.1035*IF(LEFT(F278,3)="10K",(0.417*1.07*K278),IF(LEFT(F278,3)="14K",(0.585*1.05*K278),IF(LEFT(F278,3)="18K",(0.75*1.05*K278),0))))*0.5</f>
        <v/>
      </c>
      <c r="Z278" s="268">
        <f>($Z$272/31.1035*IF(LEFT(F278,3)="10K",(0.417*1.07*K278),IF(LEFT(F278,3)="14K",(0.585*1.05*K278),IF(LEFT(F278,3)="18K",(0.75*1.05*K278),0))))*0.5</f>
        <v/>
      </c>
      <c r="AA278" s="269">
        <f>2*K278</f>
        <v/>
      </c>
      <c r="AB278" s="269" t="n">
        <v>25.927</v>
      </c>
      <c r="AC278" s="269" t="n">
        <v>101.7198</v>
      </c>
      <c r="AD278" s="269" t="n">
        <v>127.6468</v>
      </c>
      <c r="AE278" s="269">
        <f>IF(LEFT(F278,3)="10K",(0.417*1.07*K278),IF(LEFT(F278,3)="14K",(0.585*1.05*K278),IF(LEFT(F278,3)="18K",(0.75*1.05*K278),0)))</f>
        <v/>
      </c>
      <c r="AG278" s="270">
        <f>X278</f>
        <v/>
      </c>
    </row>
    <row r="279" ht="41.25" customFormat="1" customHeight="1" s="257">
      <c r="A279" s="258" t="n">
        <v>7</v>
      </c>
      <c r="B279" s="259" t="inlineStr">
        <is>
          <t>K0107R131 #6.5-8</t>
        </is>
      </c>
      <c r="C279" s="259" t="inlineStr">
        <is>
          <t>FSR5016S8YW</t>
        </is>
      </c>
      <c r="D279" s="259" t="n">
        <v>148439</v>
      </c>
      <c r="E279" s="259" t="n">
        <v>109</v>
      </c>
      <c r="F279" s="259" t="inlineStr">
        <is>
          <t>14K WYG</t>
        </is>
      </c>
      <c r="G279" s="260" t="n">
        <v>3</v>
      </c>
      <c r="H279" s="261" t="n">
        <v>17.3</v>
      </c>
      <c r="I279" s="261" t="n">
        <v>0.36</v>
      </c>
      <c r="J279" s="261" t="n">
        <v>0.9</v>
      </c>
      <c r="K279" s="262">
        <f>H279-I279-J279</f>
        <v/>
      </c>
      <c r="L279" s="263" t="inlineStr">
        <is>
          <t>1.30mm
2.30mm
2.95mm</t>
        </is>
      </c>
      <c r="M279" s="263" t="inlineStr">
        <is>
          <t>W
W
W</t>
        </is>
      </c>
      <c r="N279" s="264" t="inlineStr">
        <is>
          <t>36pcs
2pcs
2pcs</t>
        </is>
      </c>
      <c r="O279" s="265" t="n">
        <v>10.5</v>
      </c>
      <c r="P279" s="266" t="n">
        <v>1.78</v>
      </c>
      <c r="Q279" s="267" t="n"/>
      <c r="R279" s="267" t="n"/>
      <c r="S279" s="267">
        <f>G279*(36+2+2)*0.02</f>
        <v/>
      </c>
      <c r="T279" s="267">
        <f>G279*4.3</f>
        <v/>
      </c>
      <c r="U279" s="267">
        <f>IF(RIGHT(F279,2)="WG",K279*$AB$4,IF(RIGHT(F279,3)="WRG",K279*$AB$4+3*G279,IF(RIGHT(F279,3)="WYG",K279*$AB$4+3*G279,IF(RIGHT(F279,3)="WYR",K279*$AB$4+3*G279,0))))</f>
        <v/>
      </c>
      <c r="V279" s="267" t="n"/>
      <c r="W279" s="267">
        <f>G279*((36+2)*0.3+2*0.5)</f>
        <v/>
      </c>
      <c r="X279" s="267">
        <f>K279*O279</f>
        <v/>
      </c>
      <c r="Y279" s="267">
        <f>($Y$272/31.1035*IF(LEFT(F279,3)="10K",(0.417*1.07*K279),IF(LEFT(F279,3)="14K",(0.585*1.05*K279),IF(LEFT(F279,3)="18K",(0.75*1.05*K279),0))))*0.5</f>
        <v/>
      </c>
      <c r="Z279" s="268">
        <f>($Z$272/31.1035*IF(LEFT(F279,3)="10K",(0.417*1.07*K279),IF(LEFT(F279,3)="14K",(0.585*1.05*K279),IF(LEFT(F279,3)="18K",(0.75*1.05*K279),0))))*0.5</f>
        <v/>
      </c>
      <c r="AA279" s="269">
        <f>2*K279</f>
        <v/>
      </c>
      <c r="AB279" s="269" t="n">
        <v>201.6896</v>
      </c>
      <c r="AC279" s="269" t="n">
        <v>1332.27311503317</v>
      </c>
      <c r="AD279" s="269" t="n">
        <v>1533.96271503317</v>
      </c>
      <c r="AE279" s="269">
        <f>IF(LEFT(F279,3)="10K",(0.417*1.07*K279),IF(LEFT(F279,3)="14K",(0.585*1.05*K279),IF(LEFT(F279,3)="18K",(0.75*1.05*K279),0)))</f>
        <v/>
      </c>
      <c r="AG279" s="270">
        <f>X279</f>
        <v/>
      </c>
    </row>
    <row r="280" ht="27" customFormat="1" customHeight="1" s="257">
      <c r="A280" s="258" t="n">
        <v>8</v>
      </c>
      <c r="B280" s="259" t="inlineStr">
        <is>
          <t>K02662B03 6.75"</t>
        </is>
      </c>
      <c r="C280" s="259" t="inlineStr">
        <is>
          <t>FSBG5377S8W</t>
        </is>
      </c>
      <c r="D280" s="259" t="n">
        <v>148439</v>
      </c>
      <c r="E280" s="259" t="n">
        <v>112</v>
      </c>
      <c r="F280" s="259" t="inlineStr">
        <is>
          <t>14K WG</t>
        </is>
      </c>
      <c r="G280" s="260" t="n">
        <v>1</v>
      </c>
      <c r="H280" s="261" t="n">
        <v>9.17</v>
      </c>
      <c r="I280" s="261" t="n">
        <v>0.07000000000000001</v>
      </c>
      <c r="J280" s="261" t="n">
        <v>0.32</v>
      </c>
      <c r="K280" s="262">
        <f>H280-I280-J280</f>
        <v/>
      </c>
      <c r="L280" s="263" t="n">
        <v>1</v>
      </c>
      <c r="M280" s="263" t="inlineStr">
        <is>
          <t>W</t>
        </is>
      </c>
      <c r="N280" s="264" t="n">
        <v>72</v>
      </c>
      <c r="O280" s="265" t="n">
        <v>9.5</v>
      </c>
      <c r="P280" s="266" t="n">
        <v>0.33</v>
      </c>
      <c r="Q280" s="267" t="n"/>
      <c r="R280" s="267" t="n"/>
      <c r="S280" s="267">
        <f>G280*(N280)*0.02</f>
        <v/>
      </c>
      <c r="T280" s="267">
        <f>G280*2.3</f>
        <v/>
      </c>
      <c r="U280" s="267">
        <f>IF(RIGHT(F280,2)="WG",K280*$AB$4,IF(RIGHT(F280,3)="WRG",K280*$AB$4+3*G280,IF(RIGHT(F280,3)="WYG",K280*$AB$4+3*G280,IF(RIGHT(F280,3)="WYR",K280*$AB$4+3*G280,0))))</f>
        <v/>
      </c>
      <c r="V280" s="267" t="n"/>
      <c r="W280" s="267">
        <f>G280*N280*0.3</f>
        <v/>
      </c>
      <c r="X280" s="267">
        <f>K280*O280</f>
        <v/>
      </c>
      <c r="Y280" s="267">
        <f>($Y$272/31.1035*IF(LEFT(F280,3)="10K",(0.417*1.07*K280),IF(LEFT(F280,3)="14K",(0.585*1.05*K280),IF(LEFT(F280,3)="18K",(0.75*1.05*K280),0))))*0.5</f>
        <v/>
      </c>
      <c r="Z280" s="268">
        <f>($Z$272/31.1035*IF(LEFT(F280,3)="10K",(0.417*1.07*K280),IF(LEFT(F280,3)="14K",(0.585*1.05*K280),IF(LEFT(F280,3)="18K",(0.75*1.05*K280),0))))*0.5</f>
        <v/>
      </c>
      <c r="AA280" s="269">
        <f>2*K280</f>
        <v/>
      </c>
      <c r="AB280" s="269" t="n">
        <v>93.2972</v>
      </c>
      <c r="AC280" s="269" t="n">
        <v>503.7835298657</v>
      </c>
      <c r="AD280" s="269" t="n">
        <v>597.0807298657001</v>
      </c>
      <c r="AE280" s="269">
        <f>IF(LEFT(F280,3)="10K",(0.417*1.07*K280),IF(LEFT(F280,3)="14K",(0.585*1.05*K280),IF(LEFT(F280,3)="18K",(0.75*1.05*K280),0)))</f>
        <v/>
      </c>
      <c r="AG280" s="270">
        <f>X280</f>
        <v/>
      </c>
    </row>
    <row r="281" ht="27" customFormat="1" customHeight="1" s="257">
      <c r="A281" s="258" t="n">
        <v>8</v>
      </c>
      <c r="B281" s="259" t="inlineStr">
        <is>
          <t>K02662B03 6.75"</t>
        </is>
      </c>
      <c r="C281" s="259" t="inlineStr">
        <is>
          <t>FSBG5377S8Y</t>
        </is>
      </c>
      <c r="D281" s="259" t="n">
        <v>148439</v>
      </c>
      <c r="E281" s="259" t="n">
        <v>111</v>
      </c>
      <c r="F281" s="259" t="inlineStr">
        <is>
          <t>14K YG</t>
        </is>
      </c>
      <c r="G281" s="260" t="n">
        <v>3</v>
      </c>
      <c r="H281" s="261" t="n">
        <v>26.24</v>
      </c>
      <c r="I281" s="261" t="n">
        <v>0.2</v>
      </c>
      <c r="J281" s="261" t="n">
        <v>0.96</v>
      </c>
      <c r="K281" s="262">
        <f>H281-I281-J281</f>
        <v/>
      </c>
      <c r="L281" s="263" t="n">
        <v>1</v>
      </c>
      <c r="M281" s="263" t="inlineStr">
        <is>
          <t>W</t>
        </is>
      </c>
      <c r="N281" s="264" t="n">
        <v>72</v>
      </c>
      <c r="O281" s="265" t="n">
        <v>9.5</v>
      </c>
      <c r="P281" s="266" t="n">
        <v>0.99</v>
      </c>
      <c r="Q281" s="267" t="n"/>
      <c r="R281" s="267" t="n"/>
      <c r="S281" s="267">
        <f>G281*(N281)*0.02</f>
        <v/>
      </c>
      <c r="T281" s="267">
        <f>G281*2.3</f>
        <v/>
      </c>
      <c r="U281" s="267">
        <f>IF(RIGHT(F281,2)="WG",K281*$AB$4,IF(RIGHT(F281,3)="WRG",K281*$AB$4+3*G281,IF(RIGHT(F281,3)="WYG",K281*$AB$4+3*G281,IF(RIGHT(F281,3)="WYR",K281*$AB$4+3*G281,0))))</f>
        <v/>
      </c>
      <c r="V281" s="267" t="n"/>
      <c r="W281" s="267">
        <f>G281*N281*0.3</f>
        <v/>
      </c>
      <c r="X281" s="267">
        <f>K281*O281</f>
        <v/>
      </c>
      <c r="Y281" s="267">
        <f>($Y$272/31.1035*IF(LEFT(F281,3)="10K",(0.417*1.07*K281),IF(LEFT(F281,3)="14K",(0.585*1.05*K281),IF(LEFT(F281,3)="18K",(0.75*1.05*K281),0))))*0.5</f>
        <v/>
      </c>
      <c r="Z281" s="268">
        <f>($Z$272/31.1035*IF(LEFT(F281,3)="10K",(0.417*1.07*K281),IF(LEFT(F281,3)="14K",(0.585*1.05*K281),IF(LEFT(F281,3)="18K",(0.75*1.05*K281),0))))*0.5</f>
        <v/>
      </c>
      <c r="AA281" s="269">
        <f>2*K281</f>
        <v/>
      </c>
      <c r="AB281" s="269" t="n">
        <v>264.12</v>
      </c>
      <c r="AC281" s="269" t="n">
        <v>1455.6258295971</v>
      </c>
      <c r="AD281" s="269" t="n">
        <v>1719.7458295971</v>
      </c>
      <c r="AE281" s="269">
        <f>IF(LEFT(F281,3)="10K",(0.417*1.07*K281),IF(LEFT(F281,3)="14K",(0.585*1.05*K281),IF(LEFT(F281,3)="18K",(0.75*1.05*K281),0)))</f>
        <v/>
      </c>
      <c r="AG281" s="270">
        <f>X281</f>
        <v/>
      </c>
    </row>
    <row r="282" ht="42" customFormat="1" customHeight="1" s="257">
      <c r="A282" s="258" t="n">
        <v>10</v>
      </c>
      <c r="B282" s="259" t="inlineStr">
        <is>
          <t>K0107R128 #6.5</t>
        </is>
      </c>
      <c r="C282" s="259" t="inlineStr">
        <is>
          <t>FSR5014K5W</t>
        </is>
      </c>
      <c r="D282" s="259" t="n">
        <v>148439</v>
      </c>
      <c r="E282" s="259" t="n">
        <v>114</v>
      </c>
      <c r="F282" s="259" t="inlineStr">
        <is>
          <t>14K WG</t>
        </is>
      </c>
      <c r="G282" s="260" t="n">
        <v>1</v>
      </c>
      <c r="H282" s="261" t="n">
        <v>6.12</v>
      </c>
      <c r="I282" s="261" t="n">
        <v>0.12</v>
      </c>
      <c r="J282" s="261" t="n">
        <v>0.26</v>
      </c>
      <c r="K282" s="262">
        <f>H282-I282-J282</f>
        <v/>
      </c>
      <c r="L282" s="263" t="inlineStr">
        <is>
          <t>EM 3.40*2.50
1.10mm</t>
        </is>
      </c>
      <c r="M282" s="263" t="inlineStr">
        <is>
          <t>W
W</t>
        </is>
      </c>
      <c r="N282" s="264" t="inlineStr">
        <is>
          <t>2pcs
60pcs</t>
        </is>
      </c>
      <c r="O282" s="265" t="n">
        <v>10</v>
      </c>
      <c r="P282" s="266" t="n">
        <v>0.62</v>
      </c>
      <c r="Q282" s="267" t="n"/>
      <c r="R282" s="267" t="n"/>
      <c r="S282" s="267">
        <f>G282*(2+60)*0.02</f>
        <v/>
      </c>
      <c r="T282" s="267">
        <f>G282*3.225</f>
        <v/>
      </c>
      <c r="U282" s="267">
        <f>IF(RIGHT(F282,2)="WG",K282*$AB$4,IF(RIGHT(F282,3)="WRG",K282*$AB$4+3*G282,IF(RIGHT(F282,3)="WYG",K282*$AB$4+3*G282,IF(RIGHT(F282,3)="WYR",K282*$AB$4+3*G282,0))))</f>
        <v/>
      </c>
      <c r="V282" s="267" t="n"/>
      <c r="W282" s="267">
        <f>G282*(2*3+60*0.3)</f>
        <v/>
      </c>
      <c r="X282" s="267">
        <f>K282*O282</f>
        <v/>
      </c>
      <c r="Y282" s="267">
        <f>($Y$272/31.1035*IF(LEFT(F282,3)="10K",(0.417*1.07*K282),IF(LEFT(F282,3)="14K",(0.585*1.05*K282),IF(LEFT(F282,3)="18K",(0.75*1.05*K282),0))))*0.5</f>
        <v/>
      </c>
      <c r="Z282" s="268">
        <f>($Z$272/31.1035*IF(LEFT(F282,3)="10K",(0.417*1.07*K282),IF(LEFT(F282,3)="14K",(0.585*1.05*K282),IF(LEFT(F282,3)="18K",(0.75*1.05*K282),0))))*0.5</f>
        <v/>
      </c>
      <c r="AA282" s="269">
        <f>2*K282</f>
        <v/>
      </c>
      <c r="AB282" s="269" t="n">
        <v>75.76260000000001</v>
      </c>
      <c r="AC282" s="269" t="n">
        <v>470.818254899195</v>
      </c>
      <c r="AD282" s="269" t="n">
        <v>546.5808548991949</v>
      </c>
      <c r="AE282" s="269">
        <f>IF(LEFT(F282,3)="10K",(0.417*1.07*K282),IF(LEFT(F282,3)="14K",(0.585*1.05*K282),IF(LEFT(F282,3)="18K",(0.75*1.05*K282),0)))</f>
        <v/>
      </c>
      <c r="AG282" s="270">
        <f>X282</f>
        <v/>
      </c>
    </row>
    <row r="283" ht="15.75" customFormat="1" customHeight="1" s="271">
      <c r="A283" s="272" t="inlineStr">
        <is>
          <t>SUBTOTAL</t>
        </is>
      </c>
      <c r="B283" s="273" t="n"/>
      <c r="C283" s="273" t="n"/>
      <c r="D283" s="273" t="n"/>
      <c r="E283" s="273" t="n"/>
      <c r="F283" s="273" t="n"/>
      <c r="G283" s="274">
        <f>SUM(G274:G282)</f>
        <v/>
      </c>
      <c r="H283" s="275" t="n"/>
      <c r="I283" s="275" t="n"/>
      <c r="J283" s="275" t="n"/>
      <c r="K283" s="275">
        <f>SUM(K274:K282)</f>
        <v/>
      </c>
      <c r="L283" s="276" t="n"/>
      <c r="M283" s="276" t="n"/>
      <c r="N283" s="276" t="n"/>
      <c r="O283" s="277" t="n"/>
      <c r="P283" s="278">
        <f>SUM(P274:P282)</f>
        <v/>
      </c>
      <c r="Q283" s="279">
        <f>SUM(Q274:Q282)</f>
        <v/>
      </c>
      <c r="R283" s="279">
        <f>SUM(R274:R282)</f>
        <v/>
      </c>
      <c r="S283" s="279" t="n"/>
      <c r="T283" s="279">
        <f>SUM(T274:T282)</f>
        <v/>
      </c>
      <c r="U283" s="279">
        <f>SUM(U274:U282)</f>
        <v/>
      </c>
      <c r="V283" s="279">
        <f>SUM(V274:V282)</f>
        <v/>
      </c>
      <c r="W283" s="279">
        <f>SUM(W274:W282)</f>
        <v/>
      </c>
      <c r="X283" s="279">
        <f>SUM(X274:X282)</f>
        <v/>
      </c>
      <c r="Y283" s="279">
        <f>SUM(Y274:Y282)</f>
        <v/>
      </c>
      <c r="Z283" s="280">
        <f>SUM(Z274:Z282)</f>
        <v/>
      </c>
      <c r="AA283" s="269" t="n"/>
      <c r="AB283" s="269" t="n"/>
      <c r="AC283" s="269" t="n"/>
      <c r="AD283" s="269" t="n"/>
      <c r="AE283" s="269" t="n"/>
      <c r="AG283" s="270" t="n"/>
    </row>
    <row r="284" ht="15.75" customHeight="1" s="240">
      <c r="A284" s="241" t="inlineStr">
        <is>
          <t>Buyer Dia</t>
        </is>
      </c>
      <c r="K284" s="242" t="n"/>
      <c r="L284" s="243" t="n"/>
      <c r="M284" s="243" t="n"/>
      <c r="N284" s="243" t="n"/>
      <c r="W284" s="244" t="n"/>
      <c r="X284" s="245" t="inlineStr">
        <is>
          <t>11 Apr London AM + 2%</t>
        </is>
      </c>
      <c r="Y284" s="246">
        <f>3213.75*1.02</f>
        <v/>
      </c>
      <c r="Z284" s="246">
        <f>3213.75*1.02</f>
        <v/>
      </c>
      <c r="AA284" s="269" t="n"/>
      <c r="AB284" s="269" t="n"/>
      <c r="AC284" s="269" t="n"/>
      <c r="AD284" s="269" t="n"/>
      <c r="AE284" s="269" t="n"/>
      <c r="AG284" s="270" t="n"/>
    </row>
    <row r="285" ht="27" customFormat="1" customHeight="1" s="247">
      <c r="A285" s="248" t="inlineStr">
        <is>
          <t>PO#</t>
        </is>
      </c>
      <c r="B285" s="249" t="inlineStr">
        <is>
          <t>Item No.</t>
        </is>
      </c>
      <c r="C285" s="249" t="inlineStr">
        <is>
          <t>Buyer No.</t>
        </is>
      </c>
      <c r="D285" s="249" t="inlineStr">
        <is>
          <t>Buyer PO</t>
        </is>
      </c>
      <c r="E285" s="249" t="inlineStr">
        <is>
          <t>IDD PO SERIAL#</t>
        </is>
      </c>
      <c r="F285" s="249" t="inlineStr">
        <is>
          <t>Metal</t>
        </is>
      </c>
      <c r="G285" s="249" t="inlineStr">
        <is>
          <t>Q'ty</t>
        </is>
      </c>
      <c r="H285" s="250" t="inlineStr">
        <is>
          <t>Total w't</t>
        </is>
      </c>
      <c r="I285" s="250" t="inlineStr">
        <is>
          <t>Dia w't</t>
        </is>
      </c>
      <c r="J285" s="250" t="inlineStr">
        <is>
          <t>Wire w't</t>
        </is>
      </c>
      <c r="K285" s="250" t="inlineStr">
        <is>
          <t>Gold w't</t>
        </is>
      </c>
      <c r="L285" s="251" t="inlineStr">
        <is>
          <t>Stone</t>
        </is>
      </c>
      <c r="M285" s="251" t="inlineStr">
        <is>
          <t>Color</t>
        </is>
      </c>
      <c r="N285" s="251" t="inlineStr">
        <is>
          <t>Stone Q'ty</t>
        </is>
      </c>
      <c r="O285" s="252" t="inlineStr">
        <is>
          <t>Labor</t>
        </is>
      </c>
      <c r="P285" s="253" t="inlineStr">
        <is>
          <t>Dia Carat</t>
        </is>
      </c>
      <c r="Q285" s="254" t="inlineStr">
        <is>
          <t>Extra Cost</t>
        </is>
      </c>
      <c r="R285" s="254" t="inlineStr">
        <is>
          <t>Dia Packaging Cost</t>
        </is>
      </c>
      <c r="S285" s="254" t="inlineStr">
        <is>
          <t>Dia Handling Service Fee</t>
        </is>
      </c>
      <c r="T285" s="254" t="inlineStr">
        <is>
          <t>Wire
Cost</t>
        </is>
      </c>
      <c r="U285" s="254" t="inlineStr">
        <is>
          <t>Plating Cost</t>
        </is>
      </c>
      <c r="V285" s="254" t="inlineStr">
        <is>
          <t>Stone
Cost</t>
        </is>
      </c>
      <c r="W285" s="254" t="inlineStr">
        <is>
          <t>Setting
Cost</t>
        </is>
      </c>
      <c r="X285" s="255" t="inlineStr">
        <is>
          <t>Labor
Cost</t>
        </is>
      </c>
      <c r="Y285" s="256" t="inlineStr">
        <is>
          <t>Gold &amp; 5%
Cost</t>
        </is>
      </c>
      <c r="Z285" s="255" t="inlineStr">
        <is>
          <t>Current Gold &amp;
5% Cost</t>
        </is>
      </c>
      <c r="AA285" s="269" t="n"/>
      <c r="AB285" s="269" t="n"/>
      <c r="AC285" s="269" t="n"/>
      <c r="AD285" s="269" t="n"/>
      <c r="AE285" s="269" t="n"/>
      <c r="AG285" s="270" t="n"/>
    </row>
    <row r="286" ht="27.75" customFormat="1" customHeight="1" s="257">
      <c r="A286" s="258" t="inlineStr">
        <is>
          <t>IDD250404RB-14K</t>
        </is>
      </c>
      <c r="B286" s="259" t="inlineStr">
        <is>
          <t>K0038B56 OV F 6.75"</t>
        </is>
      </c>
      <c r="C286" s="259" t="inlineStr">
        <is>
          <t>FSBG5076S8Y</t>
        </is>
      </c>
      <c r="D286" s="259" t="n">
        <v>148631</v>
      </c>
      <c r="E286" s="259" t="n">
        <v>105</v>
      </c>
      <c r="F286" s="259" t="inlineStr">
        <is>
          <t>14K YG</t>
        </is>
      </c>
      <c r="G286" s="260" t="n">
        <v>1</v>
      </c>
      <c r="H286" s="261" t="n">
        <v>16.18</v>
      </c>
      <c r="I286" s="261" t="n">
        <v>1.52</v>
      </c>
      <c r="J286" s="261" t="n">
        <v>0.44</v>
      </c>
      <c r="K286" s="262">
        <f>H286-I286-J286</f>
        <v/>
      </c>
      <c r="L286" s="263" t="n">
        <v>3.75</v>
      </c>
      <c r="M286" s="263" t="inlineStr">
        <is>
          <t>W</t>
        </is>
      </c>
      <c r="N286" s="264" t="n">
        <v>39</v>
      </c>
      <c r="O286" s="265" t="n">
        <v>10.5</v>
      </c>
      <c r="P286" s="266" t="n">
        <v>7.58</v>
      </c>
      <c r="Q286" s="267" t="n"/>
      <c r="R286" s="267" t="n"/>
      <c r="S286" s="267">
        <f>0.02*N286*G286</f>
        <v/>
      </c>
      <c r="T286" s="267">
        <f>2.3*G286</f>
        <v/>
      </c>
      <c r="U286" s="267">
        <f>IF(RIGHT(F286,2)="WG",K286*$AB$4,IF(RIGHT(F286,3)="WRG",K286*$AB$4+3*G286,IF(RIGHT(F286,3)="WYG",K286*$AB$4+3*G286,IF(RIGHT(F286,3)="WYR",K286*$AB$4+3*G286,0))))</f>
        <v/>
      </c>
      <c r="V286" s="267" t="n"/>
      <c r="W286" s="267">
        <f>G286*N286*0.75</f>
        <v/>
      </c>
      <c r="X286" s="267">
        <f>K286*O286</f>
        <v/>
      </c>
      <c r="Y286" s="267">
        <f>($Y$284/31.1035*IF(LEFT(F286,3)="10K",(0.417*1.07*K286),IF(LEFT(F286,3)="14K",(0.585*1.05*K286),IF(LEFT(F286,3)="18K",(0.75*1.05*K286),0))))*0.5</f>
        <v/>
      </c>
      <c r="Z286" s="268">
        <f>($Z$284/31.1035*IF(LEFT(F286,3)="10K",(0.417*1.07*K286),IF(LEFT(F286,3)="14K",(0.585*1.05*K286),IF(LEFT(F286,3)="18K",(0.75*1.05*K286),0))))*0.5</f>
        <v/>
      </c>
      <c r="AA286" s="269">
        <f>2*K286</f>
        <v/>
      </c>
      <c r="AB286" s="269" t="n">
        <v>153.2</v>
      </c>
      <c r="AC286" s="269" t="n">
        <v>3281.41709570306</v>
      </c>
      <c r="AD286" s="269" t="n">
        <v>3434.61709570306</v>
      </c>
      <c r="AE286" s="269">
        <f>IF(LEFT(F286,3)="10K",(0.417*1.07*K286),IF(LEFT(F286,3)="14K",(0.585*1.05*K286),IF(LEFT(F286,3)="18K",(0.75*1.05*K286),0)))</f>
        <v/>
      </c>
      <c r="AG286" s="270">
        <f>X286</f>
        <v/>
      </c>
    </row>
    <row r="287" ht="15.75" customFormat="1" customHeight="1" s="271">
      <c r="A287" s="272" t="inlineStr">
        <is>
          <t>SUBTOTAL</t>
        </is>
      </c>
      <c r="B287" s="273" t="n"/>
      <c r="C287" s="273" t="n"/>
      <c r="D287" s="273" t="n"/>
      <c r="E287" s="273" t="n"/>
      <c r="F287" s="273" t="n"/>
      <c r="G287" s="274">
        <f>SUM(G286)</f>
        <v/>
      </c>
      <c r="H287" s="275" t="n"/>
      <c r="I287" s="275" t="n"/>
      <c r="J287" s="275" t="n"/>
      <c r="K287" s="275">
        <f>SUM(K286)</f>
        <v/>
      </c>
      <c r="L287" s="276" t="n"/>
      <c r="M287" s="276" t="n"/>
      <c r="N287" s="276" t="n"/>
      <c r="O287" s="277" t="n"/>
      <c r="P287" s="278">
        <f>SUM(P286)</f>
        <v/>
      </c>
      <c r="Q287" s="279">
        <f>SUM(Q286)</f>
        <v/>
      </c>
      <c r="R287" s="279">
        <f>SUM(R286)</f>
        <v/>
      </c>
      <c r="S287" s="279">
        <f>SUM(S286)</f>
        <v/>
      </c>
      <c r="T287" s="279">
        <f>SUM(T286)</f>
        <v/>
      </c>
      <c r="U287" s="279">
        <f>SUM(U286)</f>
        <v/>
      </c>
      <c r="V287" s="279">
        <f>SUM(V286)</f>
        <v/>
      </c>
      <c r="W287" s="279">
        <f>SUM(W286)</f>
        <v/>
      </c>
      <c r="X287" s="279">
        <f>SUM(X286)</f>
        <v/>
      </c>
      <c r="Y287" s="279">
        <f>SUM(Y286)</f>
        <v/>
      </c>
      <c r="Z287" s="280">
        <f>SUM(Z286)</f>
        <v/>
      </c>
      <c r="AA287" s="269" t="n"/>
      <c r="AB287" s="286" t="n">
        <v>22906.1996</v>
      </c>
      <c r="AC287" s="286" t="n">
        <v>207771.882846775</v>
      </c>
      <c r="AD287" s="286" t="n">
        <v>230678.082446775</v>
      </c>
      <c r="AE287" s="286">
        <f>SUM(AE16:AE286)</f>
        <v/>
      </c>
      <c r="AG287" s="287">
        <f>SUM(AG16:AG286)</f>
        <v/>
      </c>
    </row>
    <row r="288" ht="15.75" customFormat="1" customHeight="1" s="271">
      <c r="A288" s="288" t="inlineStr">
        <is>
          <t>TOTAL</t>
        </is>
      </c>
      <c r="B288" s="172" t="n"/>
      <c r="C288" s="172" t="n"/>
      <c r="D288" s="172" t="n"/>
      <c r="E288" s="172" t="n"/>
      <c r="F288" s="172" t="n"/>
      <c r="G288" s="289">
        <f>SUM(G283,G271,G267,G262,G258,G251,G240,G231,G223,G214,G209,G201,G193,G187,G183,G173,G168,G162,G154,G147,G137,G133,G119,G103,G94,G85,G79,G65,G61,G56,G52,G48,G44,G40,G36,G25,G21,G17,G287)</f>
        <v/>
      </c>
      <c r="H288" s="290" t="n"/>
      <c r="I288" s="290" t="n"/>
      <c r="J288" s="290" t="n"/>
      <c r="K288" s="290">
        <f>SUM(K283,K271,K267,K262,K258,K251,K240,K231,K223,K214,K209,K201,K193,K187,K183,K173,K168,K162,K154,K147,K137,K133,K119,K103,K94,K85,K79,K65,K61,K56,K52,K48,K44,K40,K36,K25,K21,K17,K287)</f>
        <v/>
      </c>
      <c r="L288" s="291" t="n"/>
      <c r="M288" s="291" t="n"/>
      <c r="N288" s="291" t="n"/>
      <c r="O288" s="292" t="n"/>
      <c r="P288" s="293">
        <f>SUM(P283,P271,P267,P262,P258,P251,P240,P231,P223,P214,P209,P201,P193,P187,P183,P173,P168,P162,P154,P147,P137,P133,P119,P103,P94,P85,P79,P65,P61,P56,P52,P48,P44,P40,P36,P25,P21,P17,P287)</f>
        <v/>
      </c>
      <c r="Q288" s="294">
        <f>SUM(Q283,Q271,Q267,Q262,Q258,Q251,Q240,Q231,Q223,Q214,Q209,Q201,Q193,Q187,Q183,Q173,Q168,Q162,Q154,Q147,Q137,Q133,Q119,Q103,Q94,Q85,Q79,Q65,Q61,Q56,Q52,Q48,Q44,Q40,Q36,Q25,Q21,Q17,Q287)</f>
        <v/>
      </c>
      <c r="R288" s="294">
        <f>SUM(R283,R271,R267,R262,R258,R251,R240,R231,R223,R214,R209,R201,R193,R187,R183,R173,R168,R162,R154,R147,R137,R133,R119,R103,R94,R85,R79,R65,R61,R56,R52,R48,R44,R40,R36,R25,R21,R17,R287)</f>
        <v/>
      </c>
      <c r="S288" s="294">
        <f>SUM(S283,S271,S267,S262,S258,S251,S240,S231,S223,S214,S209,S201,S193,S187,S183,S173,S168,S162,S154,S147,S137,S133,S119,S103,S94,S85,S79,S65,S61,S56,S52,S48,S44,S40,S36,S25,S21,S17,S287)</f>
        <v/>
      </c>
      <c r="T288" s="294">
        <f>SUM(T283,T271,T267,T262,T258,T251,T240,T231,T223,T214,T209,T201,T193,T187,T183,T173,T168,T162,T154,T147,T137,T133,T119,T103,T94,T85,T79,T65,T61,T56,T52,T48,T44,T40,T36,T25,T21,T17,T287)</f>
        <v/>
      </c>
      <c r="U288" s="294">
        <f>SUM(U283,U271,U267,U262,U258,U251,U240,U231,U223,U214,U209,U201,U193,U187,U183,U173,U168,U162,U154,U147,U137,U133,U119,U103,U94,U85,U79,U65,U61,U56,U52,U48,U44,U40,U36,U25,U21,U17,U287)</f>
        <v/>
      </c>
      <c r="V288" s="294">
        <f>SUM(V283,V271,V267,V262,V258,V251,V240,V231,V223,V214,V209,V201,V193,V187,V183,V173,V168,V162,V154,V147,V137,V133,V119,V103,V94,V85,V79,V65,V61,V56,V52,V48,V44,V40,V36,V25,V21,V17,V287)</f>
        <v/>
      </c>
      <c r="W288" s="294">
        <f>SUM(W283,W271,W267,W262,W258,W251,W240,W231,W223,W214,W209,W201,W193,W187,W183,W173,W168,W162,W154,W147,W137,W133,W119,W103,W94,W85,W79,W65,W61,W56,W52,W48,W44,W40,W36,W25,W21,W17,W287)</f>
        <v/>
      </c>
      <c r="X288" s="294">
        <f>SUM(X283,X271,X267,X262,X258,X251,X240,X231,X223,X214,X209,X201,X193,X187,X183,X173,X168,X162,X154,X147,X137,X133,X119,X103,X94,X85,X79,X65,X61,X56,X52,X48,X44,X40,X36,X25,X21,X17,X287)</f>
        <v/>
      </c>
      <c r="Y288" s="294">
        <f>SUM(Y283,Y271,Y267,Y262,Y258,Y251,Y240,Y231,Y223,Y214,Y209,Y201,Y193,Y187,Y183,Y173,Y168,Y162,Y154,Y147,Y137,Y133,Y119,Y103,Y94,Y85,Y79,Y65,Y61,Y56,Y52,Y48,Y44,Y40,Y36,Y25,Y21,Y17,Y287)</f>
        <v/>
      </c>
      <c r="Z288" s="295">
        <f>SUM(Z283,Z271,Z267,Z262,Z258,Z251,Z240,Z231,Z223,Z214,Z209,Z201,Z193,Z187,Z183,Z173,Z168,Z162,Z154,Z147,Z137,Z133,Z119,Z103,Z94,Z85,Z79,Z65,Z61,Z56,Z52,Z48,Z44,Z40,Z36,Z25,Z21,Z17,Z287)</f>
        <v/>
      </c>
      <c r="AA288" s="269" t="n"/>
      <c r="AB288" s="269" t="n"/>
      <c r="AC288" s="269" t="n"/>
      <c r="AD288" s="269" t="n"/>
      <c r="AE288" s="269" t="n"/>
    </row>
    <row r="289" ht="15.75" customFormat="1" customHeight="1" s="271">
      <c r="A289" s="296" t="n">
        <v>20</v>
      </c>
      <c r="B289" s="297" t="n"/>
      <c r="C289" s="297" t="n"/>
      <c r="D289" s="297" t="n"/>
      <c r="E289" s="297" t="n"/>
      <c r="F289" s="297" t="n"/>
      <c r="G289" s="297" t="n"/>
      <c r="H289" s="298" t="n"/>
      <c r="I289" s="298" t="n"/>
      <c r="J289" s="298" t="n"/>
      <c r="K289" s="298" t="n"/>
      <c r="L289" s="299" t="n"/>
      <c r="M289" s="299" t="n"/>
      <c r="N289" s="299" t="n"/>
      <c r="O289" s="300" t="n"/>
      <c r="P289" s="301" t="n"/>
      <c r="Q289" s="302" t="n"/>
      <c r="R289" s="302" t="n"/>
      <c r="S289" s="302" t="n"/>
      <c r="T289" s="302" t="n"/>
      <c r="U289" s="302" t="n"/>
      <c r="V289" s="303" t="n"/>
      <c r="W289" s="304" t="inlineStr">
        <is>
          <t>FREIGHT CHARGE</t>
        </is>
      </c>
      <c r="X289" s="303" t="n"/>
      <c r="Y289" s="302" t="n"/>
      <c r="Z289" s="305" t="n"/>
      <c r="AB289" s="306" t="n"/>
      <c r="AC289" s="306" t="n"/>
      <c r="AD289" s="306" t="n"/>
      <c r="AE289" s="306" t="n"/>
    </row>
    <row r="290" ht="18" customFormat="1" customHeight="1" s="271">
      <c r="A290" s="307" t="n">
        <v>20</v>
      </c>
      <c r="B290" s="308" t="n"/>
      <c r="C290" s="309" t="n"/>
      <c r="D290" s="309" t="n"/>
      <c r="E290" s="309" t="n"/>
      <c r="F290" s="309" t="n"/>
      <c r="G290" s="309" t="n"/>
      <c r="H290" s="309" t="n"/>
      <c r="I290" s="173" t="n"/>
      <c r="J290" s="173" t="n"/>
      <c r="K290" s="173" t="n"/>
      <c r="L290" s="177" t="n"/>
      <c r="M290" s="177" t="n"/>
      <c r="N290" s="177" t="n"/>
      <c r="O290" s="176" t="n"/>
      <c r="P290" s="178" t="n"/>
      <c r="Q290" s="310" t="n"/>
      <c r="R290" s="310" t="n"/>
      <c r="S290" s="310" t="n"/>
      <c r="T290" s="310" t="n"/>
      <c r="U290" s="310" t="n"/>
      <c r="W290" s="311" t="inlineStr">
        <is>
          <t>Total Amount</t>
        </is>
      </c>
      <c r="X290" s="312">
        <f>SUM(Q288:Z288)</f>
        <v/>
      </c>
      <c r="Y290" s="309" t="n"/>
      <c r="Z290" s="313" t="n"/>
    </row>
    <row r="291" ht="18" customFormat="1" customHeight="1" s="271">
      <c r="A291" s="314" t="inlineStr">
        <is>
          <t xml:space="preserve">All unpaid balance will be charged 1.5% per month. </t>
        </is>
      </c>
      <c r="B291" s="315" t="n"/>
      <c r="C291" s="315" t="n"/>
      <c r="D291" s="315" t="n"/>
      <c r="E291" s="315" t="n"/>
      <c r="F291" s="316" t="n"/>
      <c r="G291" s="316" t="n"/>
      <c r="H291" s="317" t="n"/>
      <c r="I291" s="173" t="n"/>
      <c r="J291" s="173" t="n"/>
      <c r="K291" s="173" t="n"/>
      <c r="L291" s="177" t="n"/>
      <c r="M291" s="177" t="n"/>
      <c r="N291" s="177" t="n"/>
      <c r="O291" s="176" t="n"/>
      <c r="P291" s="178" t="n"/>
      <c r="Q291" s="310" t="n"/>
      <c r="R291" s="310" t="n"/>
      <c r="S291" s="310" t="n"/>
      <c r="T291" s="310" t="n"/>
      <c r="U291" s="310" t="n"/>
      <c r="W291" s="311" t="inlineStr">
        <is>
          <t>Deposit</t>
        </is>
      </c>
      <c r="X291" s="313" t="n"/>
      <c r="Z291" s="318" t="n"/>
    </row>
    <row r="292" ht="15" customHeight="1" s="240">
      <c r="A292" s="307" t="n"/>
      <c r="B292" s="319" t="n"/>
      <c r="C292" s="319" t="n"/>
      <c r="D292" s="319" t="n"/>
      <c r="E292" s="319" t="n"/>
      <c r="G292" s="180" t="n"/>
      <c r="K292" s="173" t="n"/>
      <c r="L292" s="177" t="n"/>
      <c r="M292" s="177" t="n"/>
      <c r="N292" s="177" t="n"/>
      <c r="P292" s="178" t="n"/>
      <c r="V292" s="180" t="n"/>
      <c r="W292" s="311" t="inlineStr">
        <is>
          <t>Balance</t>
        </is>
      </c>
      <c r="X292" s="313">
        <f>X290-X291</f>
        <v/>
      </c>
      <c r="Z292" s="318" t="n"/>
    </row>
    <row r="293" ht="20.25" customHeight="1" s="240">
      <c r="A293" s="241" t="n"/>
      <c r="G293" s="180" t="n"/>
      <c r="K293" s="173" t="n"/>
      <c r="L293" s="177" t="n"/>
      <c r="M293" s="177" t="n"/>
      <c r="N293" s="177" t="n"/>
      <c r="P293" s="178" t="n"/>
      <c r="V293" s="320" t="n"/>
      <c r="W293" s="320" t="n"/>
      <c r="X293" s="321" t="n"/>
      <c r="Z293" s="322" t="n"/>
    </row>
    <row r="294" ht="22.5" customHeight="1" s="240">
      <c r="A294" s="241" t="n"/>
      <c r="B294" s="323" t="n"/>
      <c r="C294" s="323" t="n"/>
      <c r="D294" s="323" t="n"/>
      <c r="E294" s="323" t="n"/>
      <c r="G294" s="180" t="n"/>
      <c r="K294" s="173" t="n"/>
      <c r="L294" s="177" t="n"/>
      <c r="M294" s="177" t="n"/>
      <c r="N294" s="177" t="n"/>
      <c r="P294" s="178" t="n"/>
      <c r="V294" s="320" t="n"/>
      <c r="W294" s="320" t="n"/>
      <c r="X294" s="324" t="n"/>
    </row>
    <row r="295" ht="15.75" customFormat="1" customHeight="1" s="180">
      <c r="A295" s="325" t="n"/>
      <c r="B295" s="323" t="n"/>
      <c r="C295" s="323" t="n"/>
      <c r="D295" s="323" t="n"/>
      <c r="E295" s="323" t="n"/>
      <c r="F295" s="326" t="n"/>
      <c r="G295" s="326" t="n"/>
      <c r="H295" s="327" t="n"/>
      <c r="I295" s="327" t="n"/>
      <c r="J295" s="328" t="n"/>
      <c r="K295" s="327" t="n"/>
      <c r="L295" s="326" t="n"/>
      <c r="M295" s="326" t="n"/>
      <c r="N295" s="326" t="n"/>
      <c r="O295" s="329" t="n"/>
      <c r="P295" s="330" t="n"/>
      <c r="Q295" s="330" t="n"/>
      <c r="R295" s="330" t="n"/>
      <c r="S295" s="330" t="n"/>
      <c r="T295" s="330" t="n"/>
      <c r="U295" s="330" t="n"/>
      <c r="W295" s="331" t="n"/>
      <c r="X295" s="332" t="n"/>
      <c r="Y295" s="332" t="n"/>
      <c r="Z295" s="332" t="n"/>
    </row>
    <row r="296" ht="15.75" customHeight="1" s="240">
      <c r="A296" s="325" t="n"/>
      <c r="B296" s="323" t="n"/>
      <c r="C296" s="323" t="n"/>
      <c r="D296" s="323" t="n"/>
      <c r="E296" s="323" t="n"/>
      <c r="F296" s="326" t="n"/>
      <c r="G296" s="326" t="n"/>
      <c r="H296" s="327" t="n"/>
      <c r="I296" s="327" t="n"/>
      <c r="J296" s="327" t="n"/>
      <c r="K296" s="327" t="n"/>
      <c r="L296" s="326" t="n"/>
      <c r="M296" s="326" t="n"/>
      <c r="N296" s="326" t="n"/>
      <c r="O296" s="329" t="n"/>
      <c r="P296" s="330" t="n"/>
      <c r="Q296" s="330" t="n"/>
      <c r="R296" s="330" t="n"/>
      <c r="S296" s="330" t="n"/>
      <c r="T296" s="330" t="n"/>
      <c r="U296" s="330" t="n"/>
      <c r="V296" s="333" t="n"/>
      <c r="W296" s="333" t="n"/>
      <c r="X296" s="326" t="n"/>
      <c r="Y296" s="326" t="n"/>
      <c r="Z296" s="326" t="n"/>
    </row>
    <row r="297" ht="13.5" customHeight="1" s="240">
      <c r="A297" s="334" t="n"/>
      <c r="B297" s="323" t="n"/>
      <c r="C297" s="323" t="n"/>
      <c r="D297" s="323" t="n"/>
      <c r="E297" s="323" t="n"/>
      <c r="F297" s="326" t="n"/>
      <c r="G297" s="326" t="n"/>
      <c r="H297" s="327" t="n"/>
      <c r="I297" s="327" t="n"/>
      <c r="J297" s="327" t="n"/>
      <c r="K297" s="327" t="n"/>
      <c r="L297" s="326" t="n"/>
      <c r="M297" s="326" t="n"/>
      <c r="N297" s="326" t="n"/>
      <c r="O297" s="335" t="n"/>
      <c r="P297" s="326" t="n"/>
      <c r="Q297" s="326" t="n"/>
      <c r="R297" s="326" t="n"/>
      <c r="S297" s="326" t="n"/>
      <c r="T297" s="326" t="n"/>
      <c r="U297" s="326" t="n"/>
      <c r="V297" s="336" t="inlineStr">
        <is>
          <t>SIGNED BY</t>
        </is>
      </c>
      <c r="W297" s="333" t="n"/>
      <c r="X297" s="337" t="inlineStr">
        <is>
          <t>PRESIDENT     J.E. PARK</t>
        </is>
      </c>
      <c r="Y297" s="326" t="n"/>
      <c r="Z297" s="326" t="n"/>
    </row>
    <row r="298" ht="12.75" customFormat="1" customHeight="1" s="326">
      <c r="A298" s="338" t="n"/>
      <c r="B298" s="339" t="n"/>
      <c r="C298" s="339" t="n"/>
      <c r="D298" s="339" t="n"/>
      <c r="E298" s="339" t="n"/>
      <c r="F298" s="340" t="n"/>
      <c r="G298" s="340" t="n"/>
      <c r="H298" s="341" t="n"/>
      <c r="I298" s="341" t="n"/>
      <c r="J298" s="341" t="n"/>
      <c r="K298" s="341" t="n"/>
      <c r="L298" s="340" t="n"/>
      <c r="M298" s="340" t="n"/>
      <c r="N298" s="340" t="n"/>
      <c r="O298" s="342" t="n"/>
      <c r="P298" s="340" t="n"/>
      <c r="Q298" s="340" t="n"/>
      <c r="R298" s="340" t="n"/>
      <c r="S298" s="340" t="n"/>
      <c r="T298" s="340" t="n"/>
      <c r="U298" s="340" t="n"/>
      <c r="V298" s="343" t="n"/>
      <c r="W298" s="343" t="n"/>
      <c r="X298" s="340" t="n"/>
      <c r="Y298" s="340" t="n"/>
    </row>
    <row r="299" ht="12.75" customFormat="1" customHeight="1" s="332">
      <c r="A299" s="172" t="n"/>
      <c r="B299" s="172" t="n"/>
      <c r="C299" s="172" t="n"/>
      <c r="D299" s="172" t="n"/>
      <c r="E299" s="172" t="n"/>
      <c r="F299" s="172" t="n"/>
      <c r="G299" s="172" t="n"/>
      <c r="H299" s="173" t="n"/>
      <c r="I299" s="173" t="n"/>
      <c r="J299" s="173" t="n"/>
      <c r="K299" s="174" t="n"/>
      <c r="L299" s="175" t="n"/>
      <c r="M299" s="175" t="n"/>
      <c r="N299" s="175" t="n"/>
      <c r="O299" s="176" t="n"/>
      <c r="P299" s="177" t="n"/>
      <c r="Q299" s="178" t="n"/>
      <c r="R299" s="178" t="n"/>
      <c r="S299" s="178" t="n"/>
      <c r="T299" s="178" t="n"/>
      <c r="U299" s="178" t="n"/>
      <c r="V299" s="178" t="n"/>
      <c r="W299" s="178" t="n"/>
      <c r="X299" s="179" t="n"/>
      <c r="Y299" s="180" t="n"/>
      <c r="Z299" s="180" t="n"/>
    </row>
    <row r="300" ht="12.75" customFormat="1" customHeight="1" s="326">
      <c r="A300" s="172" t="n"/>
      <c r="B300" s="172" t="n"/>
      <c r="C300" s="172" t="n"/>
      <c r="D300" s="172" t="n"/>
      <c r="E300" s="172" t="n"/>
      <c r="F300" s="172" t="n"/>
      <c r="G300" s="172" t="n"/>
      <c r="H300" s="173" t="n"/>
      <c r="I300" s="173" t="n"/>
      <c r="J300" s="173" t="n"/>
      <c r="K300" s="174" t="n"/>
      <c r="L300" s="175" t="n"/>
      <c r="M300" s="175" t="n"/>
      <c r="N300" s="175" t="n"/>
      <c r="O300" s="176" t="n"/>
      <c r="P300" s="177" t="n"/>
      <c r="Q300" s="178" t="n"/>
      <c r="R300" s="178" t="n"/>
      <c r="S300" s="178" t="n"/>
      <c r="T300" s="178" t="n"/>
      <c r="U300" s="178" t="n"/>
      <c r="V300" s="178" t="n"/>
      <c r="W300" s="178" t="n"/>
      <c r="X300" s="179" t="n"/>
      <c r="Y300" s="180" t="n"/>
      <c r="Z300" s="180" t="n"/>
    </row>
    <row r="301" ht="12.75" customFormat="1" customHeight="1" s="326">
      <c r="A301" s="172" t="n"/>
      <c r="B301" s="172" t="n"/>
      <c r="C301" s="172" t="n"/>
      <c r="D301" s="172" t="n"/>
      <c r="E301" s="172" t="n"/>
      <c r="F301" s="172" t="n"/>
      <c r="G301" s="172" t="n"/>
      <c r="H301" s="173" t="n"/>
      <c r="I301" s="173" t="n"/>
      <c r="J301" s="173" t="n"/>
      <c r="K301" s="174" t="n"/>
      <c r="L301" s="175" t="n"/>
      <c r="M301" s="175" t="n"/>
      <c r="N301" s="175" t="n"/>
      <c r="O301" s="176" t="n"/>
      <c r="P301" s="177" t="n"/>
      <c r="Q301" s="178" t="n"/>
      <c r="R301" s="178" t="n"/>
      <c r="S301" s="178" t="n"/>
      <c r="T301" s="178" t="n"/>
      <c r="U301" s="178" t="n"/>
      <c r="V301" s="178" t="n"/>
      <c r="W301" s="178" t="n"/>
      <c r="X301" s="179" t="n"/>
      <c r="Y301" s="180" t="n"/>
      <c r="Z301" s="180" t="n"/>
    </row>
    <row r="302" ht="12.75" customFormat="1" customHeight="1" s="326">
      <c r="A302" s="172" t="n"/>
      <c r="B302" s="172" t="n"/>
      <c r="C302" s="172" t="n"/>
      <c r="D302" s="172" t="n"/>
      <c r="E302" s="172" t="n"/>
      <c r="F302" s="172" t="n"/>
      <c r="G302" s="172" t="n"/>
      <c r="H302" s="173" t="n"/>
      <c r="I302" s="173" t="n"/>
      <c r="J302" s="173" t="n"/>
      <c r="K302" s="174" t="n"/>
      <c r="L302" s="175" t="n"/>
      <c r="M302" s="175" t="n"/>
      <c r="N302" s="175" t="n"/>
      <c r="O302" s="176" t="n"/>
      <c r="P302" s="177" t="n"/>
      <c r="Q302" s="178" t="n"/>
      <c r="R302" s="178" t="n"/>
      <c r="S302" s="178" t="n"/>
      <c r="T302" s="178" t="n"/>
      <c r="U302" s="178" t="n"/>
      <c r="V302" s="178" t="n"/>
      <c r="W302" s="178" t="n"/>
      <c r="X302" s="179" t="n"/>
      <c r="Y302" s="180" t="n"/>
      <c r="Z302" s="180" t="n"/>
    </row>
  </sheetData>
  <mergeCells count="8">
    <mergeCell ref="X293:Y293"/>
    <mergeCell ref="B290:H290"/>
    <mergeCell ref="A1:Z1"/>
    <mergeCell ref="X292:Y292"/>
    <mergeCell ref="A3:Z3"/>
    <mergeCell ref="A2:Z2"/>
    <mergeCell ref="X291:Y291"/>
    <mergeCell ref="X290:Y290"/>
  </mergeCells>
  <printOptions horizontalCentered="0" verticalCentered="0" headings="0" gridLines="0" gridLinesSet="1"/>
  <pageMargins left="0" right="0" top="0.196527777777778" bottom="0" header="0.511811023622047" footer="0.511811023622047"/>
  <pageSetup orientation="landscape" paperSize="9" scale="100" fitToHeight="0" fitToWidth="1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hkjung</dc:creator>
  <dc:language xmlns:dc="http://purl.org/dc/elements/1.1/">en-US</dc:language>
  <dcterms:created xmlns:dcterms="http://purl.org/dc/terms/" xmlns:xsi="http://www.w3.org/2001/XMLSchema-instance" xsi:type="dcterms:W3CDTF">2018-02-12T04:12:08Z</dcterms:created>
  <dcterms:modified xmlns:dcterms="http://purl.org/dc/terms/" xmlns:xsi="http://www.w3.org/2001/XMLSchema-instance" xsi:type="dcterms:W3CDTF">2025-05-15T13:52:59Z</dcterms:modified>
  <cp:revision>1</cp:revision>
  <cp:lastPrinted>2018-08-29T01:12:30Z</cp:lastPrinted>
</cp:coreProperties>
</file>