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0.10.11.217\Sharing EPO Team\GOLD EXPORT\250426\CLEARANCE\"/>
    </mc:Choice>
  </mc:AlternateContent>
  <xr:revisionPtr revIDLastSave="0" documentId="13_ncr:1_{50388276-4FFE-48BB-AF5D-1F11CCBDC9F9}" xr6:coauthVersionLast="45" xr6:coauthVersionMax="47" xr10:uidLastSave="{00000000-0000-0000-0000-000000000000}"/>
  <bookViews>
    <workbookView xWindow="38280" yWindow="6810" windowWidth="20730" windowHeight="11040" xr2:uid="{00000000-000D-0000-FFFF-FFFF00000000}"/>
  </bookViews>
  <sheets>
    <sheet name="PI" sheetId="1" r:id="rId1"/>
  </sheets>
  <definedNames>
    <definedName name="GOLD">PI!#REF!</definedName>
    <definedName name="GOLD_1102">PI!#REF!</definedName>
    <definedName name="LABOR">#REF!</definedName>
    <definedName name="LABOR1">PI!#REF!</definedName>
    <definedName name="_xlnm.Print_Area" localSheetId="0">PI!$A$1:$Y$205</definedName>
    <definedName name="_xlnm.Print_Titles" localSheetId="0">PI!$1:$13</definedName>
    <definedName name="SETTING">PI!#REF!</definedName>
    <definedName name="SETTING1">#REF!</definedName>
    <definedName name="SILVER">PI!#REF!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94" i="1" l="1"/>
  <c r="U193" i="1" l="1"/>
  <c r="U194" i="1" s="1"/>
  <c r="K193" i="1"/>
  <c r="Z193" i="1" s="1"/>
  <c r="AG191" i="1"/>
  <c r="X194" i="1"/>
  <c r="W194" i="1"/>
  <c r="V194" i="1"/>
  <c r="T194" i="1"/>
  <c r="S194" i="1"/>
  <c r="R194" i="1"/>
  <c r="P194" i="1"/>
  <c r="G194" i="1"/>
  <c r="K194" i="1" l="1"/>
  <c r="Y193" i="1"/>
  <c r="AE193" i="1" s="1"/>
  <c r="AA193" i="1" s="1"/>
  <c r="Q193" i="1"/>
  <c r="AB193" i="1" s="1"/>
  <c r="AC193" i="1" l="1"/>
  <c r="Q194" i="1"/>
  <c r="Y194" i="1"/>
  <c r="X190" i="1"/>
  <c r="W190" i="1"/>
  <c r="V190" i="1"/>
  <c r="T190" i="1"/>
  <c r="S190" i="1"/>
  <c r="R190" i="1"/>
  <c r="P190" i="1"/>
  <c r="G190" i="1"/>
  <c r="AG189" i="1"/>
  <c r="AG190" i="1" s="1"/>
  <c r="K189" i="1"/>
  <c r="AG187" i="1"/>
  <c r="Y189" i="1" l="1"/>
  <c r="Z189" i="1"/>
  <c r="AE189" i="1"/>
  <c r="U190" i="1"/>
  <c r="K190" i="1"/>
  <c r="Q189" i="1"/>
  <c r="AB189" i="1" s="1"/>
  <c r="AA189" i="1" l="1"/>
  <c r="AC189" i="1"/>
  <c r="Y190" i="1"/>
  <c r="Q190" i="1"/>
  <c r="X186" i="1" l="1"/>
  <c r="W186" i="1"/>
  <c r="V186" i="1"/>
  <c r="T186" i="1"/>
  <c r="S186" i="1"/>
  <c r="R186" i="1"/>
  <c r="P186" i="1"/>
  <c r="G186" i="1"/>
  <c r="U185" i="1"/>
  <c r="U186" i="1" s="1"/>
  <c r="K185" i="1"/>
  <c r="Z185" i="1" s="1"/>
  <c r="AG183" i="1"/>
  <c r="K186" i="1" l="1"/>
  <c r="Y185" i="1"/>
  <c r="AE185" i="1" s="1"/>
  <c r="AA185" i="1" s="1"/>
  <c r="Q185" i="1"/>
  <c r="AB185" i="1" s="1"/>
  <c r="AC185" i="1" l="1"/>
  <c r="Q186" i="1"/>
  <c r="Y186" i="1"/>
  <c r="X182" i="1" l="1"/>
  <c r="W182" i="1"/>
  <c r="V182" i="1"/>
  <c r="T182" i="1"/>
  <c r="S182" i="1"/>
  <c r="R182" i="1"/>
  <c r="P182" i="1"/>
  <c r="G182" i="1"/>
  <c r="U181" i="1"/>
  <c r="K181" i="1"/>
  <c r="Z181" i="1" s="1"/>
  <c r="U180" i="1"/>
  <c r="K180" i="1"/>
  <c r="Z180" i="1" s="1"/>
  <c r="K179" i="1"/>
  <c r="Z179" i="1" s="1"/>
  <c r="U178" i="1"/>
  <c r="K178" i="1"/>
  <c r="Z178" i="1" s="1"/>
  <c r="U177" i="1"/>
  <c r="K177" i="1"/>
  <c r="Z177" i="1" s="1"/>
  <c r="U176" i="1"/>
  <c r="K176" i="1"/>
  <c r="Z176" i="1" s="1"/>
  <c r="AG174" i="1"/>
  <c r="Y180" i="1" l="1"/>
  <c r="AE180" i="1" s="1"/>
  <c r="AA180" i="1" s="1"/>
  <c r="Q180" i="1"/>
  <c r="AB180" i="1" s="1"/>
  <c r="U182" i="1"/>
  <c r="K182" i="1"/>
  <c r="Y176" i="1"/>
  <c r="AE176" i="1" s="1"/>
  <c r="AA176" i="1" s="1"/>
  <c r="Q176" i="1"/>
  <c r="AB176" i="1" s="1"/>
  <c r="Q181" i="1"/>
  <c r="AB181" i="1" s="1"/>
  <c r="Y181" i="1"/>
  <c r="AE181" i="1" s="1"/>
  <c r="AA181" i="1" s="1"/>
  <c r="Y177" i="1"/>
  <c r="AE177" i="1" s="1"/>
  <c r="AA177" i="1" s="1"/>
  <c r="Q177" i="1"/>
  <c r="AB177" i="1" s="1"/>
  <c r="Y178" i="1"/>
  <c r="AE178" i="1" s="1"/>
  <c r="AA178" i="1" s="1"/>
  <c r="Q178" i="1"/>
  <c r="AB178" i="1" s="1"/>
  <c r="Y179" i="1"/>
  <c r="AE179" i="1" s="1"/>
  <c r="AA179" i="1" s="1"/>
  <c r="Q179" i="1"/>
  <c r="AB179" i="1" s="1"/>
  <c r="AC181" i="1" l="1"/>
  <c r="AC179" i="1"/>
  <c r="AC176" i="1"/>
  <c r="AC178" i="1"/>
  <c r="AC180" i="1"/>
  <c r="AC177" i="1"/>
  <c r="Q182" i="1"/>
  <c r="Y182" i="1"/>
  <c r="X173" i="1" l="1"/>
  <c r="W173" i="1"/>
  <c r="V173" i="1"/>
  <c r="T173" i="1"/>
  <c r="S173" i="1"/>
  <c r="R173" i="1"/>
  <c r="P173" i="1"/>
  <c r="G173" i="1"/>
  <c r="K172" i="1"/>
  <c r="Z172" i="1" s="1"/>
  <c r="U171" i="1"/>
  <c r="K171" i="1"/>
  <c r="Z171" i="1" s="1"/>
  <c r="U170" i="1"/>
  <c r="K170" i="1"/>
  <c r="U169" i="1"/>
  <c r="K169" i="1"/>
  <c r="Z169" i="1" s="1"/>
  <c r="U168" i="1"/>
  <c r="K168" i="1"/>
  <c r="Z168" i="1" s="1"/>
  <c r="U167" i="1"/>
  <c r="K167" i="1"/>
  <c r="Z167" i="1" s="1"/>
  <c r="U166" i="1"/>
  <c r="K166" i="1"/>
  <c r="Z166" i="1" s="1"/>
  <c r="U165" i="1"/>
  <c r="K165" i="1"/>
  <c r="Z165" i="1" s="1"/>
  <c r="K164" i="1"/>
  <c r="Z164" i="1" s="1"/>
  <c r="AG162" i="1"/>
  <c r="Y170" i="1" l="1"/>
  <c r="AE170" i="1" s="1"/>
  <c r="Z170" i="1"/>
  <c r="Q171" i="1"/>
  <c r="AB171" i="1" s="1"/>
  <c r="Y171" i="1"/>
  <c r="AE171" i="1" s="1"/>
  <c r="AA171" i="1" s="1"/>
  <c r="U173" i="1"/>
  <c r="Y168" i="1"/>
  <c r="AE168" i="1" s="1"/>
  <c r="AA168" i="1" s="1"/>
  <c r="Q168" i="1"/>
  <c r="AB168" i="1" s="1"/>
  <c r="Y169" i="1"/>
  <c r="AE169" i="1" s="1"/>
  <c r="AA169" i="1" s="1"/>
  <c r="Q169" i="1"/>
  <c r="AB169" i="1" s="1"/>
  <c r="Q172" i="1"/>
  <c r="AB172" i="1" s="1"/>
  <c r="Y172" i="1"/>
  <c r="AE172" i="1" s="1"/>
  <c r="AA172" i="1" s="1"/>
  <c r="Y164" i="1"/>
  <c r="AE164" i="1" s="1"/>
  <c r="AA164" i="1" s="1"/>
  <c r="K173" i="1"/>
  <c r="Q164" i="1"/>
  <c r="AB164" i="1" s="1"/>
  <c r="Q165" i="1"/>
  <c r="AB165" i="1" s="1"/>
  <c r="Y165" i="1"/>
  <c r="AE165" i="1" s="1"/>
  <c r="AA165" i="1" s="1"/>
  <c r="Y166" i="1"/>
  <c r="AE166" i="1" s="1"/>
  <c r="AA166" i="1" s="1"/>
  <c r="Q166" i="1"/>
  <c r="AB166" i="1" s="1"/>
  <c r="Y167" i="1"/>
  <c r="AE167" i="1" s="1"/>
  <c r="AA167" i="1" s="1"/>
  <c r="Q167" i="1"/>
  <c r="AB167" i="1" s="1"/>
  <c r="Q170" i="1"/>
  <c r="AB170" i="1" s="1"/>
  <c r="AC168" i="1" l="1"/>
  <c r="AC167" i="1"/>
  <c r="AC166" i="1"/>
  <c r="AC169" i="1"/>
  <c r="AC165" i="1"/>
  <c r="AA170" i="1"/>
  <c r="AC170" i="1" s="1"/>
  <c r="AC172" i="1"/>
  <c r="AC171" i="1"/>
  <c r="AC164" i="1"/>
  <c r="Q173" i="1"/>
  <c r="Y173" i="1"/>
  <c r="X161" i="1" l="1"/>
  <c r="W161" i="1"/>
  <c r="V161" i="1"/>
  <c r="T161" i="1"/>
  <c r="S161" i="1"/>
  <c r="R161" i="1"/>
  <c r="P161" i="1"/>
  <c r="G161" i="1"/>
  <c r="K160" i="1"/>
  <c r="Z160" i="1" s="1"/>
  <c r="K159" i="1"/>
  <c r="Z159" i="1" s="1"/>
  <c r="K158" i="1"/>
  <c r="Z158" i="1" s="1"/>
  <c r="K157" i="1"/>
  <c r="Z157" i="1" s="1"/>
  <c r="K156" i="1"/>
  <c r="Z156" i="1" s="1"/>
  <c r="K155" i="1"/>
  <c r="Z155" i="1" s="1"/>
  <c r="U154" i="1"/>
  <c r="U161" i="1" s="1"/>
  <c r="K154" i="1"/>
  <c r="Z154" i="1" s="1"/>
  <c r="AG152" i="1"/>
  <c r="Y159" i="1" l="1"/>
  <c r="AE159" i="1" s="1"/>
  <c r="AA159" i="1" s="1"/>
  <c r="Q159" i="1"/>
  <c r="AB159" i="1" s="1"/>
  <c r="Y158" i="1"/>
  <c r="AE158" i="1" s="1"/>
  <c r="AA158" i="1" s="1"/>
  <c r="Q158" i="1"/>
  <c r="AB158" i="1" s="1"/>
  <c r="K161" i="1"/>
  <c r="Y154" i="1"/>
  <c r="AE154" i="1" s="1"/>
  <c r="AA154" i="1" s="1"/>
  <c r="Q154" i="1"/>
  <c r="AB154" i="1" s="1"/>
  <c r="Q155" i="1"/>
  <c r="AB155" i="1" s="1"/>
  <c r="Y155" i="1"/>
  <c r="AE155" i="1" s="1"/>
  <c r="AA155" i="1" s="1"/>
  <c r="Y156" i="1"/>
  <c r="AE156" i="1" s="1"/>
  <c r="AA156" i="1" s="1"/>
  <c r="Q156" i="1"/>
  <c r="AB156" i="1" s="1"/>
  <c r="Y157" i="1"/>
  <c r="AE157" i="1" s="1"/>
  <c r="AA157" i="1" s="1"/>
  <c r="Q157" i="1"/>
  <c r="AB157" i="1" s="1"/>
  <c r="Q160" i="1"/>
  <c r="AB160" i="1" s="1"/>
  <c r="Y160" i="1"/>
  <c r="AE160" i="1" s="1"/>
  <c r="AA160" i="1" s="1"/>
  <c r="AC160" i="1" l="1"/>
  <c r="AC155" i="1"/>
  <c r="AC157" i="1"/>
  <c r="AC154" i="1"/>
  <c r="AC156" i="1"/>
  <c r="AC158" i="1"/>
  <c r="AC159" i="1"/>
  <c r="Y161" i="1"/>
  <c r="Q161" i="1"/>
  <c r="X151" i="1" l="1"/>
  <c r="W151" i="1"/>
  <c r="V151" i="1"/>
  <c r="T151" i="1"/>
  <c r="S151" i="1"/>
  <c r="R151" i="1"/>
  <c r="P151" i="1"/>
  <c r="G151" i="1"/>
  <c r="K150" i="1"/>
  <c r="Z150" i="1" s="1"/>
  <c r="K149" i="1"/>
  <c r="Z149" i="1" s="1"/>
  <c r="K148" i="1"/>
  <c r="Z148" i="1" s="1"/>
  <c r="K147" i="1"/>
  <c r="Z147" i="1" s="1"/>
  <c r="K146" i="1"/>
  <c r="Z146" i="1" s="1"/>
  <c r="U145" i="1"/>
  <c r="K145" i="1"/>
  <c r="Z145" i="1" s="1"/>
  <c r="U144" i="1"/>
  <c r="K144" i="1"/>
  <c r="Z144" i="1" s="1"/>
  <c r="K143" i="1"/>
  <c r="Z143" i="1" s="1"/>
  <c r="U142" i="1"/>
  <c r="K142" i="1"/>
  <c r="Z142" i="1" s="1"/>
  <c r="U141" i="1"/>
  <c r="K141" i="1"/>
  <c r="Z141" i="1" s="1"/>
  <c r="U140" i="1"/>
  <c r="K140" i="1"/>
  <c r="Z140" i="1" s="1"/>
  <c r="U139" i="1"/>
  <c r="K139" i="1"/>
  <c r="Z139" i="1" s="1"/>
  <c r="U138" i="1"/>
  <c r="K138" i="1"/>
  <c r="Z138" i="1" s="1"/>
  <c r="U137" i="1"/>
  <c r="K137" i="1"/>
  <c r="Z137" i="1" s="1"/>
  <c r="U136" i="1"/>
  <c r="K136" i="1"/>
  <c r="Z136" i="1" s="1"/>
  <c r="U135" i="1"/>
  <c r="K135" i="1"/>
  <c r="Z135" i="1" s="1"/>
  <c r="U134" i="1"/>
  <c r="K134" i="1"/>
  <c r="Z134" i="1" s="1"/>
  <c r="AG132" i="1"/>
  <c r="Y144" i="1" l="1"/>
  <c r="AE144" i="1" s="1"/>
  <c r="AA144" i="1" s="1"/>
  <c r="Y140" i="1"/>
  <c r="AE140" i="1" s="1"/>
  <c r="AA140" i="1" s="1"/>
  <c r="Q140" i="1"/>
  <c r="AB140" i="1" s="1"/>
  <c r="Y149" i="1"/>
  <c r="AE149" i="1" s="1"/>
  <c r="AA149" i="1" s="1"/>
  <c r="Q149" i="1"/>
  <c r="AB149" i="1" s="1"/>
  <c r="Y138" i="1"/>
  <c r="AE138" i="1" s="1"/>
  <c r="AA138" i="1" s="1"/>
  <c r="Q138" i="1"/>
  <c r="AB138" i="1" s="1"/>
  <c r="Q150" i="1"/>
  <c r="AB150" i="1" s="1"/>
  <c r="Q136" i="1"/>
  <c r="AB136" i="1" s="1"/>
  <c r="Y145" i="1"/>
  <c r="AE145" i="1" s="1"/>
  <c r="AA145" i="1" s="1"/>
  <c r="Q145" i="1"/>
  <c r="AB145" i="1" s="1"/>
  <c r="Y139" i="1"/>
  <c r="AE139" i="1" s="1"/>
  <c r="AA139" i="1" s="1"/>
  <c r="Q139" i="1"/>
  <c r="AB139" i="1" s="1"/>
  <c r="Y134" i="1"/>
  <c r="AE134" i="1" s="1"/>
  <c r="AA134" i="1" s="1"/>
  <c r="K151" i="1"/>
  <c r="Y146" i="1"/>
  <c r="AE146" i="1" s="1"/>
  <c r="AA146" i="1" s="1"/>
  <c r="Q146" i="1"/>
  <c r="AB146" i="1" s="1"/>
  <c r="Q134" i="1"/>
  <c r="AB134" i="1" s="1"/>
  <c r="Y135" i="1"/>
  <c r="AE135" i="1" s="1"/>
  <c r="AA135" i="1" s="1"/>
  <c r="Q135" i="1"/>
  <c r="AB135" i="1" s="1"/>
  <c r="Y141" i="1"/>
  <c r="AE141" i="1" s="1"/>
  <c r="AA141" i="1" s="1"/>
  <c r="Q141" i="1"/>
  <c r="AB141" i="1" s="1"/>
  <c r="Y150" i="1"/>
  <c r="AE150" i="1" s="1"/>
  <c r="AA150" i="1" s="1"/>
  <c r="Y136" i="1"/>
  <c r="AE136" i="1" s="1"/>
  <c r="AA136" i="1" s="1"/>
  <c r="Y142" i="1"/>
  <c r="AE142" i="1" s="1"/>
  <c r="AA142" i="1" s="1"/>
  <c r="Q142" i="1"/>
  <c r="AB142" i="1" s="1"/>
  <c r="U151" i="1"/>
  <c r="Y137" i="1"/>
  <c r="AE137" i="1" s="1"/>
  <c r="AA137" i="1" s="1"/>
  <c r="Q137" i="1"/>
  <c r="AB137" i="1" s="1"/>
  <c r="Y147" i="1"/>
  <c r="AE147" i="1" s="1"/>
  <c r="AA147" i="1" s="1"/>
  <c r="Q147" i="1"/>
  <c r="AB147" i="1" s="1"/>
  <c r="Q143" i="1"/>
  <c r="AB143" i="1" s="1"/>
  <c r="Y143" i="1"/>
  <c r="AE143" i="1" s="1"/>
  <c r="AA143" i="1" s="1"/>
  <c r="Y148" i="1"/>
  <c r="AE148" i="1" s="1"/>
  <c r="AA148" i="1" s="1"/>
  <c r="Q148" i="1"/>
  <c r="AB148" i="1" s="1"/>
  <c r="Q144" i="1"/>
  <c r="AB144" i="1" s="1"/>
  <c r="AC143" i="1" l="1"/>
  <c r="AC139" i="1"/>
  <c r="AC141" i="1"/>
  <c r="AC146" i="1"/>
  <c r="AC134" i="1"/>
  <c r="AC140" i="1"/>
  <c r="AC144" i="1"/>
  <c r="AC148" i="1"/>
  <c r="AC145" i="1"/>
  <c r="AC135" i="1"/>
  <c r="AC147" i="1"/>
  <c r="AC149" i="1"/>
  <c r="AC138" i="1"/>
  <c r="AC136" i="1"/>
  <c r="AC137" i="1"/>
  <c r="AC142" i="1"/>
  <c r="AC150" i="1"/>
  <c r="Q151" i="1"/>
  <c r="Y151" i="1"/>
  <c r="X131" i="1" l="1"/>
  <c r="W131" i="1"/>
  <c r="V131" i="1"/>
  <c r="T131" i="1"/>
  <c r="S131" i="1"/>
  <c r="R131" i="1"/>
  <c r="P131" i="1"/>
  <c r="G131" i="1"/>
  <c r="K130" i="1"/>
  <c r="Z130" i="1" s="1"/>
  <c r="U129" i="1"/>
  <c r="K129" i="1"/>
  <c r="Z129" i="1" s="1"/>
  <c r="U128" i="1"/>
  <c r="K128" i="1"/>
  <c r="Z128" i="1" s="1"/>
  <c r="U127" i="1"/>
  <c r="K127" i="1"/>
  <c r="Z127" i="1" s="1"/>
  <c r="K126" i="1"/>
  <c r="Z126" i="1" s="1"/>
  <c r="U125" i="1"/>
  <c r="K125" i="1"/>
  <c r="Z125" i="1" s="1"/>
  <c r="U124" i="1"/>
  <c r="K124" i="1"/>
  <c r="Z124" i="1" s="1"/>
  <c r="U123" i="1"/>
  <c r="K123" i="1"/>
  <c r="Z123" i="1" s="1"/>
  <c r="U122" i="1"/>
  <c r="K122" i="1"/>
  <c r="Z122" i="1" s="1"/>
  <c r="U121" i="1"/>
  <c r="K121" i="1"/>
  <c r="Z121" i="1" s="1"/>
  <c r="U120" i="1"/>
  <c r="K120" i="1"/>
  <c r="Z120" i="1" s="1"/>
  <c r="U119" i="1"/>
  <c r="K119" i="1"/>
  <c r="Z119" i="1" s="1"/>
  <c r="U118" i="1"/>
  <c r="K118" i="1"/>
  <c r="Z118" i="1" s="1"/>
  <c r="U117" i="1"/>
  <c r="K117" i="1"/>
  <c r="Z117" i="1" s="1"/>
  <c r="U116" i="1"/>
  <c r="K116" i="1"/>
  <c r="Z116" i="1" s="1"/>
  <c r="K115" i="1"/>
  <c r="Z115" i="1" s="1"/>
  <c r="U114" i="1"/>
  <c r="K114" i="1"/>
  <c r="Z114" i="1" s="1"/>
  <c r="U113" i="1"/>
  <c r="K113" i="1"/>
  <c r="Z113" i="1" s="1"/>
  <c r="U112" i="1"/>
  <c r="K112" i="1"/>
  <c r="Z112" i="1" s="1"/>
  <c r="U111" i="1"/>
  <c r="K111" i="1"/>
  <c r="Z111" i="1" s="1"/>
  <c r="U110" i="1"/>
  <c r="K110" i="1"/>
  <c r="Z110" i="1" s="1"/>
  <c r="U109" i="1"/>
  <c r="K109" i="1"/>
  <c r="U108" i="1"/>
  <c r="K108" i="1"/>
  <c r="Z108" i="1" s="1"/>
  <c r="U107" i="1"/>
  <c r="K107" i="1"/>
  <c r="Z107" i="1" s="1"/>
  <c r="K106" i="1"/>
  <c r="Z106" i="1" s="1"/>
  <c r="U105" i="1"/>
  <c r="K105" i="1"/>
  <c r="Z105" i="1" s="1"/>
  <c r="Y109" i="1" l="1"/>
  <c r="AE109" i="1" s="1"/>
  <c r="Z109" i="1"/>
  <c r="Y129" i="1"/>
  <c r="AE129" i="1" s="1"/>
  <c r="AA129" i="1" s="1"/>
  <c r="Q129" i="1"/>
  <c r="AB129" i="1" s="1"/>
  <c r="Y107" i="1"/>
  <c r="AE107" i="1" s="1"/>
  <c r="AA107" i="1" s="1"/>
  <c r="Q107" i="1"/>
  <c r="AB107" i="1" s="1"/>
  <c r="Y118" i="1"/>
  <c r="AE118" i="1" s="1"/>
  <c r="AA118" i="1" s="1"/>
  <c r="Q118" i="1"/>
  <c r="AB118" i="1" s="1"/>
  <c r="Y116" i="1"/>
  <c r="AE116" i="1" s="1"/>
  <c r="AA116" i="1" s="1"/>
  <c r="Q116" i="1"/>
  <c r="AB116" i="1" s="1"/>
  <c r="Y106" i="1"/>
  <c r="AE106" i="1" s="1"/>
  <c r="AA106" i="1" s="1"/>
  <c r="Q106" i="1"/>
  <c r="AB106" i="1" s="1"/>
  <c r="Y122" i="1"/>
  <c r="AE122" i="1" s="1"/>
  <c r="AA122" i="1" s="1"/>
  <c r="Q122" i="1"/>
  <c r="AB122" i="1" s="1"/>
  <c r="Q119" i="1"/>
  <c r="AB119" i="1" s="1"/>
  <c r="Y126" i="1"/>
  <c r="AE126" i="1" s="1"/>
  <c r="AA126" i="1" s="1"/>
  <c r="Q126" i="1"/>
  <c r="AB126" i="1" s="1"/>
  <c r="Y110" i="1"/>
  <c r="AE110" i="1" s="1"/>
  <c r="AA110" i="1" s="1"/>
  <c r="Q110" i="1"/>
  <c r="AB110" i="1" s="1"/>
  <c r="Y113" i="1"/>
  <c r="AE113" i="1" s="1"/>
  <c r="AA113" i="1" s="1"/>
  <c r="Q113" i="1"/>
  <c r="AB113" i="1" s="1"/>
  <c r="Y127" i="1"/>
  <c r="AE127" i="1" s="1"/>
  <c r="AA127" i="1" s="1"/>
  <c r="Q127" i="1"/>
  <c r="AB127" i="1" s="1"/>
  <c r="Q130" i="1"/>
  <c r="AB130" i="1" s="1"/>
  <c r="U131" i="1"/>
  <c r="Y117" i="1"/>
  <c r="AE117" i="1" s="1"/>
  <c r="AA117" i="1" s="1"/>
  <c r="Y119" i="1"/>
  <c r="AE119" i="1" s="1"/>
  <c r="AA119" i="1" s="1"/>
  <c r="Y130" i="1"/>
  <c r="AE130" i="1" s="1"/>
  <c r="AA130" i="1" s="1"/>
  <c r="Q117" i="1"/>
  <c r="AB117" i="1" s="1"/>
  <c r="Q120" i="1"/>
  <c r="AB120" i="1" s="1"/>
  <c r="Y123" i="1"/>
  <c r="AE123" i="1" s="1"/>
  <c r="AA123" i="1" s="1"/>
  <c r="Q123" i="1"/>
  <c r="AB123" i="1" s="1"/>
  <c r="Y128" i="1"/>
  <c r="AE128" i="1" s="1"/>
  <c r="AA128" i="1" s="1"/>
  <c r="Q128" i="1"/>
  <c r="AB128" i="1" s="1"/>
  <c r="Q111" i="1"/>
  <c r="AB111" i="1" s="1"/>
  <c r="Y111" i="1"/>
  <c r="AE111" i="1" s="1"/>
  <c r="AA111" i="1" s="1"/>
  <c r="Y114" i="1"/>
  <c r="AE114" i="1" s="1"/>
  <c r="AA114" i="1" s="1"/>
  <c r="Q114" i="1"/>
  <c r="AB114" i="1" s="1"/>
  <c r="Y120" i="1"/>
  <c r="AE120" i="1" s="1"/>
  <c r="AA120" i="1" s="1"/>
  <c r="Q108" i="1"/>
  <c r="AB108" i="1" s="1"/>
  <c r="Y124" i="1"/>
  <c r="AE124" i="1" s="1"/>
  <c r="AA124" i="1" s="1"/>
  <c r="Q124" i="1"/>
  <c r="AB124" i="1" s="1"/>
  <c r="K131" i="1"/>
  <c r="Y105" i="1"/>
  <c r="AE105" i="1" s="1"/>
  <c r="AA105" i="1" s="1"/>
  <c r="Q105" i="1"/>
  <c r="AB105" i="1" s="1"/>
  <c r="Y121" i="1"/>
  <c r="AE121" i="1" s="1"/>
  <c r="AA121" i="1" s="1"/>
  <c r="Q121" i="1"/>
  <c r="AB121" i="1" s="1"/>
  <c r="Y108" i="1"/>
  <c r="AE108" i="1" s="1"/>
  <c r="AA108" i="1" s="1"/>
  <c r="Q109" i="1"/>
  <c r="AB109" i="1" s="1"/>
  <c r="Y112" i="1"/>
  <c r="AE112" i="1" s="1"/>
  <c r="AA112" i="1" s="1"/>
  <c r="Q112" i="1"/>
  <c r="AB112" i="1" s="1"/>
  <c r="Y115" i="1"/>
  <c r="AE115" i="1" s="1"/>
  <c r="AA115" i="1" s="1"/>
  <c r="Q115" i="1"/>
  <c r="AB115" i="1" s="1"/>
  <c r="Y125" i="1"/>
  <c r="AE125" i="1" s="1"/>
  <c r="AA125" i="1" s="1"/>
  <c r="Q125" i="1"/>
  <c r="AB125" i="1" s="1"/>
  <c r="AC111" i="1" l="1"/>
  <c r="AC116" i="1"/>
  <c r="AC105" i="1"/>
  <c r="AC119" i="1"/>
  <c r="AC115" i="1"/>
  <c r="AC120" i="1"/>
  <c r="AC117" i="1"/>
  <c r="AC106" i="1"/>
  <c r="AC127" i="1"/>
  <c r="AC108" i="1"/>
  <c r="AC121" i="1"/>
  <c r="AC129" i="1"/>
  <c r="AC128" i="1"/>
  <c r="AC113" i="1"/>
  <c r="AC118" i="1"/>
  <c r="AC122" i="1"/>
  <c r="AC112" i="1"/>
  <c r="AC123" i="1"/>
  <c r="AC130" i="1"/>
  <c r="AC110" i="1"/>
  <c r="AC124" i="1"/>
  <c r="AC114" i="1"/>
  <c r="AA109" i="1"/>
  <c r="AC109" i="1" s="1"/>
  <c r="AC125" i="1"/>
  <c r="AC107" i="1"/>
  <c r="AC126" i="1"/>
  <c r="Y131" i="1"/>
  <c r="Q131" i="1"/>
  <c r="X102" i="1" l="1"/>
  <c r="W102" i="1"/>
  <c r="V102" i="1"/>
  <c r="T102" i="1"/>
  <c r="S102" i="1"/>
  <c r="R102" i="1"/>
  <c r="P102" i="1"/>
  <c r="G102" i="1"/>
  <c r="U101" i="1"/>
  <c r="K101" i="1"/>
  <c r="Z101" i="1" s="1"/>
  <c r="U100" i="1"/>
  <c r="K100" i="1"/>
  <c r="Z100" i="1" s="1"/>
  <c r="U99" i="1"/>
  <c r="K99" i="1"/>
  <c r="Z99" i="1" s="1"/>
  <c r="U98" i="1"/>
  <c r="K98" i="1"/>
  <c r="Z98" i="1" s="1"/>
  <c r="U97" i="1"/>
  <c r="K97" i="1"/>
  <c r="Z97" i="1" s="1"/>
  <c r="AG95" i="1"/>
  <c r="U102" i="1" l="1"/>
  <c r="Y101" i="1"/>
  <c r="AE101" i="1" s="1"/>
  <c r="AA101" i="1" s="1"/>
  <c r="Q101" i="1"/>
  <c r="AB101" i="1" s="1"/>
  <c r="Y97" i="1"/>
  <c r="AE97" i="1" s="1"/>
  <c r="AA97" i="1" s="1"/>
  <c r="K102" i="1"/>
  <c r="Q97" i="1"/>
  <c r="AB97" i="1" s="1"/>
  <c r="Y98" i="1"/>
  <c r="AE98" i="1" s="1"/>
  <c r="AA98" i="1" s="1"/>
  <c r="Q98" i="1"/>
  <c r="AB98" i="1" s="1"/>
  <c r="Y99" i="1"/>
  <c r="AE99" i="1" s="1"/>
  <c r="AA99" i="1" s="1"/>
  <c r="Q99" i="1"/>
  <c r="AB99" i="1" s="1"/>
  <c r="Q100" i="1"/>
  <c r="AB100" i="1" s="1"/>
  <c r="Y100" i="1"/>
  <c r="AE100" i="1" s="1"/>
  <c r="AA100" i="1" s="1"/>
  <c r="AC99" i="1" l="1"/>
  <c r="AC98" i="1"/>
  <c r="AC100" i="1"/>
  <c r="AC101" i="1"/>
  <c r="AC97" i="1"/>
  <c r="Q102" i="1"/>
  <c r="Y102" i="1"/>
  <c r="X94" i="1" l="1"/>
  <c r="W94" i="1"/>
  <c r="V94" i="1"/>
  <c r="T94" i="1"/>
  <c r="S94" i="1"/>
  <c r="R94" i="1"/>
  <c r="P94" i="1"/>
  <c r="G94" i="1"/>
  <c r="K93" i="1"/>
  <c r="Z93" i="1" s="1"/>
  <c r="U92" i="1"/>
  <c r="K92" i="1"/>
  <c r="U91" i="1"/>
  <c r="K91" i="1"/>
  <c r="Z91" i="1" s="1"/>
  <c r="U90" i="1"/>
  <c r="K90" i="1"/>
  <c r="Z90" i="1" s="1"/>
  <c r="U89" i="1"/>
  <c r="K89" i="1"/>
  <c r="Z89" i="1" s="1"/>
  <c r="U88" i="1"/>
  <c r="K88" i="1"/>
  <c r="Z88" i="1" s="1"/>
  <c r="U87" i="1"/>
  <c r="K87" i="1"/>
  <c r="Z87" i="1" s="1"/>
  <c r="K86" i="1"/>
  <c r="Z86" i="1" s="1"/>
  <c r="U85" i="1"/>
  <c r="K85" i="1"/>
  <c r="Z85" i="1" s="1"/>
  <c r="U84" i="1"/>
  <c r="K84" i="1"/>
  <c r="U83" i="1"/>
  <c r="K83" i="1"/>
  <c r="U82" i="1"/>
  <c r="K82" i="1"/>
  <c r="Z82" i="1" s="1"/>
  <c r="K81" i="1"/>
  <c r="Z81" i="1" s="1"/>
  <c r="K80" i="1"/>
  <c r="Z80" i="1" s="1"/>
  <c r="U79" i="1"/>
  <c r="K79" i="1"/>
  <c r="Z79" i="1" s="1"/>
  <c r="U78" i="1"/>
  <c r="K78" i="1"/>
  <c r="Z78" i="1" s="1"/>
  <c r="U77" i="1"/>
  <c r="K77" i="1"/>
  <c r="Z77" i="1" s="1"/>
  <c r="U76" i="1"/>
  <c r="K76" i="1"/>
  <c r="U75" i="1"/>
  <c r="K75" i="1"/>
  <c r="U74" i="1"/>
  <c r="K74" i="1"/>
  <c r="Z74" i="1" s="1"/>
  <c r="U73" i="1"/>
  <c r="K73" i="1"/>
  <c r="Z73" i="1" s="1"/>
  <c r="AG71" i="1"/>
  <c r="Q75" i="1" l="1"/>
  <c r="AB75" i="1" s="1"/>
  <c r="Z75" i="1"/>
  <c r="Y76" i="1"/>
  <c r="AE76" i="1" s="1"/>
  <c r="Z76" i="1"/>
  <c r="Q83" i="1"/>
  <c r="AB83" i="1" s="1"/>
  <c r="Z83" i="1"/>
  <c r="Y84" i="1"/>
  <c r="AE84" i="1" s="1"/>
  <c r="Z84" i="1"/>
  <c r="AA84" i="1" s="1"/>
  <c r="AA91" i="1"/>
  <c r="Y92" i="1"/>
  <c r="AE92" i="1" s="1"/>
  <c r="Z92" i="1"/>
  <c r="Q78" i="1"/>
  <c r="AB78" i="1" s="1"/>
  <c r="Y78" i="1"/>
  <c r="AE78" i="1" s="1"/>
  <c r="AA78" i="1" s="1"/>
  <c r="Y86" i="1"/>
  <c r="AE86" i="1" s="1"/>
  <c r="AA86" i="1" s="1"/>
  <c r="Y93" i="1"/>
  <c r="AE93" i="1" s="1"/>
  <c r="AA93" i="1" s="1"/>
  <c r="U94" i="1"/>
  <c r="K94" i="1"/>
  <c r="Y73" i="1"/>
  <c r="AE73" i="1" s="1"/>
  <c r="AA73" i="1" s="1"/>
  <c r="Q73" i="1"/>
  <c r="AB73" i="1" s="1"/>
  <c r="Y89" i="1"/>
  <c r="AE89" i="1" s="1"/>
  <c r="AA89" i="1" s="1"/>
  <c r="Q89" i="1"/>
  <c r="AB89" i="1" s="1"/>
  <c r="Y74" i="1"/>
  <c r="AE74" i="1" s="1"/>
  <c r="AA74" i="1" s="1"/>
  <c r="Q74" i="1"/>
  <c r="AB74" i="1" s="1"/>
  <c r="Y82" i="1"/>
  <c r="AE82" i="1" s="1"/>
  <c r="AA82" i="1" s="1"/>
  <c r="Q82" i="1"/>
  <c r="AB82" i="1" s="1"/>
  <c r="Q84" i="1"/>
  <c r="AB84" i="1" s="1"/>
  <c r="Y91" i="1"/>
  <c r="AE91" i="1" s="1"/>
  <c r="Q77" i="1"/>
  <c r="AB77" i="1" s="1"/>
  <c r="Q91" i="1"/>
  <c r="AB91" i="1" s="1"/>
  <c r="Q85" i="1"/>
  <c r="AB85" i="1" s="1"/>
  <c r="Y85" i="1"/>
  <c r="AE85" i="1" s="1"/>
  <c r="AA85" i="1" s="1"/>
  <c r="AC85" i="1" s="1"/>
  <c r="Q92" i="1"/>
  <c r="AB92" i="1" s="1"/>
  <c r="Y90" i="1"/>
  <c r="AE90" i="1" s="1"/>
  <c r="AA90" i="1" s="1"/>
  <c r="Q90" i="1"/>
  <c r="AB90" i="1" s="1"/>
  <c r="Q76" i="1"/>
  <c r="AB76" i="1" s="1"/>
  <c r="Y87" i="1"/>
  <c r="AE87" i="1" s="1"/>
  <c r="AA87" i="1" s="1"/>
  <c r="Q87" i="1"/>
  <c r="AB87" i="1" s="1"/>
  <c r="Q81" i="1"/>
  <c r="AB81" i="1" s="1"/>
  <c r="Y81" i="1"/>
  <c r="AE81" i="1" s="1"/>
  <c r="AA81" i="1" s="1"/>
  <c r="Y77" i="1"/>
  <c r="AE77" i="1" s="1"/>
  <c r="AA77" i="1" s="1"/>
  <c r="Y79" i="1"/>
  <c r="AE79" i="1" s="1"/>
  <c r="AA79" i="1" s="1"/>
  <c r="Q79" i="1"/>
  <c r="AB79" i="1" s="1"/>
  <c r="Y88" i="1"/>
  <c r="AE88" i="1" s="1"/>
  <c r="AA88" i="1" s="1"/>
  <c r="Q88" i="1"/>
  <c r="AB88" i="1" s="1"/>
  <c r="Y75" i="1"/>
  <c r="AE75" i="1" s="1"/>
  <c r="Y80" i="1"/>
  <c r="AE80" i="1" s="1"/>
  <c r="AA80" i="1" s="1"/>
  <c r="Q80" i="1"/>
  <c r="AB80" i="1" s="1"/>
  <c r="Y83" i="1"/>
  <c r="AE83" i="1" s="1"/>
  <c r="Q93" i="1"/>
  <c r="AB93" i="1" s="1"/>
  <c r="Q86" i="1"/>
  <c r="AB86" i="1" s="1"/>
  <c r="AC81" i="1" l="1"/>
  <c r="AA75" i="1"/>
  <c r="AC78" i="1"/>
  <c r="AC89" i="1"/>
  <c r="AC73" i="1"/>
  <c r="AC86" i="1"/>
  <c r="AC75" i="1"/>
  <c r="AC90" i="1"/>
  <c r="AC82" i="1"/>
  <c r="AC91" i="1"/>
  <c r="AA92" i="1"/>
  <c r="AC92" i="1" s="1"/>
  <c r="AC87" i="1"/>
  <c r="AA76" i="1"/>
  <c r="AC76" i="1" s="1"/>
  <c r="AC84" i="1"/>
  <c r="AC74" i="1"/>
  <c r="AC77" i="1"/>
  <c r="AC93" i="1"/>
  <c r="AC80" i="1"/>
  <c r="AC88" i="1"/>
  <c r="AC79" i="1"/>
  <c r="AA83" i="1"/>
  <c r="AC83" i="1" s="1"/>
  <c r="Y94" i="1"/>
  <c r="Q94" i="1"/>
  <c r="W70" i="1" l="1"/>
  <c r="S70" i="1"/>
  <c r="R70" i="1"/>
  <c r="P70" i="1"/>
  <c r="G70" i="1"/>
  <c r="X69" i="1"/>
  <c r="U69" i="1"/>
  <c r="T69" i="1"/>
  <c r="K69" i="1"/>
  <c r="Z69" i="1" s="1"/>
  <c r="X68" i="1"/>
  <c r="U68" i="1"/>
  <c r="T68" i="1"/>
  <c r="K68" i="1"/>
  <c r="Z68" i="1" s="1"/>
  <c r="X67" i="1"/>
  <c r="U67" i="1"/>
  <c r="T67" i="1"/>
  <c r="K67" i="1"/>
  <c r="Z67" i="1" s="1"/>
  <c r="X66" i="1"/>
  <c r="U66" i="1"/>
  <c r="T66" i="1"/>
  <c r="K66" i="1"/>
  <c r="Z66" i="1" s="1"/>
  <c r="X65" i="1"/>
  <c r="U65" i="1"/>
  <c r="T65" i="1"/>
  <c r="K65" i="1"/>
  <c r="Z65" i="1" s="1"/>
  <c r="AG63" i="1"/>
  <c r="U70" i="1" l="1"/>
  <c r="V65" i="1"/>
  <c r="Y65" i="1"/>
  <c r="AE65" i="1" s="1"/>
  <c r="Q65" i="1"/>
  <c r="AB65" i="1" s="1"/>
  <c r="Q67" i="1"/>
  <c r="AB67" i="1" s="1"/>
  <c r="Y67" i="1"/>
  <c r="AE67" i="1" s="1"/>
  <c r="V67" i="1"/>
  <c r="V69" i="1"/>
  <c r="Q69" i="1"/>
  <c r="AB69" i="1" s="1"/>
  <c r="Y69" i="1"/>
  <c r="AE69" i="1" s="1"/>
  <c r="Y66" i="1"/>
  <c r="AE66" i="1" s="1"/>
  <c r="V66" i="1"/>
  <c r="Q66" i="1"/>
  <c r="AB66" i="1" s="1"/>
  <c r="Y68" i="1"/>
  <c r="AE68" i="1" s="1"/>
  <c r="V68" i="1"/>
  <c r="Q68" i="1"/>
  <c r="AB68" i="1" s="1"/>
  <c r="T70" i="1"/>
  <c r="K70" i="1"/>
  <c r="AA66" i="1" l="1"/>
  <c r="AC66" i="1" s="1"/>
  <c r="AA65" i="1"/>
  <c r="AC65" i="1" s="1"/>
  <c r="AA69" i="1"/>
  <c r="AC69" i="1" s="1"/>
  <c r="AA68" i="1"/>
  <c r="AC68" i="1" s="1"/>
  <c r="X70" i="1"/>
  <c r="AA67" i="1"/>
  <c r="AC67" i="1" s="1"/>
  <c r="Y70" i="1"/>
  <c r="V70" i="1"/>
  <c r="Q70" i="1"/>
  <c r="W62" i="1" l="1"/>
  <c r="S62" i="1"/>
  <c r="R62" i="1"/>
  <c r="P62" i="1"/>
  <c r="G62" i="1"/>
  <c r="X61" i="1"/>
  <c r="V61" i="1"/>
  <c r="U61" i="1"/>
  <c r="T61" i="1"/>
  <c r="K61" i="1"/>
  <c r="Z61" i="1" s="1"/>
  <c r="AG59" i="1"/>
  <c r="X62" i="1" l="1"/>
  <c r="T62" i="1"/>
  <c r="K62" i="1"/>
  <c r="U62" i="1"/>
  <c r="Y61" i="1"/>
  <c r="AE61" i="1" s="1"/>
  <c r="AA61" i="1" s="1"/>
  <c r="Q61" i="1"/>
  <c r="AB61" i="1" s="1"/>
  <c r="AC61" i="1" l="1"/>
  <c r="Y62" i="1"/>
  <c r="V62" i="1"/>
  <c r="Q62" i="1"/>
  <c r="W58" i="1" l="1"/>
  <c r="S58" i="1"/>
  <c r="R58" i="1"/>
  <c r="P58" i="1"/>
  <c r="G58" i="1"/>
  <c r="X57" i="1"/>
  <c r="U57" i="1"/>
  <c r="T57" i="1"/>
  <c r="K57" i="1"/>
  <c r="Z57" i="1" s="1"/>
  <c r="X56" i="1"/>
  <c r="U56" i="1"/>
  <c r="T56" i="1"/>
  <c r="K56" i="1"/>
  <c r="Z56" i="1" s="1"/>
  <c r="X55" i="1"/>
  <c r="U55" i="1"/>
  <c r="T55" i="1"/>
  <c r="K55" i="1"/>
  <c r="Z55" i="1" s="1"/>
  <c r="X54" i="1"/>
  <c r="V54" i="1"/>
  <c r="U54" i="1"/>
  <c r="T54" i="1"/>
  <c r="K54" i="1"/>
  <c r="Z54" i="1" s="1"/>
  <c r="AG52" i="1"/>
  <c r="U58" i="1" l="1"/>
  <c r="X58" i="1"/>
  <c r="T58" i="1"/>
  <c r="V57" i="1"/>
  <c r="Q57" i="1"/>
  <c r="AB57" i="1" s="1"/>
  <c r="Y57" i="1"/>
  <c r="AE57" i="1" s="1"/>
  <c r="Y55" i="1"/>
  <c r="AE55" i="1" s="1"/>
  <c r="V55" i="1"/>
  <c r="AA55" i="1" s="1"/>
  <c r="Q55" i="1"/>
  <c r="AB55" i="1" s="1"/>
  <c r="K58" i="1"/>
  <c r="Y54" i="1"/>
  <c r="AE54" i="1" s="1"/>
  <c r="AA54" i="1" s="1"/>
  <c r="Q54" i="1"/>
  <c r="AB54" i="1" s="1"/>
  <c r="Y56" i="1"/>
  <c r="AE56" i="1" s="1"/>
  <c r="V56" i="1"/>
  <c r="Q56" i="1"/>
  <c r="AB56" i="1" s="1"/>
  <c r="AA56" i="1" l="1"/>
  <c r="AC56" i="1" s="1"/>
  <c r="AC55" i="1"/>
  <c r="AA57" i="1"/>
  <c r="AC57" i="1" s="1"/>
  <c r="AC54" i="1"/>
  <c r="V58" i="1"/>
  <c r="Q58" i="1"/>
  <c r="Y58" i="1"/>
  <c r="X51" i="1" l="1"/>
  <c r="W51" i="1"/>
  <c r="V51" i="1"/>
  <c r="T51" i="1"/>
  <c r="S51" i="1"/>
  <c r="R51" i="1"/>
  <c r="P51" i="1"/>
  <c r="G51" i="1"/>
  <c r="U50" i="1"/>
  <c r="K50" i="1"/>
  <c r="Z50" i="1" s="1"/>
  <c r="U49" i="1"/>
  <c r="K49" i="1"/>
  <c r="Z49" i="1" s="1"/>
  <c r="U48" i="1"/>
  <c r="K48" i="1"/>
  <c r="Z48" i="1" s="1"/>
  <c r="K47" i="1"/>
  <c r="K46" i="1"/>
  <c r="K45" i="1"/>
  <c r="Z45" i="1" s="1"/>
  <c r="K44" i="1"/>
  <c r="Z44" i="1" s="1"/>
  <c r="K43" i="1"/>
  <c r="Z43" i="1" s="1"/>
  <c r="K42" i="1"/>
  <c r="K41" i="1"/>
  <c r="Z41" i="1" s="1"/>
  <c r="K40" i="1"/>
  <c r="Z40" i="1" s="1"/>
  <c r="K39" i="1"/>
  <c r="K38" i="1"/>
  <c r="Z38" i="1" s="1"/>
  <c r="K37" i="1"/>
  <c r="Z37" i="1" s="1"/>
  <c r="K36" i="1"/>
  <c r="AG34" i="1"/>
  <c r="Y42" i="1" l="1"/>
  <c r="AE42" i="1" s="1"/>
  <c r="Z42" i="1"/>
  <c r="Q46" i="1"/>
  <c r="AB46" i="1" s="1"/>
  <c r="Z46" i="1"/>
  <c r="Q47" i="1"/>
  <c r="AB47" i="1" s="1"/>
  <c r="Z47" i="1"/>
  <c r="Q36" i="1"/>
  <c r="AB36" i="1" s="1"/>
  <c r="Z36" i="1"/>
  <c r="Y39" i="1"/>
  <c r="AE39" i="1" s="1"/>
  <c r="Z39" i="1"/>
  <c r="Y36" i="1"/>
  <c r="AE36" i="1" s="1"/>
  <c r="AA36" i="1" s="1"/>
  <c r="K51" i="1"/>
  <c r="Q45" i="1"/>
  <c r="AB45" i="1" s="1"/>
  <c r="Y41" i="1"/>
  <c r="AE41" i="1" s="1"/>
  <c r="AA41" i="1" s="1"/>
  <c r="Q41" i="1"/>
  <c r="AB41" i="1" s="1"/>
  <c r="Q42" i="1"/>
  <c r="AB42" i="1" s="1"/>
  <c r="U51" i="1"/>
  <c r="Q43" i="1"/>
  <c r="AB43" i="1" s="1"/>
  <c r="Q38" i="1"/>
  <c r="AB38" i="1" s="1"/>
  <c r="Y38" i="1"/>
  <c r="AE38" i="1" s="1"/>
  <c r="AA38" i="1" s="1"/>
  <c r="Q39" i="1"/>
  <c r="AB39" i="1" s="1"/>
  <c r="Q40" i="1"/>
  <c r="AB40" i="1" s="1"/>
  <c r="Y40" i="1"/>
  <c r="AE40" i="1" s="1"/>
  <c r="AA40" i="1" s="1"/>
  <c r="Y45" i="1"/>
  <c r="AE45" i="1" s="1"/>
  <c r="AA45" i="1" s="1"/>
  <c r="Y43" i="1"/>
  <c r="AE43" i="1" s="1"/>
  <c r="AA43" i="1" s="1"/>
  <c r="Y44" i="1"/>
  <c r="AE44" i="1" s="1"/>
  <c r="AA44" i="1" s="1"/>
  <c r="Q44" i="1"/>
  <c r="AB44" i="1" s="1"/>
  <c r="Y37" i="1"/>
  <c r="AE37" i="1" s="1"/>
  <c r="AA37" i="1" s="1"/>
  <c r="Q37" i="1"/>
  <c r="AB37" i="1" s="1"/>
  <c r="Q48" i="1"/>
  <c r="AB48" i="1" s="1"/>
  <c r="Y50" i="1"/>
  <c r="AE50" i="1" s="1"/>
  <c r="AA50" i="1" s="1"/>
  <c r="Q50" i="1"/>
  <c r="AB50" i="1" s="1"/>
  <c r="Y48" i="1"/>
  <c r="AE48" i="1" s="1"/>
  <c r="AA48" i="1" s="1"/>
  <c r="Y47" i="1"/>
  <c r="AE47" i="1" s="1"/>
  <c r="Q49" i="1"/>
  <c r="AB49" i="1" s="1"/>
  <c r="Y46" i="1"/>
  <c r="AE46" i="1" s="1"/>
  <c r="Y49" i="1"/>
  <c r="AE49" i="1" s="1"/>
  <c r="AA49" i="1" s="1"/>
  <c r="AA39" i="1" l="1"/>
  <c r="AC39" i="1" s="1"/>
  <c r="AC40" i="1"/>
  <c r="AC38" i="1"/>
  <c r="AC50" i="1"/>
  <c r="AC48" i="1"/>
  <c r="AC43" i="1"/>
  <c r="AC36" i="1"/>
  <c r="AC44" i="1"/>
  <c r="AC41" i="1"/>
  <c r="AA47" i="1"/>
  <c r="AC47" i="1" s="1"/>
  <c r="AA42" i="1"/>
  <c r="AC42" i="1" s="1"/>
  <c r="AC49" i="1"/>
  <c r="AC37" i="1"/>
  <c r="AA46" i="1"/>
  <c r="AC46" i="1" s="1"/>
  <c r="AC45" i="1"/>
  <c r="Y51" i="1"/>
  <c r="Q51" i="1"/>
  <c r="W33" i="1" l="1"/>
  <c r="S33" i="1"/>
  <c r="R33" i="1"/>
  <c r="P33" i="1"/>
  <c r="G33" i="1"/>
  <c r="X32" i="1"/>
  <c r="V32" i="1"/>
  <c r="U32" i="1"/>
  <c r="T32" i="1"/>
  <c r="K32" i="1"/>
  <c r="Z32" i="1" s="1"/>
  <c r="X31" i="1"/>
  <c r="U31" i="1"/>
  <c r="T31" i="1"/>
  <c r="K31" i="1"/>
  <c r="Z31" i="1" s="1"/>
  <c r="X30" i="1"/>
  <c r="V30" i="1"/>
  <c r="U30" i="1"/>
  <c r="T30" i="1"/>
  <c r="K30" i="1"/>
  <c r="Z30" i="1" s="1"/>
  <c r="X29" i="1"/>
  <c r="U29" i="1"/>
  <c r="T29" i="1"/>
  <c r="K29" i="1"/>
  <c r="Z29" i="1" s="1"/>
  <c r="AG27" i="1"/>
  <c r="T33" i="1" l="1"/>
  <c r="U33" i="1"/>
  <c r="X33" i="1"/>
  <c r="Y30" i="1"/>
  <c r="AE30" i="1" s="1"/>
  <c r="AA30" i="1" s="1"/>
  <c r="Q30" i="1"/>
  <c r="AB30" i="1" s="1"/>
  <c r="Q32" i="1"/>
  <c r="AB32" i="1" s="1"/>
  <c r="Y32" i="1"/>
  <c r="AE32" i="1" s="1"/>
  <c r="AA32" i="1" s="1"/>
  <c r="Y31" i="1"/>
  <c r="AE31" i="1" s="1"/>
  <c r="V31" i="1"/>
  <c r="Q31" i="1"/>
  <c r="AB31" i="1" s="1"/>
  <c r="K33" i="1"/>
  <c r="Q29" i="1"/>
  <c r="AB29" i="1" s="1"/>
  <c r="V29" i="1"/>
  <c r="Y29" i="1"/>
  <c r="AE29" i="1" s="1"/>
  <c r="AC30" i="1" l="1"/>
  <c r="AA29" i="1"/>
  <c r="AC29" i="1" s="1"/>
  <c r="AA31" i="1"/>
  <c r="AC31" i="1" s="1"/>
  <c r="AC32" i="1"/>
  <c r="V33" i="1"/>
  <c r="Q33" i="1"/>
  <c r="Y33" i="1"/>
  <c r="W26" i="1" l="1"/>
  <c r="T26" i="1"/>
  <c r="R26" i="1"/>
  <c r="P26" i="1"/>
  <c r="G26" i="1"/>
  <c r="AG25" i="1"/>
  <c r="AG26" i="1" s="1"/>
  <c r="X25" i="1"/>
  <c r="U25" i="1"/>
  <c r="S25" i="1"/>
  <c r="S26" i="1" s="1"/>
  <c r="K25" i="1"/>
  <c r="AG23" i="1"/>
  <c r="Z25" i="1" l="1"/>
  <c r="AE25" i="1"/>
  <c r="X26" i="1"/>
  <c r="U26" i="1"/>
  <c r="Y25" i="1"/>
  <c r="V25" i="1"/>
  <c r="Q25" i="1"/>
  <c r="AB25" i="1" s="1"/>
  <c r="K26" i="1"/>
  <c r="AA25" i="1" l="1"/>
  <c r="AC25" i="1" s="1"/>
  <c r="Y26" i="1"/>
  <c r="V26" i="1"/>
  <c r="Q26" i="1"/>
  <c r="U21" i="1" l="1"/>
  <c r="U20" i="1"/>
  <c r="U19" i="1"/>
  <c r="K21" i="1"/>
  <c r="Z21" i="1" s="1"/>
  <c r="K20" i="1"/>
  <c r="Z20" i="1" s="1"/>
  <c r="K19" i="1"/>
  <c r="Z19" i="1" s="1"/>
  <c r="AG14" i="1"/>
  <c r="U18" i="1"/>
  <c r="U17" i="1"/>
  <c r="U16" i="1"/>
  <c r="K18" i="1"/>
  <c r="K17" i="1"/>
  <c r="Z17" i="1" s="1"/>
  <c r="K16" i="1"/>
  <c r="W22" i="1"/>
  <c r="W195" i="1" s="1"/>
  <c r="T22" i="1"/>
  <c r="T195" i="1" s="1"/>
  <c r="S22" i="1"/>
  <c r="S195" i="1" s="1"/>
  <c r="R22" i="1"/>
  <c r="R195" i="1" s="1"/>
  <c r="P22" i="1"/>
  <c r="P195" i="1" s="1"/>
  <c r="G22" i="1"/>
  <c r="G195" i="1" s="1"/>
  <c r="AG18" i="1" l="1"/>
  <c r="Z18" i="1"/>
  <c r="AG193" i="1"/>
  <c r="AG194" i="1" s="1"/>
  <c r="AG185" i="1"/>
  <c r="AG180" i="1"/>
  <c r="AG181" i="1"/>
  <c r="AG179" i="1"/>
  <c r="AG177" i="1"/>
  <c r="AG176" i="1"/>
  <c r="AG178" i="1"/>
  <c r="AG171" i="1"/>
  <c r="AG165" i="1"/>
  <c r="AG167" i="1"/>
  <c r="AG170" i="1"/>
  <c r="AG172" i="1"/>
  <c r="AG166" i="1"/>
  <c r="AG164" i="1"/>
  <c r="AG169" i="1"/>
  <c r="AG168" i="1"/>
  <c r="AG160" i="1"/>
  <c r="AG159" i="1"/>
  <c r="AG157" i="1"/>
  <c r="AG158" i="1"/>
  <c r="AG154" i="1"/>
  <c r="AG155" i="1"/>
  <c r="AG156" i="1"/>
  <c r="AG137" i="1"/>
  <c r="AG138" i="1"/>
  <c r="AG146" i="1"/>
  <c r="AG139" i="1"/>
  <c r="AG147" i="1"/>
  <c r="AG140" i="1"/>
  <c r="AG148" i="1"/>
  <c r="AG141" i="1"/>
  <c r="AG143" i="1"/>
  <c r="AG145" i="1"/>
  <c r="AG144" i="1"/>
  <c r="AG150" i="1"/>
  <c r="AG135" i="1"/>
  <c r="AG142" i="1"/>
  <c r="AG136" i="1"/>
  <c r="AG149" i="1"/>
  <c r="AG134" i="1"/>
  <c r="AG118" i="1"/>
  <c r="AG107" i="1"/>
  <c r="AG129" i="1"/>
  <c r="AG116" i="1"/>
  <c r="AG119" i="1"/>
  <c r="AG127" i="1"/>
  <c r="AG121" i="1"/>
  <c r="AG126" i="1"/>
  <c r="AG128" i="1"/>
  <c r="AG114" i="1"/>
  <c r="AG122" i="1"/>
  <c r="AG115" i="1"/>
  <c r="AG124" i="1"/>
  <c r="AG106" i="1"/>
  <c r="AG108" i="1"/>
  <c r="AG125" i="1"/>
  <c r="AG105" i="1"/>
  <c r="AG110" i="1"/>
  <c r="AG112" i="1"/>
  <c r="AG113" i="1"/>
  <c r="AG130" i="1"/>
  <c r="AG120" i="1"/>
  <c r="AG111" i="1"/>
  <c r="AG109" i="1"/>
  <c r="AG123" i="1"/>
  <c r="AG117" i="1"/>
  <c r="AG100" i="1"/>
  <c r="AG97" i="1"/>
  <c r="AG98" i="1"/>
  <c r="AG101" i="1"/>
  <c r="AG99" i="1"/>
  <c r="AG86" i="1"/>
  <c r="AG78" i="1"/>
  <c r="AG89" i="1"/>
  <c r="AG83" i="1"/>
  <c r="AG90" i="1"/>
  <c r="AG81" i="1"/>
  <c r="AG84" i="1"/>
  <c r="AG79" i="1"/>
  <c r="AG73" i="1"/>
  <c r="AG76" i="1"/>
  <c r="AG91" i="1"/>
  <c r="AG77" i="1"/>
  <c r="AG92" i="1"/>
  <c r="AG87" i="1"/>
  <c r="AG82" i="1"/>
  <c r="AG75" i="1"/>
  <c r="AG74" i="1"/>
  <c r="AG85" i="1"/>
  <c r="AG80" i="1"/>
  <c r="AG93" i="1"/>
  <c r="AG88" i="1"/>
  <c r="AG66" i="1"/>
  <c r="AG69" i="1"/>
  <c r="AG67" i="1"/>
  <c r="AG68" i="1"/>
  <c r="AG65" i="1"/>
  <c r="AG61" i="1"/>
  <c r="AG56" i="1"/>
  <c r="AG54" i="1"/>
  <c r="AG57" i="1"/>
  <c r="AG55" i="1"/>
  <c r="AG46" i="1"/>
  <c r="AG47" i="1"/>
  <c r="AG50" i="1"/>
  <c r="AG40" i="1"/>
  <c r="AG49" i="1"/>
  <c r="AG38" i="1"/>
  <c r="AG41" i="1"/>
  <c r="AG39" i="1"/>
  <c r="AG37" i="1"/>
  <c r="AG48" i="1"/>
  <c r="AG42" i="1"/>
  <c r="AG45" i="1"/>
  <c r="AG43" i="1"/>
  <c r="AG44" i="1"/>
  <c r="AG36" i="1"/>
  <c r="AG31" i="1"/>
  <c r="AG29" i="1"/>
  <c r="AG30" i="1"/>
  <c r="AG32" i="1"/>
  <c r="AG17" i="1"/>
  <c r="AG20" i="1"/>
  <c r="AG16" i="1"/>
  <c r="AG21" i="1"/>
  <c r="Q19" i="1"/>
  <c r="AB19" i="1" s="1"/>
  <c r="AG19" i="1"/>
  <c r="Z16" i="1"/>
  <c r="V22" i="1"/>
  <c r="V195" i="1" s="1"/>
  <c r="U22" i="1"/>
  <c r="U195" i="1" s="1"/>
  <c r="X22" i="1"/>
  <c r="X195" i="1" s="1"/>
  <c r="Q20" i="1"/>
  <c r="AB20" i="1" s="1"/>
  <c r="Y20" i="1"/>
  <c r="AE20" i="1" s="1"/>
  <c r="AA20" i="1" s="1"/>
  <c r="Q18" i="1"/>
  <c r="AB18" i="1" s="1"/>
  <c r="Y18" i="1"/>
  <c r="AE18" i="1" s="1"/>
  <c r="Y21" i="1"/>
  <c r="AE21" i="1" s="1"/>
  <c r="AA21" i="1" s="1"/>
  <c r="Q21" i="1"/>
  <c r="AB21" i="1" s="1"/>
  <c r="Y17" i="1"/>
  <c r="AE17" i="1" s="1"/>
  <c r="AA17" i="1" s="1"/>
  <c r="Q17" i="1"/>
  <c r="AB17" i="1" s="1"/>
  <c r="Y19" i="1"/>
  <c r="AE19" i="1" s="1"/>
  <c r="AA19" i="1" s="1"/>
  <c r="Q16" i="1"/>
  <c r="AB16" i="1" s="1"/>
  <c r="Y16" i="1"/>
  <c r="K22" i="1"/>
  <c r="K195" i="1" s="1"/>
  <c r="AA18" i="1" l="1"/>
  <c r="AC19" i="1"/>
  <c r="AC20" i="1"/>
  <c r="AC18" i="1"/>
  <c r="AC17" i="1"/>
  <c r="AG94" i="1"/>
  <c r="AG131" i="1"/>
  <c r="AG161" i="1"/>
  <c r="AC21" i="1"/>
  <c r="AB194" i="1"/>
  <c r="AG102" i="1"/>
  <c r="AG182" i="1"/>
  <c r="AG58" i="1"/>
  <c r="AG173" i="1"/>
  <c r="AG151" i="1"/>
  <c r="AG51" i="1"/>
  <c r="AG33" i="1"/>
  <c r="AG70" i="1"/>
  <c r="AG186" i="1"/>
  <c r="AG62" i="1"/>
  <c r="AG22" i="1"/>
  <c r="Y22" i="1"/>
  <c r="Y195" i="1" s="1"/>
  <c r="X197" i="1" s="1"/>
  <c r="AE16" i="1"/>
  <c r="AE194" i="1" s="1"/>
  <c r="Q22" i="1"/>
  <c r="Q195" i="1" s="1"/>
  <c r="AA16" i="1" l="1"/>
  <c r="AC16" i="1" l="1"/>
  <c r="AC194" i="1" s="1"/>
  <c r="X199" i="1" l="1"/>
</calcChain>
</file>

<file path=xl/sharedStrings.xml><?xml version="1.0" encoding="utf-8"?>
<sst xmlns="http://schemas.openxmlformats.org/spreadsheetml/2006/main" count="1019" uniqueCount="343">
  <si>
    <t>Seller:</t>
  </si>
  <si>
    <t>Consignee:</t>
  </si>
  <si>
    <t xml:space="preserve">A/C No. : </t>
  </si>
  <si>
    <t xml:space="preserve">C/T No. : </t>
  </si>
  <si>
    <t>PO#</t>
    <phoneticPr fontId="11" type="noConversion"/>
  </si>
  <si>
    <t>Item No.</t>
    <phoneticPr fontId="11" type="noConversion"/>
  </si>
  <si>
    <t>Metal</t>
    <phoneticPr fontId="11" type="noConversion"/>
  </si>
  <si>
    <t>Q'ty</t>
    <phoneticPr fontId="11" type="noConversion"/>
  </si>
  <si>
    <t>Total w't</t>
    <phoneticPr fontId="11" type="noConversion"/>
  </si>
  <si>
    <t>Wire w't</t>
    <phoneticPr fontId="11" type="noConversion"/>
  </si>
  <si>
    <t>Labor</t>
    <phoneticPr fontId="11" type="noConversion"/>
  </si>
  <si>
    <t>SIGNED BY</t>
    <phoneticPr fontId="20" type="noConversion"/>
  </si>
  <si>
    <t>Labor
Cost</t>
    <phoneticPr fontId="11" type="noConversion"/>
  </si>
  <si>
    <t>Wire
Cost</t>
    <phoneticPr fontId="11" type="noConversion"/>
  </si>
  <si>
    <t>Gold w't</t>
    <phoneticPr fontId="11" type="noConversion"/>
  </si>
  <si>
    <t>Setting
Cost</t>
    <phoneticPr fontId="3" type="noConversion"/>
  </si>
  <si>
    <t>Total Amount</t>
    <phoneticPr fontId="3" type="noConversion"/>
  </si>
  <si>
    <t>Deposit</t>
    <phoneticPr fontId="3" type="noConversion"/>
  </si>
  <si>
    <t>Balance</t>
    <phoneticPr fontId="3" type="noConversion"/>
  </si>
  <si>
    <t>Tel : 62-286-598-8594   Fax : 62-286-598-8650</t>
    <phoneticPr fontId="11" type="noConversion"/>
  </si>
  <si>
    <t>Stone</t>
    <phoneticPr fontId="3" type="noConversion"/>
  </si>
  <si>
    <t>Stone Q'ty</t>
    <phoneticPr fontId="3" type="noConversion"/>
  </si>
  <si>
    <t>Gold &amp; 5%
Cost</t>
    <phoneticPr fontId="11" type="noConversion"/>
  </si>
  <si>
    <t>Color</t>
    <phoneticPr fontId="3" type="noConversion"/>
  </si>
  <si>
    <t>Buyer No.</t>
    <phoneticPr fontId="3" type="noConversion"/>
  </si>
  <si>
    <t>PRESIDENT     J.E. PARK</t>
    <phoneticPr fontId="3" type="noConversion"/>
  </si>
  <si>
    <t>FREIGHT CHARGE</t>
  </si>
  <si>
    <t>Invoice No. &amp; Date :</t>
  </si>
  <si>
    <t>L/C No. &amp; Date :</t>
    <phoneticPr fontId="11" type="noConversion"/>
  </si>
  <si>
    <t xml:space="preserve">"GSP eligible Article" </t>
    <phoneticPr fontId="4" type="noConversion"/>
  </si>
  <si>
    <t>Terms of  Payment:</t>
  </si>
  <si>
    <t>Country of Origin :</t>
    <phoneticPr fontId="4" type="noConversion"/>
  </si>
  <si>
    <t>INDONESIA</t>
    <phoneticPr fontId="4" type="noConversion"/>
  </si>
  <si>
    <t xml:space="preserve">B/L No. : </t>
    <phoneticPr fontId="9" type="noConversion"/>
  </si>
  <si>
    <t xml:space="preserve">Departure Date :     </t>
    <phoneticPr fontId="3" type="noConversion"/>
  </si>
  <si>
    <t xml:space="preserve">From :      </t>
    <phoneticPr fontId="3" type="noConversion"/>
  </si>
  <si>
    <t xml:space="preserve">To :      </t>
    <phoneticPr fontId="3" type="noConversion"/>
  </si>
  <si>
    <t>INDONESIA</t>
    <phoneticPr fontId="3" type="noConversion"/>
  </si>
  <si>
    <t>U.S.A</t>
    <phoneticPr fontId="3" type="noConversion"/>
  </si>
  <si>
    <t>PT. VERONIQUE INDONESIA</t>
  </si>
  <si>
    <t>Jawa Tengah  Zip Code : 53472   INDONESIA</t>
  </si>
  <si>
    <t>(Buyer : if then Consignee):</t>
  </si>
  <si>
    <t xml:space="preserve">Vessel/Flight :     </t>
  </si>
  <si>
    <t>Jl. Raya Purwonegoro, Rt. 007/003  Purwonegoro, Banjarnegara,  Jawa Tengah   Zip Code : 53472   INDONESIA</t>
  </si>
  <si>
    <t>Jl. Raya Purwonegoro, Rt. 007/003  Purwonegoro, Banjarnegara,</t>
  </si>
  <si>
    <t>PROFORMA INVOICE</t>
  </si>
  <si>
    <t>Buyer PO</t>
  </si>
  <si>
    <t>Cust. Ref No.</t>
  </si>
  <si>
    <t>Dia w't</t>
  </si>
  <si>
    <t>Stone
Cost</t>
  </si>
  <si>
    <t>Dia Carat</t>
  </si>
  <si>
    <t>Extra Cost</t>
  </si>
  <si>
    <t>to Veronique Oro Corp.</t>
  </si>
  <si>
    <t>Plating Cost</t>
  </si>
  <si>
    <t xml:space="preserve">All unpaid balance will be charged 1.5% per month. </t>
  </si>
  <si>
    <t>Dia Packaging Cost</t>
  </si>
  <si>
    <t>maklon</t>
  </si>
  <si>
    <t>material cost</t>
  </si>
  <si>
    <t>total</t>
  </si>
  <si>
    <t>gold price</t>
  </si>
  <si>
    <t>dia price</t>
  </si>
  <si>
    <t>plating</t>
  </si>
  <si>
    <t>Buyer Dia/Mounting/PTV Dia</t>
  </si>
  <si>
    <t>24K Gold W't &amp; Loss</t>
  </si>
  <si>
    <t>*) 24K current gold balance PO#</t>
  </si>
  <si>
    <t>*) 24K gold previous balance PO#</t>
  </si>
  <si>
    <t>*) Total 24K previous balance =</t>
  </si>
  <si>
    <t>*) Total 24K current gold balance =</t>
  </si>
  <si>
    <t>old labor</t>
  </si>
  <si>
    <t>labor amount</t>
  </si>
  <si>
    <t>Dia Handling Service Fee</t>
  </si>
  <si>
    <t>SUBTOTAL</t>
  </si>
  <si>
    <t xml:space="preserve">HEERA MOTI INC </t>
  </si>
  <si>
    <t>HM250130DM-14K</t>
  </si>
  <si>
    <t>H0172B06 6.75"</t>
  </si>
  <si>
    <t>K0006B17 OV 6.75"</t>
  </si>
  <si>
    <t>K0060B70 OV 6.75"</t>
  </si>
  <si>
    <t>14K YG</t>
  </si>
  <si>
    <t>1.00mm
1.40mm
2.50mm</t>
  </si>
  <si>
    <t>39pcs
1pcs
2pcs</t>
  </si>
  <si>
    <t>5th Mar London AM + 1%</t>
  </si>
  <si>
    <t>K0060B71 OV 6.75"</t>
  </si>
  <si>
    <t>14K WYG</t>
  </si>
  <si>
    <t>Mounting</t>
  </si>
  <si>
    <t>17 Sep London AM + 1%</t>
  </si>
  <si>
    <t>24K Gold w't &amp; loss</t>
  </si>
  <si>
    <t>HM240830DB-1-14K</t>
  </si>
  <si>
    <t>W</t>
  </si>
  <si>
    <t>K02532B02 6.75"</t>
  </si>
  <si>
    <t>K02532B03 6.75"</t>
  </si>
  <si>
    <t>11th Feb London AM + 1%</t>
  </si>
  <si>
    <t>HM250207RB-14K</t>
  </si>
  <si>
    <t>K02138B01 6.5"</t>
  </si>
  <si>
    <t>STOCK (20W, 20Y)</t>
  </si>
  <si>
    <t>14K WG</t>
  </si>
  <si>
    <t>K02138B02 6.5"</t>
  </si>
  <si>
    <t>Buyer Dia</t>
  </si>
  <si>
    <t>HM250224DM-14K</t>
  </si>
  <si>
    <t>K02272TB03 C1 7"</t>
  </si>
  <si>
    <t>K02272TB04 C1 7"</t>
  </si>
  <si>
    <t>K02272TB05 C1 7"</t>
  </si>
  <si>
    <t>K02266TB02 C1 7"</t>
  </si>
  <si>
    <t>K02266TB03 C1 7"</t>
  </si>
  <si>
    <t>K02266TB04 C1 7"</t>
  </si>
  <si>
    <t>1.50mm
2.00mm</t>
  </si>
  <si>
    <t>K01078E02</t>
  </si>
  <si>
    <t>2.10mm
2.50mm</t>
  </si>
  <si>
    <t>12pcs
6pcs</t>
  </si>
  <si>
    <t>28th Feb London AM + 1%</t>
  </si>
  <si>
    <t>HM250224RB-14K</t>
  </si>
  <si>
    <t>K02138B02 6.75"</t>
  </si>
  <si>
    <t>42878/101 (1Y)
STOCK (2Y)</t>
  </si>
  <si>
    <t>K02567B04 6.75"</t>
  </si>
  <si>
    <t>42878/102 (1W)
STOCK (2W)</t>
  </si>
  <si>
    <t>K02138B10 6.75"</t>
  </si>
  <si>
    <t>STOCK (2W)</t>
  </si>
  <si>
    <t>K02567B03 6.75"</t>
  </si>
  <si>
    <t>42878/104 (1W)
STOCK (2W)</t>
  </si>
  <si>
    <t>6th Mar London AM + 1%</t>
  </si>
  <si>
    <t>HM250304RB-14K</t>
  </si>
  <si>
    <t>K02138B08 6.5"</t>
  </si>
  <si>
    <t>43008/101 (2Y)
STOCK (1Y)</t>
  </si>
  <si>
    <t>12th Mar London AM + 1%</t>
  </si>
  <si>
    <t>HM250310RB-14K</t>
  </si>
  <si>
    <t>43062/101 (1W) 
43082/101 (1W)</t>
  </si>
  <si>
    <t>K02138B02 7"</t>
  </si>
  <si>
    <t>43056/102 (1W)</t>
  </si>
  <si>
    <t>STOCK (1W)</t>
  </si>
  <si>
    <t>K02138B10 6.5"</t>
  </si>
  <si>
    <t>28th Mar London AM + 1%</t>
  </si>
  <si>
    <t>HM250326RM-14K</t>
  </si>
  <si>
    <t>K0038B12 OV H 6"</t>
  </si>
  <si>
    <t>43285/101 (1R)</t>
  </si>
  <si>
    <t>14K RG</t>
  </si>
  <si>
    <t>K0038B12 OV H 6.75"</t>
  </si>
  <si>
    <t>K0098B13 6.75"</t>
  </si>
  <si>
    <t>43324/101 (1W)</t>
  </si>
  <si>
    <t>1.50mm
1.60mm</t>
  </si>
  <si>
    <t>16pcs
12pcs</t>
  </si>
  <si>
    <t>43312/101 (2Y)</t>
  </si>
  <si>
    <t>K0301B01 6.5"</t>
  </si>
  <si>
    <t>43313/101 (1W)</t>
  </si>
  <si>
    <t>1.65mm
1.70mm
2.70mm</t>
  </si>
  <si>
    <t>32pcs
33pcs
4pcs</t>
  </si>
  <si>
    <t>K0301B01 6.75"</t>
  </si>
  <si>
    <t>K0038B11 OV H 6.75"</t>
  </si>
  <si>
    <t>43314/101 (1Y)
STOCK (2Y)</t>
  </si>
  <si>
    <t>K5025E55 OV</t>
  </si>
  <si>
    <t>43319/102 (1W)
STOCK (1W)</t>
  </si>
  <si>
    <t>43319/101 (1Y)</t>
  </si>
  <si>
    <t>K0098B151 6.75"</t>
  </si>
  <si>
    <t>43317/101 (1W)
STOCK (2W)</t>
  </si>
  <si>
    <t>K0098B349 6.75"</t>
  </si>
  <si>
    <t>43317/102 (1W)
STOCK (2W)</t>
  </si>
  <si>
    <t>K0098B52 6.75"</t>
  </si>
  <si>
    <t>43317/103 (1W)
STOCK (2W)</t>
  </si>
  <si>
    <t>K0098B80 6.75"</t>
  </si>
  <si>
    <t>43317/104 (1W)
STOCK (2W)</t>
  </si>
  <si>
    <t>K01012E02</t>
  </si>
  <si>
    <t>43316/101 (1Y)
STOCK (2Y)</t>
  </si>
  <si>
    <t>K0039B22 6"</t>
  </si>
  <si>
    <t>43249/101 (1W)</t>
  </si>
  <si>
    <t>2.80mm
2.70mm
2.60mm
2.50mm
2.90mm
3.00mm
3.20mm
3.10mm</t>
  </si>
  <si>
    <t>4pcs
4pcs
2pcs
2pcs
4pcs
4pcs
3pcs
6pcs</t>
  </si>
  <si>
    <t>K0039B22 6.75"</t>
  </si>
  <si>
    <t>1.90mm
2.70mm</t>
  </si>
  <si>
    <t>10pcs
5pcs</t>
  </si>
  <si>
    <t>K0098B62 6.75"</t>
  </si>
  <si>
    <t>STOCK (2T)</t>
  </si>
  <si>
    <t>K0098B157 6.75"</t>
  </si>
  <si>
    <t>STOCK (2YW)</t>
  </si>
  <si>
    <t>1.80mm
OV 5.0*4.0</t>
  </si>
  <si>
    <t>24pcs
7pcs</t>
  </si>
  <si>
    <t>K0098B48 8"</t>
  </si>
  <si>
    <t>43341/101 (1YW)</t>
  </si>
  <si>
    <t>K0098B48 6.75"</t>
  </si>
  <si>
    <t>K0289E22 0.4"</t>
  </si>
  <si>
    <t>43330/101 (1W)
STOCK (2W)</t>
  </si>
  <si>
    <t xml:space="preserve"> 31st Mar London AM + 1%</t>
  </si>
  <si>
    <t>HM250327RM-14K</t>
  </si>
  <si>
    <t>K0098B153 6.75"</t>
  </si>
  <si>
    <t>43348/101 (1Y)
STOCK (2Y)</t>
  </si>
  <si>
    <t>K0038B103 OV H 6.5"</t>
  </si>
  <si>
    <t>43348/102 (1W)</t>
  </si>
  <si>
    <t>K0038B103 OV H 6.75"</t>
  </si>
  <si>
    <t>K0107B01 6.75"</t>
  </si>
  <si>
    <t>STOCK (2Y)</t>
  </si>
  <si>
    <t>43343/101 (3Y)</t>
  </si>
  <si>
    <t>4th Apr London AM + 1%</t>
  </si>
  <si>
    <t>HM250401RM-14K</t>
  </si>
  <si>
    <t>K0040B54 OV H 6.75"</t>
  </si>
  <si>
    <t>43361/101 (1Y)
STOCK (2Y)</t>
  </si>
  <si>
    <t>EM 6.0*4.0
1.50mm</t>
  </si>
  <si>
    <t>2pcs
80pcs</t>
  </si>
  <si>
    <t>K0674TB31 C1 7"</t>
  </si>
  <si>
    <t>43393/101 (1W)
STOCK (2W)</t>
  </si>
  <si>
    <t>K0039B22 OV H 6"</t>
  </si>
  <si>
    <t>43396/101 (1W)</t>
  </si>
  <si>
    <t>K0039B22 OV H 6.75"</t>
  </si>
  <si>
    <t>K0132B37 OV H 6.75"</t>
  </si>
  <si>
    <t>43382/101 (1YW)
STOCK (2YW)</t>
  </si>
  <si>
    <t>1.80mm
EM 6.0*4.0</t>
  </si>
  <si>
    <t>35pcs
2pcs</t>
  </si>
  <si>
    <t>K0098B351 6.75"</t>
  </si>
  <si>
    <t>43382/102 (1YW)
STOCK (2YW)</t>
  </si>
  <si>
    <t>1.55mm
2.00mm</t>
  </si>
  <si>
    <t>K01093B01 6.75"</t>
  </si>
  <si>
    <t>43382/103 (1Y)
STOCK (2Y)</t>
  </si>
  <si>
    <t>2.00mm
2.30mm</t>
  </si>
  <si>
    <t>4pcs
1pcs</t>
  </si>
  <si>
    <t>K0038B13 OV F 6.75"</t>
  </si>
  <si>
    <t>43397/101 (1W)
STOCK (1W)</t>
  </si>
  <si>
    <t>43397/102 (1Y)</t>
  </si>
  <si>
    <t>43368/101 (1YW)
STOCK (2YW)</t>
  </si>
  <si>
    <t>K0862E01</t>
  </si>
  <si>
    <t>43368/102 (1Y)
STOCK (2Y)</t>
  </si>
  <si>
    <t>2.70mm
EM 6.0*4.0</t>
  </si>
  <si>
    <t>4pcs
2pcs</t>
  </si>
  <si>
    <t>K0253B01 OV H 6.75"</t>
  </si>
  <si>
    <t>43355/101 (1Y)
STOCK (2Y)</t>
  </si>
  <si>
    <t>K0159B04 OV H 6.75"</t>
  </si>
  <si>
    <t>43350/101 (1Y)
STOCK (2Y)</t>
  </si>
  <si>
    <t>1.30mm
OV 5.0*3.0</t>
  </si>
  <si>
    <t>32pcs
5pcs</t>
  </si>
  <si>
    <t>K01001B02 6.75"</t>
  </si>
  <si>
    <t>43350/102 (1Y)
STOCK (2Y)</t>
  </si>
  <si>
    <t>OV 6.0*4.0
1.90mm</t>
  </si>
  <si>
    <t>7pcs
12pcs</t>
  </si>
  <si>
    <t>K0098B56 6.25"</t>
  </si>
  <si>
    <t>43352/101 (1YW)</t>
  </si>
  <si>
    <t>K0098B56 6.75"</t>
  </si>
  <si>
    <t>K0038B14 OV H 6.25"</t>
  </si>
  <si>
    <t>43352/102 (1W)</t>
  </si>
  <si>
    <t>43352/103 (1Y)</t>
  </si>
  <si>
    <t>K0038B14 OV H 8"</t>
  </si>
  <si>
    <t>43353/101 (1Y)</t>
  </si>
  <si>
    <t>K0038B15 OV H 6.75"</t>
  </si>
  <si>
    <t>43380/101 (1YW)
STOCK (2YW)</t>
  </si>
  <si>
    <t>K01481B08 6.75"</t>
  </si>
  <si>
    <t>43380/102 (1YW)
STOCK (2YW)</t>
  </si>
  <si>
    <t>2.10mm
OV 5.0*3.0</t>
  </si>
  <si>
    <t>28pcs
5pcs</t>
  </si>
  <si>
    <t>K0214TB32 C1 7"</t>
  </si>
  <si>
    <t>43372/101 (1Y)
STOCK (2Y)</t>
  </si>
  <si>
    <t>1.75mm
OV 6.0*5.0</t>
  </si>
  <si>
    <t>77pcs
5pcs</t>
  </si>
  <si>
    <t>K0038B300 OV H 6.75"</t>
  </si>
  <si>
    <t>K0098B86 6.5"</t>
  </si>
  <si>
    <t>43370/101 (1W)</t>
  </si>
  <si>
    <t>K0098B86 6.75"</t>
  </si>
  <si>
    <t>K0218TN48 C1 18"</t>
  </si>
  <si>
    <t>2.75mm
2.90mm
3.10mm
3.30mm
3.50mm
3.70mm
4.25mm
5.20mm
5.70mm
6.25mm</t>
  </si>
  <si>
    <t>89pcs
6pcs
6pcs
6pcs
6pcs
6pcs
6pcs
6pcs
4pcs
1pcs</t>
  </si>
  <si>
    <t>7th Apr London AM + 1%</t>
  </si>
  <si>
    <t>HM250403RM-14K</t>
  </si>
  <si>
    <t>K0098B153 6"</t>
  </si>
  <si>
    <t>43400/101 (1YW)</t>
  </si>
  <si>
    <t>K0038B21 OV F 6.75"</t>
  </si>
  <si>
    <t>K0038B14 OV H 6.5"</t>
  </si>
  <si>
    <t>43410/101 (1Y)</t>
  </si>
  <si>
    <t>K0038B14 OV H 6"</t>
  </si>
  <si>
    <t>43406/102 (1W)</t>
  </si>
  <si>
    <t>K0038B14 OV H 6.75"</t>
  </si>
  <si>
    <t>43424/101 (1Y)
43424/102 (1Y)</t>
  </si>
  <si>
    <t>K0159B04 OV H 6"</t>
  </si>
  <si>
    <t>43406/101 (1Y)</t>
  </si>
  <si>
    <t>K0676B09 OV H 6.75"</t>
  </si>
  <si>
    <t>43435/101 (1YW)
STOCK (2YW)</t>
  </si>
  <si>
    <t>14pcs
13pcs</t>
  </si>
  <si>
    <t>K5024E38-RD 1"</t>
  </si>
  <si>
    <t>43433/101 (1Y)
STOCK (2Y)</t>
  </si>
  <si>
    <t>K0038B15 OV H 6.25"</t>
  </si>
  <si>
    <t>43429/101 (1Y)</t>
  </si>
  <si>
    <t>K0674TB19 C1 7"</t>
  </si>
  <si>
    <t>43427/101 (2W)
STOCK (1W)</t>
  </si>
  <si>
    <t>K0674TB18 C1 7"</t>
  </si>
  <si>
    <t>43427/102 (2W)
STOCK (1W)</t>
  </si>
  <si>
    <t>K0674TB27 C1 7.5"</t>
  </si>
  <si>
    <t>43421/101 (1W)</t>
  </si>
  <si>
    <t>K0674TB27 C1 7"</t>
  </si>
  <si>
    <t>K5024E174 1.35"</t>
  </si>
  <si>
    <t>43419/101 (1Y)
STOCK (2Y)</t>
  </si>
  <si>
    <t>HM250404RM-14K</t>
  </si>
  <si>
    <t>K0098B64 6.75"</t>
  </si>
  <si>
    <t>43442/101 (1W)
STOCK (2W)</t>
  </si>
  <si>
    <t>K01453N02 18"</t>
  </si>
  <si>
    <t>43442/102 (1Y)</t>
  </si>
  <si>
    <t>1.50mm
1.70mm</t>
  </si>
  <si>
    <t>$6.50/g+$2.00/station</t>
  </si>
  <si>
    <t>K01453N02 16"+1"+1"</t>
  </si>
  <si>
    <t>K0289E14 0.4"</t>
  </si>
  <si>
    <t>43440/101 (1R)</t>
  </si>
  <si>
    <t>K01453N01 18"</t>
  </si>
  <si>
    <t>43450/101 (1W)</t>
  </si>
  <si>
    <t>8pcs
12pcs</t>
  </si>
  <si>
    <t>K01453N01 16"+1"+1"</t>
  </si>
  <si>
    <t>9th Apr  London AM + 1%</t>
  </si>
  <si>
    <t>HM250407RM-14K</t>
  </si>
  <si>
    <t>K5024E152 1.05"</t>
  </si>
  <si>
    <t>43451/101 (1Y)
STOCK (2Y)</t>
  </si>
  <si>
    <t>4.30mm
4.80mm</t>
  </si>
  <si>
    <t>8pcs
14pcs</t>
  </si>
  <si>
    <t>K0098B162 6"</t>
  </si>
  <si>
    <t>43453/101 (1Y)</t>
  </si>
  <si>
    <t>1.80mm
1.90mm
EM 7.0*5.0</t>
  </si>
  <si>
    <t>14pcs
2pcs
1pcs</t>
  </si>
  <si>
    <t>K0098B162 6.75"</t>
  </si>
  <si>
    <t>K0098B537 6.75"</t>
  </si>
  <si>
    <t>43454/101 (1W)
STOCK (2W)</t>
  </si>
  <si>
    <t>K0098B69 6.75"</t>
  </si>
  <si>
    <t>43454/102 (1W)
STOCK (2W)</t>
  </si>
  <si>
    <t>2.30mm
2.70mm</t>
  </si>
  <si>
    <t>2pcs
1pcs</t>
  </si>
  <si>
    <t>43465/101 (1W)
STOCK (2W)</t>
  </si>
  <si>
    <t>K0038B09 OV F 6.5"</t>
  </si>
  <si>
    <t>43465/102 (1Y)</t>
  </si>
  <si>
    <t>K0038B09 OV F 6.75"</t>
  </si>
  <si>
    <t>K0289E16 OV 0.82"</t>
  </si>
  <si>
    <t>43467/101 (1W)
STOCK (2W)</t>
  </si>
  <si>
    <t>11th Apr London AM + 1%</t>
  </si>
  <si>
    <t>HM250409RM-14K</t>
  </si>
  <si>
    <t>K0098B235 6.5"</t>
  </si>
  <si>
    <t>43471/101 (1Y)</t>
  </si>
  <si>
    <t>K0098B235 6.25"</t>
  </si>
  <si>
    <t>43471/102 (1Y)</t>
  </si>
  <si>
    <t>K0098B235 6.75"</t>
  </si>
  <si>
    <t>STOCK (1Y)</t>
  </si>
  <si>
    <t>K02214TB01 C1 7"</t>
  </si>
  <si>
    <t>36pcs
12pcs</t>
  </si>
  <si>
    <t>K0038B14 OV H 7.25"</t>
  </si>
  <si>
    <t>43477/101 (1R)</t>
  </si>
  <si>
    <t>HM250409RM-14K-1</t>
  </si>
  <si>
    <t>43482/101 (1Y)</t>
  </si>
  <si>
    <t>26 Mar London AM + 1%</t>
  </si>
  <si>
    <t>HM250324RM-14K</t>
  </si>
  <si>
    <t>K0218TN44 C1 18"</t>
  </si>
  <si>
    <t>43260/101 (1W)
STOCK (2W)</t>
  </si>
  <si>
    <t>1.75mm
1.90mm
2.30mm
2.75mm
2.90mm
3.10mm
3.30mm
3.50mm
3.70mm
4.25mm
5.20mm
5.70mm</t>
  </si>
  <si>
    <t>138pcs
8pcs
8pcs
6pcs
6pcs
6pcs
6pcs
6pcs
6pcs
4pcs
2pcs
1pcs</t>
  </si>
  <si>
    <t>17 Apr London AM + 1%</t>
  </si>
  <si>
    <t>HM250415RM-14K-1</t>
  </si>
  <si>
    <t>43519/101 (1Y)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</si>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</sst>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_-;\-* #,##0_-;_-* &quot;-&quot;_-;_-@_-"/>
    <numFmt numFmtId="165" formatCode="[$-409]d&quot;-&quot;mmm&quot;-&quot;yy;@"/>
    <numFmt numFmtId="166" formatCode="0.00\ &quot;gr&quot;"/>
    <numFmt numFmtId="167" formatCode="0.000\ &quot;cts&quot;"/>
    <numFmt numFmtId="168" formatCode="0\ &quot;pcs&quot;"/>
    <numFmt numFmtId="169" formatCode="\$\ #,#00.00\ &quot;/oz&quot;"/>
    <numFmt numFmtId="170" formatCode="\$\ 0.00"/>
    <numFmt numFmtId="171" formatCode="\$#,##0.00"/>
    <numFmt numFmtId="172" formatCode="#,#00.00\ &quot;gr&quot;"/>
    <numFmt numFmtId="173" formatCode="0.00&quot;mm&quot;"/>
    <numFmt numFmtId="174" formatCode="#,##0.00\ &quot;g&quot;"/>
    <numFmt numFmtId="175" formatCode="\$0.00&quot;/g&quot;"/>
    <numFmt numFmtId="176" formatCode="#,##0.000\ &quot;ct&quot;"/>
    <numFmt numFmtId="177" formatCode="0.00\ &quot;g&quot;"/>
    <numFmt numFmtId="178" formatCode="0.00\ &quot;mm&quot;"/>
  </numFmts>
  <fonts count="37">
    <font>
      <sz val="11"/>
      <color theme="1"/>
      <name val="Calibri"/>
      <family val="2"/>
      <scheme val="minor"/>
    </font>
    <font>
      <sz val="12"/>
      <name val="宋体"/>
      <family val="3"/>
      <charset val="129"/>
    </font>
    <font>
      <b/>
      <i/>
      <sz val="20"/>
      <name val="Times New Roman"/>
      <family val="1"/>
    </font>
    <font>
      <sz val="8"/>
      <name val="Times New Roman"/>
      <family val="2"/>
      <charset val="129"/>
    </font>
    <font>
      <sz val="8"/>
      <name val="돋움"/>
      <family val="3"/>
      <charset val="129"/>
    </font>
    <font>
      <i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sz val="8"/>
      <name val="돋움"/>
      <family val="3"/>
    </font>
    <font>
      <b/>
      <sz val="12"/>
      <name val="Times New Roman"/>
      <family val="1"/>
    </font>
    <font>
      <sz val="8"/>
      <name val="Calibri"/>
      <family val="3"/>
      <charset val="129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4"/>
      <color rgb="FFFF0000"/>
      <name val="Times New Roman"/>
      <family val="1"/>
    </font>
    <font>
      <b/>
      <sz val="10"/>
      <color theme="0" tint="-0.499984740745262"/>
      <name val="Times New Roman"/>
      <family val="1"/>
    </font>
    <font>
      <sz val="9"/>
      <name val="宋体"/>
      <charset val="134"/>
    </font>
    <font>
      <b/>
      <sz val="14"/>
      <name val="Times New Roman"/>
      <family val="1"/>
    </font>
    <font>
      <u/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14"/>
      <color theme="1"/>
      <name val="Times New Roman"/>
      <family val="1"/>
    </font>
    <font>
      <b/>
      <sz val="10"/>
      <color theme="1" tint="0.499984740745262"/>
      <name val="Times New Roman"/>
      <family val="1"/>
    </font>
    <font>
      <b/>
      <sz val="10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8"/>
      <color rgb="FF222222"/>
      <name val="Comic Sans MS"/>
      <family val="4"/>
    </font>
    <font>
      <sz val="10"/>
      <color rgb="FFFF0000"/>
      <name val="Times New Roman"/>
      <family val="1"/>
    </font>
    <font>
      <i/>
      <u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 tint="0.499984740745262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medium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3" fillId="0" borderId="0" applyFont="0" applyFill="0" applyBorder="0" applyAlignment="0" applyProtection="0"/>
  </cellStyleXfs>
  <cellXfs count="177">
    <xf numFmtId="0" fontId="0" fillId="0" borderId="0" xfId="0"/>
    <xf numFmtId="0" fontId="5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6" xfId="1" applyFont="1" applyBorder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165" fontId="6" fillId="0" borderId="6" xfId="1" applyNumberFormat="1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6" fillId="0" borderId="11" xfId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2" fontId="13" fillId="0" borderId="0" xfId="0" applyNumberFormat="1" applyFont="1" applyAlignment="1">
      <alignment vertical="center"/>
    </xf>
    <xf numFmtId="167" fontId="13" fillId="0" borderId="0" xfId="0" applyNumberFormat="1" applyFont="1" applyAlignment="1">
      <alignment horizontal="left" vertical="center"/>
    </xf>
    <xf numFmtId="168" fontId="13" fillId="0" borderId="0" xfId="0" applyNumberFormat="1" applyFont="1" applyAlignment="1">
      <alignment vertical="center"/>
    </xf>
    <xf numFmtId="167" fontId="13" fillId="0" borderId="0" xfId="0" applyNumberFormat="1" applyFont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Alignment="1">
      <alignment horizontal="right" vertical="center"/>
    </xf>
    <xf numFmtId="170" fontId="13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6" fillId="0" borderId="1" xfId="2" applyFont="1" applyBorder="1" applyAlignment="1">
      <alignment horizontal="center" vertical="center"/>
    </xf>
    <xf numFmtId="171" fontId="13" fillId="0" borderId="13" xfId="0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5" fillId="0" borderId="0" xfId="2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6" fillId="0" borderId="3" xfId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167" fontId="15" fillId="3" borderId="12" xfId="0" applyNumberFormat="1" applyFont="1" applyFill="1" applyBorder="1" applyAlignment="1">
      <alignment horizontal="center" vertical="center" wrapText="1"/>
    </xf>
    <xf numFmtId="165" fontId="6" fillId="0" borderId="9" xfId="1" applyNumberFormat="1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7" fontId="16" fillId="0" borderId="0" xfId="0" applyNumberFormat="1" applyFont="1" applyAlignment="1">
      <alignment vertical="center"/>
    </xf>
    <xf numFmtId="0" fontId="15" fillId="3" borderId="15" xfId="0" applyFont="1" applyFill="1" applyBorder="1" applyAlignment="1">
      <alignment horizontal="center" vertical="center" wrapText="1"/>
    </xf>
    <xf numFmtId="166" fontId="13" fillId="0" borderId="0" xfId="0" applyNumberFormat="1" applyFont="1" applyAlignment="1">
      <alignment vertical="center"/>
    </xf>
    <xf numFmtId="167" fontId="24" fillId="0" borderId="0" xfId="0" applyNumberFormat="1" applyFont="1" applyAlignment="1">
      <alignment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9" fillId="0" borderId="1" xfId="2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1" xfId="0" applyFont="1" applyBorder="1" applyAlignment="1">
      <alignment vertical="center"/>
    </xf>
    <xf numFmtId="166" fontId="12" fillId="0" borderId="18" xfId="0" applyNumberFormat="1" applyFont="1" applyBorder="1" applyAlignment="1">
      <alignment horizontal="center" vertical="center"/>
    </xf>
    <xf numFmtId="168" fontId="12" fillId="0" borderId="18" xfId="0" applyNumberFormat="1" applyFont="1" applyBorder="1" applyAlignment="1">
      <alignment horizontal="center" vertical="center"/>
    </xf>
    <xf numFmtId="167" fontId="12" fillId="0" borderId="18" xfId="0" applyNumberFormat="1" applyFont="1" applyBorder="1" applyAlignment="1">
      <alignment horizontal="center" vertical="center"/>
    </xf>
    <xf numFmtId="171" fontId="13" fillId="0" borderId="18" xfId="0" applyNumberFormat="1" applyFont="1" applyBorder="1" applyAlignment="1">
      <alignment horizontal="center" vertical="center"/>
    </xf>
    <xf numFmtId="171" fontId="17" fillId="0" borderId="18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1" fontId="17" fillId="0" borderId="20" xfId="0" applyNumberFormat="1" applyFont="1" applyBorder="1" applyAlignment="1">
      <alignment horizontal="center" vertical="center"/>
    </xf>
    <xf numFmtId="172" fontId="13" fillId="0" borderId="20" xfId="0" applyNumberFormat="1" applyFont="1" applyBorder="1" applyAlignment="1">
      <alignment horizontal="center" vertical="center"/>
    </xf>
    <xf numFmtId="167" fontId="17" fillId="0" borderId="20" xfId="0" applyNumberFormat="1" applyFont="1" applyBorder="1" applyAlignment="1">
      <alignment horizontal="center" vertical="center"/>
    </xf>
    <xf numFmtId="171" fontId="17" fillId="0" borderId="20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71" fontId="17" fillId="0" borderId="18" xfId="0" applyNumberFormat="1" applyFont="1" applyBorder="1" applyAlignment="1">
      <alignment horizontal="right" vertical="center"/>
    </xf>
    <xf numFmtId="167" fontId="27" fillId="0" borderId="0" xfId="0" applyNumberFormat="1" applyFont="1" applyAlignment="1">
      <alignment horizontal="right" vertical="center"/>
    </xf>
    <xf numFmtId="170" fontId="6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4" fontId="6" fillId="0" borderId="6" xfId="1" applyNumberFormat="1" applyFont="1" applyBorder="1" applyAlignment="1">
      <alignment vertical="center"/>
    </xf>
    <xf numFmtId="0" fontId="29" fillId="0" borderId="0" xfId="0" applyFont="1"/>
    <xf numFmtId="0" fontId="30" fillId="0" borderId="0" xfId="0" applyFont="1"/>
    <xf numFmtId="165" fontId="6" fillId="0" borderId="6" xfId="1" applyNumberFormat="1" applyFont="1" applyBorder="1" applyAlignment="1">
      <alignment horizontal="right" vertical="center"/>
    </xf>
    <xf numFmtId="0" fontId="6" fillId="0" borderId="6" xfId="1" applyFont="1" applyBorder="1" applyAlignment="1">
      <alignment horizontal="right" vertical="center"/>
    </xf>
    <xf numFmtId="14" fontId="6" fillId="0" borderId="6" xfId="1" applyNumberFormat="1" applyFont="1" applyBorder="1" applyAlignment="1">
      <alignment horizontal="right" vertic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7" fontId="16" fillId="0" borderId="0" xfId="0" applyNumberFormat="1" applyFont="1" applyAlignment="1">
      <alignment horizontal="right" vertical="center"/>
    </xf>
    <xf numFmtId="0" fontId="31" fillId="0" borderId="6" xfId="1" applyFont="1" applyBorder="1" applyAlignment="1">
      <alignment vertical="center"/>
    </xf>
    <xf numFmtId="0" fontId="31" fillId="0" borderId="0" xfId="1" applyFont="1" applyAlignment="1">
      <alignment vertical="center"/>
    </xf>
    <xf numFmtId="171" fontId="13" fillId="5" borderId="23" xfId="0" applyNumberFormat="1" applyFont="1" applyFill="1" applyBorder="1" applyAlignment="1">
      <alignment horizontal="center" vertical="center"/>
    </xf>
    <xf numFmtId="0" fontId="17" fillId="0" borderId="19" xfId="0" applyFont="1" applyBorder="1" applyAlignment="1">
      <alignment horizontal="left" vertical="center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2" fontId="15" fillId="4" borderId="12" xfId="0" applyNumberFormat="1" applyFont="1" applyFill="1" applyBorder="1" applyAlignment="1">
      <alignment horizontal="center" vertical="center" wrapText="1"/>
    </xf>
    <xf numFmtId="166" fontId="15" fillId="4" borderId="12" xfId="0" applyNumberFormat="1" applyFont="1" applyFill="1" applyBorder="1" applyAlignment="1">
      <alignment horizontal="center" vertical="center" wrapText="1"/>
    </xf>
    <xf numFmtId="167" fontId="15" fillId="4" borderId="12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169" fontId="14" fillId="0" borderId="0" xfId="0" applyNumberFormat="1" applyFont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1" fontId="23" fillId="0" borderId="13" xfId="0" applyNumberFormat="1" applyFont="1" applyBorder="1" applyAlignment="1">
      <alignment horizontal="center" vertical="center" shrinkToFit="1"/>
    </xf>
    <xf numFmtId="0" fontId="12" fillId="0" borderId="13" xfId="0" quotePrefix="1" applyFont="1" applyBorder="1" applyAlignment="1">
      <alignment horizontal="center" vertical="center" wrapText="1"/>
    </xf>
    <xf numFmtId="173" fontId="13" fillId="0" borderId="13" xfId="0" applyNumberFormat="1" applyFont="1" applyBorder="1" applyAlignment="1">
      <alignment horizontal="center" vertical="center" wrapText="1"/>
    </xf>
    <xf numFmtId="168" fontId="13" fillId="0" borderId="13" xfId="0" applyNumberFormat="1" applyFont="1" applyBorder="1" applyAlignment="1">
      <alignment horizontal="center" vertical="center" wrapText="1"/>
    </xf>
    <xf numFmtId="167" fontId="32" fillId="0" borderId="0" xfId="0" applyNumberFormat="1" applyFont="1" applyAlignment="1">
      <alignment vertical="center"/>
    </xf>
    <xf numFmtId="4" fontId="16" fillId="2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164" fontId="13" fillId="0" borderId="0" xfId="3" applyFont="1" applyAlignment="1">
      <alignment vertical="center"/>
    </xf>
    <xf numFmtId="174" fontId="12" fillId="5" borderId="13" xfId="0" applyNumberFormat="1" applyFont="1" applyFill="1" applyBorder="1" applyAlignment="1">
      <alignment horizontal="center" vertical="center" wrapText="1"/>
    </xf>
    <xf numFmtId="174" fontId="13" fillId="5" borderId="13" xfId="0" applyNumberFormat="1" applyFont="1" applyFill="1" applyBorder="1" applyAlignment="1">
      <alignment horizontal="center" vertical="center"/>
    </xf>
    <xf numFmtId="174" fontId="13" fillId="5" borderId="20" xfId="0" applyNumberFormat="1" applyFont="1" applyFill="1" applyBorder="1" applyAlignment="1">
      <alignment horizontal="center" vertical="center"/>
    </xf>
    <xf numFmtId="175" fontId="12" fillId="0" borderId="13" xfId="0" applyNumberFormat="1" applyFont="1" applyBorder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 vertical="center" wrapText="1"/>
    </xf>
    <xf numFmtId="174" fontId="12" fillId="0" borderId="13" xfId="0" applyNumberFormat="1" applyFont="1" applyBorder="1" applyAlignment="1">
      <alignment horizontal="center" vertical="center"/>
    </xf>
    <xf numFmtId="174" fontId="17" fillId="0" borderId="20" xfId="0" applyNumberFormat="1" applyFont="1" applyBorder="1" applyAlignment="1">
      <alignment horizontal="center" vertical="center"/>
    </xf>
    <xf numFmtId="171" fontId="13" fillId="5" borderId="21" xfId="0" applyNumberFormat="1" applyFont="1" applyFill="1" applyBorder="1" applyAlignment="1">
      <alignment horizontal="center" vertical="center"/>
    </xf>
    <xf numFmtId="171" fontId="17" fillId="5" borderId="22" xfId="0" applyNumberFormat="1" applyFont="1" applyFill="1" applyBorder="1" applyAlignment="1">
      <alignment horizontal="center" vertical="center"/>
    </xf>
    <xf numFmtId="176" fontId="12" fillId="0" borderId="13" xfId="0" applyNumberFormat="1" applyFont="1" applyBorder="1" applyAlignment="1">
      <alignment horizontal="center" vertical="center"/>
    </xf>
    <xf numFmtId="176" fontId="17" fillId="0" borderId="20" xfId="0" applyNumberFormat="1" applyFont="1" applyBorder="1" applyAlignment="1">
      <alignment horizontal="center" vertical="center"/>
    </xf>
    <xf numFmtId="167" fontId="34" fillId="0" borderId="0" xfId="0" applyNumberFormat="1" applyFont="1" applyAlignment="1">
      <alignment horizontal="right" vertical="center"/>
    </xf>
    <xf numFmtId="0" fontId="35" fillId="0" borderId="0" xfId="2" applyFont="1" applyAlignment="1">
      <alignment vertical="center"/>
    </xf>
    <xf numFmtId="171" fontId="34" fillId="0" borderId="0" xfId="0" applyNumberFormat="1" applyFont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6" fontId="12" fillId="0" borderId="0" xfId="0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70" fontId="12" fillId="0" borderId="0" xfId="0" applyNumberFormat="1" applyFont="1" applyAlignment="1">
      <alignment horizontal="left" vertical="center"/>
    </xf>
    <xf numFmtId="0" fontId="36" fillId="0" borderId="0" xfId="0" applyFont="1" applyAlignment="1">
      <alignment vertical="center"/>
    </xf>
    <xf numFmtId="0" fontId="36" fillId="0" borderId="8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8" fillId="0" borderId="24" xfId="0" applyFont="1" applyBorder="1"/>
    <xf numFmtId="171" fontId="27" fillId="0" borderId="25" xfId="0" applyNumberFormat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0" fontId="17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174" fontId="13" fillId="5" borderId="0" xfId="0" applyNumberFormat="1" applyFont="1" applyFill="1" applyBorder="1" applyAlignment="1">
      <alignment horizontal="center" vertical="center"/>
    </xf>
    <xf numFmtId="172" fontId="13" fillId="0" borderId="0" xfId="0" applyNumberFormat="1" applyFont="1" applyBorder="1" applyAlignment="1">
      <alignment horizontal="center" vertical="center"/>
    </xf>
    <xf numFmtId="167" fontId="17" fillId="0" borderId="0" xfId="0" applyNumberFormat="1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center" vertical="center"/>
    </xf>
    <xf numFmtId="174" fontId="17" fillId="0" borderId="0" xfId="0" applyNumberFormat="1" applyFont="1" applyBorder="1" applyAlignment="1">
      <alignment horizontal="center" vertical="center"/>
    </xf>
    <xf numFmtId="171" fontId="17" fillId="0" borderId="0" xfId="0" applyNumberFormat="1" applyFont="1" applyBorder="1" applyAlignment="1">
      <alignment horizontal="center" vertical="center"/>
    </xf>
    <xf numFmtId="171" fontId="17" fillId="5" borderId="8" xfId="0" applyNumberFormat="1" applyFont="1" applyFill="1" applyBorder="1" applyAlignment="1">
      <alignment horizontal="center" vertical="center"/>
    </xf>
    <xf numFmtId="177" fontId="13" fillId="0" borderId="0" xfId="0" applyNumberFormat="1" applyFont="1" applyAlignment="1">
      <alignment vertical="center"/>
    </xf>
    <xf numFmtId="177" fontId="13" fillId="0" borderId="0" xfId="0" applyNumberFormat="1" applyFont="1" applyAlignment="1">
      <alignment horizontal="center" vertical="center"/>
    </xf>
    <xf numFmtId="175" fontId="13" fillId="0" borderId="0" xfId="0" applyNumberFormat="1" applyFont="1" applyAlignment="1">
      <alignment vertical="center"/>
    </xf>
    <xf numFmtId="177" fontId="15" fillId="4" borderId="12" xfId="0" applyNumberFormat="1" applyFont="1" applyFill="1" applyBorder="1" applyAlignment="1">
      <alignment horizontal="center" vertical="center" wrapText="1"/>
    </xf>
    <xf numFmtId="175" fontId="15" fillId="4" borderId="12" xfId="0" applyNumberFormat="1" applyFont="1" applyFill="1" applyBorder="1" applyAlignment="1">
      <alignment horizontal="center" vertical="center" wrapText="1"/>
    </xf>
    <xf numFmtId="177" fontId="15" fillId="7" borderId="12" xfId="0" applyNumberFormat="1" applyFont="1" applyFill="1" applyBorder="1" applyAlignment="1">
      <alignment horizontal="center" vertical="center" wrapText="1"/>
    </xf>
    <xf numFmtId="177" fontId="12" fillId="0" borderId="13" xfId="0" applyNumberFormat="1" applyFont="1" applyBorder="1" applyAlignment="1">
      <alignment horizontal="center" vertical="center"/>
    </xf>
    <xf numFmtId="171" fontId="13" fillId="0" borderId="21" xfId="0" applyNumberFormat="1" applyFont="1" applyBorder="1" applyAlignment="1">
      <alignment horizontal="center" vertical="center"/>
    </xf>
    <xf numFmtId="175" fontId="17" fillId="0" borderId="20" xfId="0" applyNumberFormat="1" applyFont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171" fontId="17" fillId="0" borderId="22" xfId="0" applyNumberFormat="1" applyFont="1" applyBorder="1" applyAlignment="1">
      <alignment horizontal="center" vertical="center"/>
    </xf>
    <xf numFmtId="178" fontId="13" fillId="0" borderId="13" xfId="0" applyNumberFormat="1" applyFont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/>
    </xf>
    <xf numFmtId="168" fontId="13" fillId="5" borderId="13" xfId="0" applyNumberFormat="1" applyFont="1" applyFill="1" applyBorder="1" applyAlignment="1">
      <alignment horizontal="center" vertical="center" wrapText="1"/>
    </xf>
    <xf numFmtId="1" fontId="23" fillId="0" borderId="13" xfId="0" applyNumberFormat="1" applyFont="1" applyFill="1" applyBorder="1" applyAlignment="1">
      <alignment horizontal="center" vertical="center" shrinkToFit="1"/>
    </xf>
    <xf numFmtId="177" fontId="12" fillId="0" borderId="13" xfId="0" applyNumberFormat="1" applyFont="1" applyFill="1" applyBorder="1" applyAlignment="1">
      <alignment horizontal="center" vertical="center" wrapText="1"/>
    </xf>
    <xf numFmtId="177" fontId="13" fillId="0" borderId="13" xfId="0" applyNumberFormat="1" applyFont="1" applyFill="1" applyBorder="1" applyAlignment="1">
      <alignment horizontal="center" vertical="center"/>
    </xf>
    <xf numFmtId="1" fontId="17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4" fontId="12" fillId="0" borderId="13" xfId="0" applyNumberFormat="1" applyFont="1" applyFill="1" applyBorder="1" applyAlignment="1">
      <alignment horizontal="center" vertical="center" wrapText="1"/>
    </xf>
    <xf numFmtId="174" fontId="13" fillId="0" borderId="13" xfId="0" applyNumberFormat="1" applyFont="1" applyFill="1" applyBorder="1" applyAlignment="1">
      <alignment horizontal="center" vertical="center"/>
    </xf>
    <xf numFmtId="174" fontId="13" fillId="0" borderId="20" xfId="0" applyNumberFormat="1" applyFont="1" applyFill="1" applyBorder="1" applyAlignment="1">
      <alignment horizontal="center" vertical="center"/>
    </xf>
    <xf numFmtId="176" fontId="12" fillId="5" borderId="13" xfId="0" applyNumberFormat="1" applyFont="1" applyFill="1" applyBorder="1" applyAlignment="1">
      <alignment horizontal="center" vertical="center"/>
    </xf>
    <xf numFmtId="171" fontId="27" fillId="0" borderId="0" xfId="0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1" fontId="27" fillId="0" borderId="24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">
    <cellStyle name="Comma [0]" xfId="3" builtinId="6"/>
    <cellStyle name="Normal" xfId="0" builtinId="0"/>
    <cellStyle name="Normal 2" xfId="2" xr:uid="{00000000-0005-0000-0000-000001000000}"/>
    <cellStyle name="표준 2 2" xfId="1" xr:uid="{00000000-0005-0000-0000-000002000000}"/>
  </cellStyles>
  <dxfs count="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G209"/>
  <sheetViews>
    <sheetView showGridLines="0" tabSelected="1" view="pageBreakPreview" topLeftCell="P190" zoomScaleSheetLayoutView="100" workbookViewId="0">
      <selection activeCell="P195" sqref="P195"/>
    </sheetView>
  </sheetViews>
  <sheetFormatPr defaultColWidth="8.6328125" defaultRowHeight="14"/>
  <cols>
    <col min="1" max="1" width="19.08984375" style="21" customWidth="1"/>
    <col min="2" max="2" width="12.453125" style="21" customWidth="1"/>
    <col min="3" max="3" width="10.36328125" style="21" customWidth="1"/>
    <col min="4" max="4" width="17.453125" style="21" customWidth="1"/>
    <col min="5" max="5" width="12" style="21" customWidth="1"/>
    <col min="6" max="6" width="10" style="21" customWidth="1"/>
    <col min="7" max="7" width="6.90625" style="21" customWidth="1"/>
    <col min="8" max="8" width="8.54296875" style="22" customWidth="1"/>
    <col min="9" max="10" width="8.54296875" style="23" customWidth="1"/>
    <col min="11" max="11" width="10" style="24" customWidth="1"/>
    <col min="12" max="12" width="11.90625" style="24" customWidth="1"/>
    <col min="13" max="14" width="8.54296875" style="24" customWidth="1"/>
    <col min="15" max="16" width="9.08984375" style="25" customWidth="1"/>
    <col min="17" max="17" width="11.453125" style="25" customWidth="1"/>
    <col min="18" max="20" width="12.453125" style="26" customWidth="1"/>
    <col min="21" max="21" width="10.1796875" style="26" customWidth="1"/>
    <col min="22" max="22" width="8.453125" style="26" customWidth="1"/>
    <col min="23" max="23" width="9.08984375" style="26" customWidth="1"/>
    <col min="24" max="24" width="10" style="26" customWidth="1"/>
    <col min="25" max="25" width="13.453125" style="29" customWidth="1"/>
    <col min="26" max="27" width="11.36328125" style="22" customWidth="1"/>
    <col min="28" max="28" width="10.453125" style="22" customWidth="1"/>
    <col min="29" max="29" width="11" style="22" customWidth="1"/>
    <col min="30" max="30" width="8.90625" style="22" bestFit="1" customWidth="1"/>
    <col min="31" max="31" width="10.1796875" style="22" customWidth="1"/>
    <col min="32" max="32" width="8.6328125" style="22"/>
    <col min="33" max="33" width="14.54296875" style="22" customWidth="1"/>
    <col min="34" max="16384" width="8.6328125" style="22"/>
  </cols>
  <sheetData>
    <row r="1" spans="1:33" s="1" customFormat="1" ht="31.5" customHeight="1">
      <c r="A1" s="169" t="s">
        <v>39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AG1" s="132"/>
    </row>
    <row r="2" spans="1:33" s="2" customFormat="1" ht="15.5">
      <c r="A2" s="171" t="s">
        <v>43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AG2" s="14"/>
    </row>
    <row r="3" spans="1:33" s="3" customFormat="1" ht="20">
      <c r="A3" s="173" t="s">
        <v>45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AG3" s="133"/>
    </row>
    <row r="4" spans="1:33" s="7" customFormat="1" ht="12" customHeight="1">
      <c r="A4" s="4" t="s">
        <v>0</v>
      </c>
      <c r="B4" s="41" t="s">
        <v>39</v>
      </c>
      <c r="C4" s="41"/>
      <c r="D4" s="41"/>
      <c r="E4" s="41"/>
      <c r="F4" s="42"/>
      <c r="G4" s="42"/>
      <c r="H4" s="42"/>
      <c r="I4" s="42"/>
      <c r="J4" s="42"/>
      <c r="K4" s="11"/>
      <c r="L4" s="5" t="s">
        <v>27</v>
      </c>
      <c r="M4" s="6"/>
      <c r="N4" s="6"/>
      <c r="O4" s="6"/>
      <c r="P4" s="6"/>
      <c r="Q4" s="6"/>
      <c r="R4" s="6"/>
      <c r="S4" s="6"/>
      <c r="T4" s="6"/>
      <c r="U4" s="6"/>
      <c r="V4" s="6"/>
      <c r="W4" s="76"/>
      <c r="X4" s="6"/>
      <c r="Y4" s="44"/>
      <c r="Z4" s="7" t="s">
        <v>61</v>
      </c>
      <c r="AA4" s="7">
        <v>0.24</v>
      </c>
    </row>
    <row r="5" spans="1:33" s="7" customFormat="1" ht="12" customHeight="1">
      <c r="A5" s="8"/>
      <c r="B5" s="38" t="s">
        <v>44</v>
      </c>
      <c r="C5" s="38"/>
      <c r="D5" s="38"/>
      <c r="E5" s="38"/>
      <c r="F5" s="75"/>
      <c r="G5" s="75"/>
      <c r="H5" s="75"/>
      <c r="I5" s="75"/>
      <c r="J5" s="75"/>
      <c r="K5" s="14"/>
      <c r="L5" s="5" t="s">
        <v>28</v>
      </c>
      <c r="M5" s="6"/>
      <c r="N5" s="6"/>
      <c r="O5" s="85"/>
      <c r="P5" s="85"/>
      <c r="Q5" s="85"/>
      <c r="R5" s="6"/>
      <c r="S5" s="6"/>
      <c r="T5" s="6"/>
      <c r="U5" s="6"/>
      <c r="V5" s="6"/>
      <c r="W5" s="6"/>
      <c r="X5" s="6"/>
      <c r="Y5" s="6"/>
      <c r="AG5" s="9"/>
    </row>
    <row r="6" spans="1:33" s="7" customFormat="1" ht="12" customHeight="1">
      <c r="A6" s="8"/>
      <c r="B6" s="38" t="s">
        <v>40</v>
      </c>
      <c r="C6" s="38"/>
      <c r="D6" s="38"/>
      <c r="E6" s="38"/>
      <c r="F6" s="75"/>
      <c r="G6" s="75"/>
      <c r="H6" s="75"/>
      <c r="I6" s="75"/>
      <c r="J6" s="75"/>
      <c r="K6" s="14"/>
      <c r="L6" s="4" t="s">
        <v>41</v>
      </c>
      <c r="M6" s="35"/>
      <c r="N6" s="10"/>
      <c r="O6" s="35"/>
      <c r="P6" s="35"/>
      <c r="Q6" s="35"/>
      <c r="R6" s="35"/>
      <c r="S6" s="35"/>
      <c r="T6" s="35"/>
      <c r="U6" s="35"/>
      <c r="V6" s="35"/>
      <c r="W6" s="10"/>
      <c r="X6" s="10"/>
      <c r="Y6" s="10"/>
      <c r="AG6" s="11"/>
    </row>
    <row r="7" spans="1:33" s="7" customFormat="1" ht="12" customHeight="1">
      <c r="A7" s="12"/>
      <c r="B7" s="39" t="s">
        <v>19</v>
      </c>
      <c r="C7" s="39"/>
      <c r="D7" s="39"/>
      <c r="E7" s="39"/>
      <c r="F7" s="40"/>
      <c r="G7" s="40"/>
      <c r="H7" s="40"/>
      <c r="I7" s="40"/>
      <c r="J7" s="40"/>
      <c r="K7" s="20"/>
      <c r="L7" s="12"/>
      <c r="M7" s="39"/>
      <c r="N7" s="13"/>
      <c r="O7" s="39"/>
      <c r="P7" s="39"/>
      <c r="Q7" s="39"/>
      <c r="R7" s="39"/>
      <c r="S7" s="39"/>
      <c r="T7" s="39"/>
      <c r="U7" s="39"/>
      <c r="V7" s="39"/>
      <c r="W7" s="13"/>
      <c r="X7" s="13"/>
      <c r="Y7" s="13"/>
      <c r="AG7" s="20"/>
    </row>
    <row r="8" spans="1:33" s="7" customFormat="1" ht="12" customHeight="1">
      <c r="A8" s="4" t="s">
        <v>1</v>
      </c>
      <c r="B8" s="41" t="s">
        <v>72</v>
      </c>
      <c r="C8" s="41"/>
      <c r="D8" s="41"/>
      <c r="E8" s="41"/>
      <c r="F8" s="41"/>
      <c r="G8" s="41"/>
      <c r="H8" s="41"/>
      <c r="I8" s="41"/>
      <c r="J8" s="41"/>
      <c r="K8" s="11"/>
      <c r="L8" s="5" t="s">
        <v>29</v>
      </c>
      <c r="M8" s="15"/>
      <c r="N8" s="6"/>
      <c r="O8" s="15"/>
      <c r="P8" s="15"/>
      <c r="Q8" s="15"/>
      <c r="R8" s="15"/>
      <c r="S8" s="15"/>
      <c r="T8" s="15"/>
      <c r="U8" s="15"/>
      <c r="V8" s="15"/>
      <c r="W8" s="6"/>
      <c r="X8" s="6"/>
      <c r="Y8" s="6"/>
      <c r="AG8" s="9"/>
    </row>
    <row r="9" spans="1:33" s="7" customFormat="1" ht="12" customHeight="1">
      <c r="A9" s="8"/>
      <c r="B9" s="38" t="s">
        <v>52</v>
      </c>
      <c r="C9" s="38"/>
      <c r="D9" s="38"/>
      <c r="E9" s="38"/>
      <c r="F9" s="38"/>
      <c r="G9" s="38"/>
      <c r="H9" s="38"/>
      <c r="I9" s="38"/>
      <c r="J9" s="38"/>
      <c r="K9" s="14"/>
      <c r="L9" s="35" t="s">
        <v>31</v>
      </c>
      <c r="M9" s="35"/>
      <c r="N9" s="10"/>
      <c r="O9" s="10" t="s">
        <v>32</v>
      </c>
      <c r="P9" s="10"/>
      <c r="Q9" s="10"/>
      <c r="R9" s="35"/>
      <c r="S9" s="35"/>
      <c r="T9" s="35"/>
      <c r="U9" s="35"/>
      <c r="V9" s="35"/>
      <c r="W9" s="10"/>
      <c r="X9" s="10"/>
      <c r="Y9" s="10"/>
      <c r="AG9" s="11"/>
    </row>
    <row r="10" spans="1:33" s="7" customFormat="1" ht="12" customHeight="1">
      <c r="A10" s="8"/>
      <c r="B10" s="38"/>
      <c r="C10" s="38"/>
      <c r="D10" s="38"/>
      <c r="E10" s="38"/>
      <c r="F10" s="38"/>
      <c r="G10" s="38"/>
      <c r="H10" s="38"/>
      <c r="I10" s="38"/>
      <c r="J10" s="38"/>
      <c r="K10" s="14"/>
      <c r="L10" s="7" t="s">
        <v>33</v>
      </c>
      <c r="R10" s="77"/>
      <c r="S10" s="77"/>
      <c r="T10" s="77"/>
      <c r="U10" s="77"/>
      <c r="V10" s="77"/>
      <c r="W10" s="78"/>
      <c r="X10" s="16"/>
      <c r="AG10" s="14"/>
    </row>
    <row r="11" spans="1:33" s="7" customFormat="1" ht="12" customHeight="1">
      <c r="A11" s="12"/>
      <c r="B11" s="39"/>
      <c r="C11" s="39"/>
      <c r="D11" s="39"/>
      <c r="E11" s="39"/>
      <c r="F11" s="39"/>
      <c r="G11" s="39"/>
      <c r="H11" s="39"/>
      <c r="I11" s="39"/>
      <c r="J11" s="39"/>
      <c r="K11" s="20"/>
      <c r="L11" s="7" t="s">
        <v>2</v>
      </c>
      <c r="O11" s="86"/>
      <c r="P11" s="86"/>
      <c r="Q11" s="86"/>
      <c r="W11" s="16"/>
      <c r="X11" s="16"/>
      <c r="AG11" s="14"/>
    </row>
    <row r="12" spans="1:33" s="7" customFormat="1" ht="12" customHeight="1">
      <c r="A12" s="17"/>
      <c r="B12" s="79" t="s">
        <v>34</v>
      </c>
      <c r="C12" s="18"/>
      <c r="D12" s="18"/>
      <c r="E12" s="18"/>
      <c r="F12" s="18"/>
      <c r="G12" s="5"/>
      <c r="H12" s="81" t="s">
        <v>35</v>
      </c>
      <c r="I12" s="6" t="s">
        <v>37</v>
      </c>
      <c r="J12" s="6"/>
      <c r="K12" s="9"/>
      <c r="L12" s="13" t="s">
        <v>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9"/>
      <c r="X12" s="19"/>
      <c r="Y12" s="13"/>
      <c r="AG12" s="20"/>
    </row>
    <row r="13" spans="1:33" s="7" customFormat="1" ht="12" customHeight="1">
      <c r="A13" s="5"/>
      <c r="B13" s="80" t="s">
        <v>42</v>
      </c>
      <c r="C13" s="6"/>
      <c r="D13" s="6"/>
      <c r="E13" s="6"/>
      <c r="F13" s="6"/>
      <c r="G13" s="5"/>
      <c r="H13" s="80" t="s">
        <v>36</v>
      </c>
      <c r="I13" s="6" t="s">
        <v>38</v>
      </c>
      <c r="J13" s="6"/>
      <c r="K13" s="9"/>
      <c r="L13" s="5" t="s">
        <v>30</v>
      </c>
      <c r="M13" s="6"/>
      <c r="N13" s="6"/>
      <c r="O13" s="15"/>
      <c r="P13" s="15"/>
      <c r="Q13" s="15"/>
      <c r="R13" s="15"/>
      <c r="S13" s="15"/>
      <c r="T13" s="15"/>
      <c r="U13" s="15"/>
      <c r="V13" s="15"/>
      <c r="W13" s="6"/>
      <c r="X13" s="6"/>
      <c r="Y13" s="6"/>
      <c r="AA13" s="7" t="s">
        <v>59</v>
      </c>
      <c r="AB13" s="7">
        <v>73</v>
      </c>
      <c r="AG13" s="9"/>
    </row>
    <row r="14" spans="1:33" ht="15.9" customHeight="1">
      <c r="A14" s="51" t="s">
        <v>83</v>
      </c>
      <c r="K14" s="46"/>
      <c r="L14" s="46"/>
      <c r="M14" s="46"/>
      <c r="N14" s="46"/>
      <c r="X14" s="47"/>
      <c r="AA14" s="22" t="s">
        <v>60</v>
      </c>
      <c r="AB14" s="22">
        <v>147.88999999999999</v>
      </c>
      <c r="AF14" s="84" t="s">
        <v>80</v>
      </c>
      <c r="AG14" s="95">
        <f>2917.7*1.01</f>
        <v>2946.877</v>
      </c>
    </row>
    <row r="15" spans="1:33" s="94" customFormat="1" ht="28">
      <c r="A15" s="89" t="s">
        <v>4</v>
      </c>
      <c r="B15" s="90" t="s">
        <v>5</v>
      </c>
      <c r="C15" s="90" t="s">
        <v>24</v>
      </c>
      <c r="D15" s="90" t="s">
        <v>46</v>
      </c>
      <c r="E15" s="90" t="s">
        <v>47</v>
      </c>
      <c r="F15" s="90" t="s">
        <v>6</v>
      </c>
      <c r="G15" s="90" t="s">
        <v>7</v>
      </c>
      <c r="H15" s="91" t="s">
        <v>8</v>
      </c>
      <c r="I15" s="91" t="s">
        <v>48</v>
      </c>
      <c r="J15" s="91" t="s">
        <v>9</v>
      </c>
      <c r="K15" s="92" t="s">
        <v>14</v>
      </c>
      <c r="L15" s="92" t="s">
        <v>20</v>
      </c>
      <c r="M15" s="92" t="s">
        <v>23</v>
      </c>
      <c r="N15" s="92" t="s">
        <v>21</v>
      </c>
      <c r="O15" s="93" t="s">
        <v>10</v>
      </c>
      <c r="P15" s="93" t="s">
        <v>50</v>
      </c>
      <c r="Q15" s="110" t="s">
        <v>63</v>
      </c>
      <c r="R15" s="43" t="s">
        <v>51</v>
      </c>
      <c r="S15" s="43" t="s">
        <v>55</v>
      </c>
      <c r="T15" s="43" t="s">
        <v>70</v>
      </c>
      <c r="U15" s="43" t="s">
        <v>13</v>
      </c>
      <c r="V15" s="43" t="s">
        <v>53</v>
      </c>
      <c r="W15" s="43" t="s">
        <v>49</v>
      </c>
      <c r="X15" s="43" t="s">
        <v>15</v>
      </c>
      <c r="Y15" s="48" t="s">
        <v>12</v>
      </c>
      <c r="AA15" s="94" t="s">
        <v>56</v>
      </c>
      <c r="AB15" s="94" t="s">
        <v>57</v>
      </c>
      <c r="AC15" s="94" t="s">
        <v>58</v>
      </c>
      <c r="AD15" s="94" t="s">
        <v>68</v>
      </c>
      <c r="AE15" s="94" t="s">
        <v>69</v>
      </c>
      <c r="AG15" s="48" t="s">
        <v>22</v>
      </c>
    </row>
    <row r="16" spans="1:33" s="27" customFormat="1" ht="42">
      <c r="A16" s="97" t="s">
        <v>73</v>
      </c>
      <c r="B16" s="96" t="s">
        <v>74</v>
      </c>
      <c r="C16" s="96"/>
      <c r="D16" s="96"/>
      <c r="E16" s="96"/>
      <c r="F16" s="96" t="s">
        <v>77</v>
      </c>
      <c r="G16" s="98">
        <v>5</v>
      </c>
      <c r="H16" s="106">
        <v>57.879999999999995</v>
      </c>
      <c r="I16" s="106">
        <v>0</v>
      </c>
      <c r="J16" s="106">
        <v>1.6</v>
      </c>
      <c r="K16" s="107">
        <f>H16-I16-J16</f>
        <v>56.279999999999994</v>
      </c>
      <c r="L16" s="100" t="s">
        <v>78</v>
      </c>
      <c r="M16" s="100"/>
      <c r="N16" s="101" t="s">
        <v>79</v>
      </c>
      <c r="O16" s="109">
        <v>11</v>
      </c>
      <c r="P16" s="115"/>
      <c r="Q16" s="111">
        <f>K16*IF(LEFT(F16,3)="10K",0.417*1.07,IF(LEFT(F16,3)="14K",0.585*1.05,IF(LEFT(F16,3)="18K",0.75*1.05,0)))</f>
        <v>34.569989999999997</v>
      </c>
      <c r="R16" s="34"/>
      <c r="S16" s="34"/>
      <c r="T16" s="34"/>
      <c r="U16" s="34">
        <f>G16*2</f>
        <v>10</v>
      </c>
      <c r="V16" s="34"/>
      <c r="W16" s="34"/>
      <c r="X16" s="34"/>
      <c r="Y16" s="34">
        <f t="shared" ref="Y16:Y21" si="0">K16*O16</f>
        <v>619.07999999999993</v>
      </c>
      <c r="Z16" s="27">
        <f>2*K16</f>
        <v>112.55999999999999</v>
      </c>
      <c r="AA16" s="103">
        <f>(SUM(R16:X16)+AE16)-Z16</f>
        <v>516.52</v>
      </c>
      <c r="AB16" s="103">
        <f>Q16*$AB$13+P16*$AB$14</f>
        <v>2523.6092699999999</v>
      </c>
      <c r="AC16" s="103">
        <f t="shared" ref="AC16" si="1">SUM(AA16:AB16)</f>
        <v>3040.1292699999999</v>
      </c>
      <c r="AE16" s="27">
        <f>IF(AD16&gt;0,AD16*K16,Y16)</f>
        <v>619.07999999999993</v>
      </c>
      <c r="AG16" s="113">
        <f t="shared" ref="AG16:AG21" si="2">$AG$14/31.1035*K16*IF(LEFT(F16,3)="10K",0.417*1.07,IF(LEFT(F16,3)="14K",0.585*1.05,IF(LEFT(F16,3)="18K",0.75*1.05,0)))</f>
        <v>3275.3069082653074</v>
      </c>
    </row>
    <row r="17" spans="1:33" s="27" customFormat="1" ht="28">
      <c r="A17" s="97">
        <v>2</v>
      </c>
      <c r="B17" s="99" t="s">
        <v>75</v>
      </c>
      <c r="C17" s="99"/>
      <c r="D17" s="99"/>
      <c r="E17" s="96"/>
      <c r="F17" s="96" t="s">
        <v>77</v>
      </c>
      <c r="G17" s="98">
        <v>3</v>
      </c>
      <c r="H17" s="106">
        <v>20.37</v>
      </c>
      <c r="I17" s="106">
        <v>0</v>
      </c>
      <c r="J17" s="106">
        <v>0.96</v>
      </c>
      <c r="K17" s="107">
        <f t="shared" ref="K17:K21" si="3">H17-I17-J17</f>
        <v>19.41</v>
      </c>
      <c r="L17" s="100">
        <v>1.3</v>
      </c>
      <c r="M17" s="100"/>
      <c r="N17" s="101">
        <v>21</v>
      </c>
      <c r="O17" s="109">
        <v>8.5</v>
      </c>
      <c r="P17" s="115"/>
      <c r="Q17" s="111">
        <f t="shared" ref="Q17:Q21" si="4">K17*IF(LEFT(F17,3)="10K",0.417*1.07,IF(LEFT(F17,3)="14K",0.585*1.05,IF(LEFT(F17,3)="18K",0.75*1.05,0)))</f>
        <v>11.922592499999999</v>
      </c>
      <c r="R17" s="34"/>
      <c r="S17" s="34"/>
      <c r="T17" s="34"/>
      <c r="U17" s="34">
        <f t="shared" ref="U17:U21" si="5">G17*2</f>
        <v>6</v>
      </c>
      <c r="V17" s="34"/>
      <c r="W17" s="34"/>
      <c r="X17" s="34"/>
      <c r="Y17" s="34">
        <f t="shared" si="0"/>
        <v>164.98500000000001</v>
      </c>
      <c r="Z17" s="27">
        <f t="shared" ref="Z17:Z47" si="6">2*K17</f>
        <v>38.82</v>
      </c>
      <c r="AA17" s="103">
        <f t="shared" ref="AA17:AA47" si="7">(SUM(R17:X17)+AE17)-Z17</f>
        <v>132.16500000000002</v>
      </c>
      <c r="AB17" s="103">
        <f t="shared" ref="AB17:AB47" si="8">Q17*$AB$13+P17*$AB$14</f>
        <v>870.34925249999992</v>
      </c>
      <c r="AC17" s="103">
        <f t="shared" ref="AC17:AC47" si="9">SUM(AA17:AB17)</f>
        <v>1002.5142524999999</v>
      </c>
      <c r="AE17" s="27">
        <f t="shared" ref="AE17:AE47" si="10">IF(AD17&gt;0,AD17*K17,Y17)</f>
        <v>164.98500000000001</v>
      </c>
      <c r="AG17" s="113">
        <f t="shared" si="2"/>
        <v>1129.596785526468</v>
      </c>
    </row>
    <row r="18" spans="1:33" s="27" customFormat="1" ht="28">
      <c r="A18" s="97">
        <v>4</v>
      </c>
      <c r="B18" s="96" t="s">
        <v>76</v>
      </c>
      <c r="C18" s="96"/>
      <c r="D18" s="96"/>
      <c r="E18" s="96"/>
      <c r="F18" s="96" t="s">
        <v>77</v>
      </c>
      <c r="G18" s="98">
        <v>5</v>
      </c>
      <c r="H18" s="106">
        <v>22.28</v>
      </c>
      <c r="I18" s="106">
        <v>0</v>
      </c>
      <c r="J18" s="106">
        <v>3.75</v>
      </c>
      <c r="K18" s="107">
        <f t="shared" si="3"/>
        <v>18.53</v>
      </c>
      <c r="L18" s="100">
        <v>1.3</v>
      </c>
      <c r="M18" s="100"/>
      <c r="N18" s="101">
        <v>20</v>
      </c>
      <c r="O18" s="109">
        <v>8.5</v>
      </c>
      <c r="P18" s="115"/>
      <c r="Q18" s="111">
        <f t="shared" si="4"/>
        <v>11.3820525</v>
      </c>
      <c r="R18" s="34"/>
      <c r="S18" s="34"/>
      <c r="T18" s="34"/>
      <c r="U18" s="34">
        <f t="shared" si="5"/>
        <v>10</v>
      </c>
      <c r="V18" s="34"/>
      <c r="W18" s="34"/>
      <c r="X18" s="34"/>
      <c r="Y18" s="34">
        <f t="shared" si="0"/>
        <v>157.505</v>
      </c>
      <c r="Z18" s="27">
        <f t="shared" si="6"/>
        <v>37.06</v>
      </c>
      <c r="AA18" s="103">
        <f t="shared" si="7"/>
        <v>130.44499999999999</v>
      </c>
      <c r="AB18" s="103">
        <f t="shared" si="8"/>
        <v>830.88983250000001</v>
      </c>
      <c r="AC18" s="103">
        <f t="shared" si="9"/>
        <v>961.33483249999995</v>
      </c>
      <c r="AE18" s="27">
        <f t="shared" si="10"/>
        <v>157.505</v>
      </c>
      <c r="AG18" s="113">
        <f t="shared" si="2"/>
        <v>1078.3837421847218</v>
      </c>
    </row>
    <row r="19" spans="1:33" s="27" customFormat="1" ht="28">
      <c r="A19" s="97">
        <v>5</v>
      </c>
      <c r="B19" s="99" t="s">
        <v>76</v>
      </c>
      <c r="C19" s="99"/>
      <c r="D19" s="96"/>
      <c r="E19" s="96"/>
      <c r="F19" s="96" t="s">
        <v>82</v>
      </c>
      <c r="G19" s="98">
        <v>10</v>
      </c>
      <c r="H19" s="106">
        <v>45.31</v>
      </c>
      <c r="I19" s="106">
        <v>0</v>
      </c>
      <c r="J19" s="106">
        <v>7.5</v>
      </c>
      <c r="K19" s="107">
        <f t="shared" si="3"/>
        <v>37.81</v>
      </c>
      <c r="L19" s="100">
        <v>1.3</v>
      </c>
      <c r="M19" s="100"/>
      <c r="N19" s="101">
        <v>20</v>
      </c>
      <c r="O19" s="109">
        <v>8.5</v>
      </c>
      <c r="P19" s="115"/>
      <c r="Q19" s="111">
        <f t="shared" si="4"/>
        <v>23.2247925</v>
      </c>
      <c r="R19" s="34"/>
      <c r="S19" s="34"/>
      <c r="T19" s="34"/>
      <c r="U19" s="34">
        <f t="shared" si="5"/>
        <v>20</v>
      </c>
      <c r="V19" s="34"/>
      <c r="W19" s="34"/>
      <c r="X19" s="34"/>
      <c r="Y19" s="34">
        <f t="shared" si="0"/>
        <v>321.38499999999999</v>
      </c>
      <c r="Z19" s="27">
        <f t="shared" si="6"/>
        <v>75.62</v>
      </c>
      <c r="AA19" s="103">
        <f t="shared" si="7"/>
        <v>265.76499999999999</v>
      </c>
      <c r="AB19" s="103">
        <f t="shared" si="8"/>
        <v>1695.4098524999999</v>
      </c>
      <c r="AC19" s="103">
        <f t="shared" si="9"/>
        <v>1961.1748524999998</v>
      </c>
      <c r="AE19" s="27">
        <f t="shared" si="10"/>
        <v>321.38499999999999</v>
      </c>
      <c r="AG19" s="113">
        <f t="shared" si="2"/>
        <v>2200.4149644902504</v>
      </c>
    </row>
    <row r="20" spans="1:33" s="27" customFormat="1" ht="28">
      <c r="A20" s="97">
        <v>6</v>
      </c>
      <c r="B20" s="99" t="s">
        <v>81</v>
      </c>
      <c r="C20" s="99"/>
      <c r="D20" s="96"/>
      <c r="E20" s="96"/>
      <c r="F20" s="96" t="s">
        <v>77</v>
      </c>
      <c r="G20" s="98">
        <v>5</v>
      </c>
      <c r="H20" s="106">
        <v>22.88</v>
      </c>
      <c r="I20" s="106">
        <v>0</v>
      </c>
      <c r="J20" s="106">
        <v>3.75</v>
      </c>
      <c r="K20" s="107">
        <f t="shared" si="3"/>
        <v>19.13</v>
      </c>
      <c r="L20" s="100">
        <v>1.3</v>
      </c>
      <c r="M20" s="100"/>
      <c r="N20" s="101">
        <v>20</v>
      </c>
      <c r="O20" s="109">
        <v>8.5</v>
      </c>
      <c r="P20" s="115"/>
      <c r="Q20" s="111">
        <f t="shared" si="4"/>
        <v>11.750602499999999</v>
      </c>
      <c r="R20" s="34"/>
      <c r="S20" s="34"/>
      <c r="T20" s="34"/>
      <c r="U20" s="34">
        <f t="shared" si="5"/>
        <v>10</v>
      </c>
      <c r="V20" s="34"/>
      <c r="W20" s="34"/>
      <c r="X20" s="34"/>
      <c r="Y20" s="34">
        <f t="shared" si="0"/>
        <v>162.60499999999999</v>
      </c>
      <c r="Z20" s="27">
        <f t="shared" si="6"/>
        <v>38.26</v>
      </c>
      <c r="AA20" s="103">
        <f t="shared" si="7"/>
        <v>134.345</v>
      </c>
      <c r="AB20" s="103">
        <f t="shared" si="8"/>
        <v>857.79398249999997</v>
      </c>
      <c r="AC20" s="103">
        <f t="shared" si="9"/>
        <v>992.1389825</v>
      </c>
      <c r="AE20" s="27">
        <f t="shared" si="10"/>
        <v>162.60499999999999</v>
      </c>
      <c r="AG20" s="113">
        <f t="shared" si="2"/>
        <v>1113.3017262813669</v>
      </c>
    </row>
    <row r="21" spans="1:33" s="27" customFormat="1" ht="28.5" thickBot="1">
      <c r="A21" s="97">
        <v>7</v>
      </c>
      <c r="B21" s="99" t="s">
        <v>81</v>
      </c>
      <c r="C21" s="96"/>
      <c r="D21" s="96"/>
      <c r="E21" s="96"/>
      <c r="F21" s="96" t="s">
        <v>82</v>
      </c>
      <c r="G21" s="98">
        <v>10</v>
      </c>
      <c r="H21" s="106">
        <v>45.949999999999996</v>
      </c>
      <c r="I21" s="106">
        <v>0</v>
      </c>
      <c r="J21" s="106">
        <v>7.5</v>
      </c>
      <c r="K21" s="107">
        <f t="shared" si="3"/>
        <v>38.449999999999996</v>
      </c>
      <c r="L21" s="100">
        <v>1.3</v>
      </c>
      <c r="M21" s="100"/>
      <c r="N21" s="101">
        <v>20</v>
      </c>
      <c r="O21" s="109">
        <v>8.5</v>
      </c>
      <c r="P21" s="115"/>
      <c r="Q21" s="111">
        <f t="shared" si="4"/>
        <v>23.617912499999996</v>
      </c>
      <c r="R21" s="34"/>
      <c r="S21" s="34"/>
      <c r="T21" s="34"/>
      <c r="U21" s="34">
        <f t="shared" si="5"/>
        <v>20</v>
      </c>
      <c r="V21" s="34"/>
      <c r="W21" s="34"/>
      <c r="X21" s="34"/>
      <c r="Y21" s="34">
        <f t="shared" si="0"/>
        <v>326.82499999999999</v>
      </c>
      <c r="Z21" s="27">
        <f t="shared" si="6"/>
        <v>76.899999999999991</v>
      </c>
      <c r="AA21" s="103">
        <f t="shared" si="7"/>
        <v>269.92500000000001</v>
      </c>
      <c r="AB21" s="103">
        <f t="shared" si="8"/>
        <v>1724.1076124999997</v>
      </c>
      <c r="AC21" s="103">
        <f t="shared" si="9"/>
        <v>1994.0326124999997</v>
      </c>
      <c r="AE21" s="27">
        <f t="shared" si="10"/>
        <v>326.82499999999999</v>
      </c>
      <c r="AG21" s="113">
        <f t="shared" si="2"/>
        <v>2237.660814193338</v>
      </c>
    </row>
    <row r="22" spans="1:33" s="28" customFormat="1" ht="15.9" customHeight="1">
      <c r="A22" s="88" t="s">
        <v>71</v>
      </c>
      <c r="B22" s="65"/>
      <c r="C22" s="65"/>
      <c r="D22" s="65"/>
      <c r="E22" s="65"/>
      <c r="F22" s="65"/>
      <c r="G22" s="66">
        <f>SUM(G16:G21)</f>
        <v>38</v>
      </c>
      <c r="H22" s="108"/>
      <c r="I22" s="108"/>
      <c r="J22" s="108"/>
      <c r="K22" s="108">
        <f>SUM(K16:K21)</f>
        <v>189.60999999999999</v>
      </c>
      <c r="L22" s="67"/>
      <c r="M22" s="67"/>
      <c r="N22" s="67"/>
      <c r="O22" s="68"/>
      <c r="P22" s="116">
        <f t="shared" ref="P22:Y22" si="11">SUM(P16:P21)</f>
        <v>0</v>
      </c>
      <c r="Q22" s="112">
        <f t="shared" si="11"/>
        <v>116.46794249999999</v>
      </c>
      <c r="R22" s="69">
        <f t="shared" si="11"/>
        <v>0</v>
      </c>
      <c r="S22" s="69">
        <f t="shared" si="11"/>
        <v>0</v>
      </c>
      <c r="T22" s="69">
        <f t="shared" si="11"/>
        <v>0</v>
      </c>
      <c r="U22" s="69">
        <f t="shared" si="11"/>
        <v>76</v>
      </c>
      <c r="V22" s="69">
        <f t="shared" si="11"/>
        <v>0</v>
      </c>
      <c r="W22" s="69">
        <f t="shared" si="11"/>
        <v>0</v>
      </c>
      <c r="X22" s="69">
        <f t="shared" si="11"/>
        <v>0</v>
      </c>
      <c r="Y22" s="69">
        <f t="shared" si="11"/>
        <v>1752.385</v>
      </c>
      <c r="Z22" s="27"/>
      <c r="AA22" s="103"/>
      <c r="AB22" s="103"/>
      <c r="AC22" s="103"/>
      <c r="AD22" s="104"/>
      <c r="AE22" s="27"/>
      <c r="AG22" s="114">
        <f>SUM(AG16:AG21)</f>
        <v>11034.664940941451</v>
      </c>
    </row>
    <row r="23" spans="1:33" ht="15.9" customHeight="1">
      <c r="A23" s="51" t="s">
        <v>83</v>
      </c>
      <c r="H23" s="145"/>
      <c r="I23" s="145"/>
      <c r="J23" s="145"/>
      <c r="K23" s="146"/>
      <c r="L23" s="46"/>
      <c r="M23" s="46"/>
      <c r="N23" s="46"/>
      <c r="O23" s="147"/>
      <c r="Q23" s="145"/>
      <c r="X23" s="47"/>
      <c r="Y23" s="84" t="s">
        <v>84</v>
      </c>
      <c r="Z23" s="27"/>
      <c r="AA23" s="103"/>
      <c r="AB23" s="103"/>
      <c r="AC23" s="103"/>
      <c r="AE23" s="27"/>
      <c r="AG23" s="95">
        <f>2575.5*1.01</f>
        <v>2601.2550000000001</v>
      </c>
    </row>
    <row r="24" spans="1:33" s="94" customFormat="1" ht="28">
      <c r="A24" s="89" t="s">
        <v>4</v>
      </c>
      <c r="B24" s="90" t="s">
        <v>5</v>
      </c>
      <c r="C24" s="90" t="s">
        <v>24</v>
      </c>
      <c r="D24" s="90" t="s">
        <v>46</v>
      </c>
      <c r="E24" s="90" t="s">
        <v>47</v>
      </c>
      <c r="F24" s="90" t="s">
        <v>6</v>
      </c>
      <c r="G24" s="90" t="s">
        <v>7</v>
      </c>
      <c r="H24" s="148" t="s">
        <v>8</v>
      </c>
      <c r="I24" s="148" t="s">
        <v>48</v>
      </c>
      <c r="J24" s="148" t="s">
        <v>9</v>
      </c>
      <c r="K24" s="148" t="s">
        <v>14</v>
      </c>
      <c r="L24" s="92" t="s">
        <v>20</v>
      </c>
      <c r="M24" s="92" t="s">
        <v>23</v>
      </c>
      <c r="N24" s="92" t="s">
        <v>21</v>
      </c>
      <c r="O24" s="149" t="s">
        <v>10</v>
      </c>
      <c r="P24" s="93" t="s">
        <v>50</v>
      </c>
      <c r="Q24" s="150" t="s">
        <v>85</v>
      </c>
      <c r="R24" s="43" t="s">
        <v>51</v>
      </c>
      <c r="S24" s="43" t="s">
        <v>70</v>
      </c>
      <c r="T24" s="43" t="s">
        <v>55</v>
      </c>
      <c r="U24" s="43" t="s">
        <v>13</v>
      </c>
      <c r="V24" s="43" t="s">
        <v>53</v>
      </c>
      <c r="W24" s="43" t="s">
        <v>49</v>
      </c>
      <c r="X24" s="43" t="s">
        <v>15</v>
      </c>
      <c r="Y24" s="48" t="s">
        <v>12</v>
      </c>
      <c r="Z24" s="27"/>
      <c r="AA24" s="103"/>
      <c r="AB24" s="103"/>
      <c r="AC24" s="103"/>
      <c r="AE24" s="27"/>
      <c r="AG24" s="48" t="s">
        <v>22</v>
      </c>
    </row>
    <row r="25" spans="1:33" s="27" customFormat="1" ht="28.5" thickBot="1">
      <c r="A25" s="97" t="s">
        <v>86</v>
      </c>
      <c r="B25" s="96" t="s">
        <v>89</v>
      </c>
      <c r="C25" s="96"/>
      <c r="D25" s="96"/>
      <c r="E25" s="96"/>
      <c r="F25" s="96" t="s">
        <v>82</v>
      </c>
      <c r="G25" s="159">
        <v>1</v>
      </c>
      <c r="H25" s="160">
        <v>21.38</v>
      </c>
      <c r="I25" s="160">
        <v>0.42</v>
      </c>
      <c r="J25" s="160">
        <v>0.36</v>
      </c>
      <c r="K25" s="161">
        <f t="shared" ref="K25" si="12">H25-I25-J25</f>
        <v>20.599999999999998</v>
      </c>
      <c r="L25" s="100">
        <v>1.9</v>
      </c>
      <c r="M25" s="100" t="s">
        <v>87</v>
      </c>
      <c r="N25" s="101">
        <v>72</v>
      </c>
      <c r="O25" s="109">
        <v>11</v>
      </c>
      <c r="P25" s="115">
        <v>2.1150000000000002</v>
      </c>
      <c r="Q25" s="151">
        <f t="shared" ref="Q25" si="13">IF(LEFT(F25,3)="10K",(0.417*1.07*K25),IF(LEFT(F25,3)="14K",(0.585*1.05*K25),IF(LEFT(F25,3)="18K",(0.75*1.05*K25),0)))</f>
        <v>12.653549999999997</v>
      </c>
      <c r="R25" s="34"/>
      <c r="S25" s="34">
        <f t="shared" ref="S25" si="14">0.025*N25*G25</f>
        <v>1.8</v>
      </c>
      <c r="T25" s="34"/>
      <c r="U25" s="34">
        <f t="shared" ref="U25" si="15">8*G25</f>
        <v>8</v>
      </c>
      <c r="V25" s="34">
        <f>(0.24*K25)+3*G25</f>
        <v>7.9439999999999991</v>
      </c>
      <c r="W25" s="34"/>
      <c r="X25" s="34">
        <f t="shared" ref="X25" si="16">0.3*N25*G25</f>
        <v>21.599999999999998</v>
      </c>
      <c r="Y25" s="34">
        <f t="shared" ref="Y25" si="17">K25*O25</f>
        <v>226.59999999999997</v>
      </c>
      <c r="Z25" s="27">
        <f t="shared" si="6"/>
        <v>41.199999999999996</v>
      </c>
      <c r="AA25" s="103">
        <f t="shared" si="7"/>
        <v>224.74399999999997</v>
      </c>
      <c r="AB25" s="103">
        <f t="shared" si="8"/>
        <v>1236.4964999999997</v>
      </c>
      <c r="AC25" s="103">
        <f t="shared" si="9"/>
        <v>1461.2404999999997</v>
      </c>
      <c r="AD25" s="27">
        <v>11</v>
      </c>
      <c r="AE25" s="27">
        <f t="shared" si="10"/>
        <v>226.59999999999997</v>
      </c>
      <c r="AG25" s="152" t="e">
        <f>#REF!/31.1035*IF(LEFT(N25,3)="10K",(0.417*1.07*S25),IF(LEFT(N25,3)="14K",(0.585*1.05*S25),IF(LEFT(N25,3)="18K",(0.75*1.05*S25),0)))</f>
        <v>#REF!</v>
      </c>
    </row>
    <row r="26" spans="1:33" s="28" customFormat="1" ht="15.9" customHeight="1">
      <c r="A26" s="88" t="s">
        <v>71</v>
      </c>
      <c r="B26" s="65"/>
      <c r="C26" s="65"/>
      <c r="D26" s="65"/>
      <c r="E26" s="65"/>
      <c r="F26" s="65"/>
      <c r="G26" s="162">
        <f>SUM(G25:G25)</f>
        <v>1</v>
      </c>
      <c r="H26" s="163"/>
      <c r="I26" s="163"/>
      <c r="J26" s="163"/>
      <c r="K26" s="163">
        <f>SUM(K25:K25)</f>
        <v>20.599999999999998</v>
      </c>
      <c r="L26" s="67"/>
      <c r="M26" s="67"/>
      <c r="N26" s="67"/>
      <c r="O26" s="153"/>
      <c r="P26" s="116">
        <f t="shared" ref="P26:Y26" si="18">SUM(P25:P25)</f>
        <v>2.1150000000000002</v>
      </c>
      <c r="Q26" s="154">
        <f t="shared" si="18"/>
        <v>12.653549999999997</v>
      </c>
      <c r="R26" s="69">
        <f t="shared" si="18"/>
        <v>0</v>
      </c>
      <c r="S26" s="69">
        <f t="shared" si="18"/>
        <v>1.8</v>
      </c>
      <c r="T26" s="69">
        <f t="shared" si="18"/>
        <v>0</v>
      </c>
      <c r="U26" s="69">
        <f t="shared" si="18"/>
        <v>8</v>
      </c>
      <c r="V26" s="69">
        <f t="shared" si="18"/>
        <v>7.9439999999999991</v>
      </c>
      <c r="W26" s="69">
        <f t="shared" si="18"/>
        <v>0</v>
      </c>
      <c r="X26" s="69">
        <f t="shared" si="18"/>
        <v>21.599999999999998</v>
      </c>
      <c r="Y26" s="69">
        <f t="shared" si="18"/>
        <v>226.59999999999997</v>
      </c>
      <c r="Z26" s="27"/>
      <c r="AA26" s="103"/>
      <c r="AB26" s="103"/>
      <c r="AC26" s="103"/>
      <c r="AD26" s="27"/>
      <c r="AE26" s="27"/>
      <c r="AG26" s="155" t="e">
        <f>SUM(AG25:AG25)</f>
        <v>#REF!</v>
      </c>
    </row>
    <row r="27" spans="1:33" ht="15.9" customHeight="1">
      <c r="A27" s="51" t="s">
        <v>96</v>
      </c>
      <c r="K27" s="46"/>
      <c r="L27" s="46"/>
      <c r="M27" s="46"/>
      <c r="N27" s="46"/>
      <c r="X27" s="47"/>
      <c r="Z27" s="27"/>
      <c r="AA27" s="103"/>
      <c r="AB27" s="103"/>
      <c r="AC27" s="103"/>
      <c r="AE27" s="27"/>
      <c r="AF27" s="84" t="s">
        <v>90</v>
      </c>
      <c r="AG27" s="95">
        <f>2906.85*1.01</f>
        <v>2935.9184999999998</v>
      </c>
    </row>
    <row r="28" spans="1:33" s="94" customFormat="1" ht="28">
      <c r="A28" s="89" t="s">
        <v>4</v>
      </c>
      <c r="B28" s="90" t="s">
        <v>5</v>
      </c>
      <c r="C28" s="90" t="s">
        <v>24</v>
      </c>
      <c r="D28" s="90" t="s">
        <v>46</v>
      </c>
      <c r="E28" s="90" t="s">
        <v>47</v>
      </c>
      <c r="F28" s="90" t="s">
        <v>6</v>
      </c>
      <c r="G28" s="90" t="s">
        <v>7</v>
      </c>
      <c r="H28" s="91" t="s">
        <v>8</v>
      </c>
      <c r="I28" s="91" t="s">
        <v>48</v>
      </c>
      <c r="J28" s="91" t="s">
        <v>9</v>
      </c>
      <c r="K28" s="92" t="s">
        <v>14</v>
      </c>
      <c r="L28" s="92" t="s">
        <v>20</v>
      </c>
      <c r="M28" s="92" t="s">
        <v>23</v>
      </c>
      <c r="N28" s="92" t="s">
        <v>21</v>
      </c>
      <c r="O28" s="93" t="s">
        <v>10</v>
      </c>
      <c r="P28" s="93" t="s">
        <v>50</v>
      </c>
      <c r="Q28" s="110" t="s">
        <v>63</v>
      </c>
      <c r="R28" s="43" t="s">
        <v>51</v>
      </c>
      <c r="S28" s="43" t="s">
        <v>55</v>
      </c>
      <c r="T28" s="43" t="s">
        <v>70</v>
      </c>
      <c r="U28" s="43" t="s">
        <v>13</v>
      </c>
      <c r="V28" s="43" t="s">
        <v>53</v>
      </c>
      <c r="W28" s="43" t="s">
        <v>49</v>
      </c>
      <c r="X28" s="43" t="s">
        <v>15</v>
      </c>
      <c r="Y28" s="48" t="s">
        <v>12</v>
      </c>
      <c r="Z28" s="27"/>
      <c r="AA28" s="103"/>
      <c r="AB28" s="103"/>
      <c r="AC28" s="103"/>
      <c r="AE28" s="27"/>
      <c r="AG28" s="48" t="s">
        <v>22</v>
      </c>
    </row>
    <row r="29" spans="1:33" s="27" customFormat="1" ht="28">
      <c r="A29" s="97" t="s">
        <v>91</v>
      </c>
      <c r="B29" s="96" t="s">
        <v>92</v>
      </c>
      <c r="C29" s="96"/>
      <c r="D29" s="96" t="s">
        <v>93</v>
      </c>
      <c r="E29" s="96"/>
      <c r="F29" s="96" t="s">
        <v>94</v>
      </c>
      <c r="G29" s="159">
        <v>2</v>
      </c>
      <c r="H29" s="164">
        <v>29.869999999999997</v>
      </c>
      <c r="I29" s="164">
        <v>0.82000000000000006</v>
      </c>
      <c r="J29" s="164">
        <v>0.52</v>
      </c>
      <c r="K29" s="165">
        <f>H29-I29-J29</f>
        <v>28.529999999999998</v>
      </c>
      <c r="L29" s="100">
        <v>1.75</v>
      </c>
      <c r="M29" s="100"/>
      <c r="N29" s="101">
        <v>88</v>
      </c>
      <c r="O29" s="109">
        <v>11</v>
      </c>
      <c r="P29" s="115">
        <v>4.1099999999999994</v>
      </c>
      <c r="Q29" s="111">
        <f>K29*IF(LEFT(F29,3)="10K",0.417*1.07,IF(LEFT(F29,3)="14K",0.585*1.05,IF(LEFT(F29,3)="18K",0.75*1.05,0)))</f>
        <v>17.524552499999999</v>
      </c>
      <c r="R29" s="34"/>
      <c r="S29" s="34"/>
      <c r="T29" s="34">
        <f>G29*0.025*N29</f>
        <v>4.4000000000000004</v>
      </c>
      <c r="U29" s="34">
        <f>G29*8</f>
        <v>16</v>
      </c>
      <c r="V29" s="34">
        <f>IF(RIGHT(F29,2)="WG",K29*$AA$4,IF(OR(RIGHT(F29,3)="WRG",RIGHT(F29,3)="WYG",RIGHT(F29,3)="WYR"),K29*$AA$4+3*G29,0))</f>
        <v>6.8471999999999991</v>
      </c>
      <c r="W29" s="34"/>
      <c r="X29" s="34">
        <f>G29*N29*0.3</f>
        <v>52.8</v>
      </c>
      <c r="Y29" s="34">
        <f t="shared" ref="Y29:Y32" si="19">K29*O29</f>
        <v>313.83</v>
      </c>
      <c r="Z29" s="27">
        <f t="shared" si="6"/>
        <v>57.059999999999995</v>
      </c>
      <c r="AA29" s="103">
        <f t="shared" si="7"/>
        <v>336.81720000000001</v>
      </c>
      <c r="AB29" s="103">
        <f t="shared" si="8"/>
        <v>1887.1202324999999</v>
      </c>
      <c r="AC29" s="103">
        <f t="shared" si="9"/>
        <v>2223.9374324999999</v>
      </c>
      <c r="AE29" s="27">
        <f t="shared" si="10"/>
        <v>313.83</v>
      </c>
      <c r="AG29" s="113">
        <f>$AG$14/31.1035*K29*IF(LEFT(F29,3)="10K",0.417*1.07,IF(LEFT(F29,3)="14K",0.585*1.05,IF(LEFT(F29,3)="18K",0.75*1.05,0)))</f>
        <v>1660.3501437954728</v>
      </c>
    </row>
    <row r="30" spans="1:33" s="27" customFormat="1" ht="28">
      <c r="A30" s="97">
        <v>1</v>
      </c>
      <c r="B30" s="96" t="s">
        <v>92</v>
      </c>
      <c r="C30" s="99"/>
      <c r="D30" s="96" t="s">
        <v>93</v>
      </c>
      <c r="E30" s="96"/>
      <c r="F30" s="96" t="s">
        <v>77</v>
      </c>
      <c r="G30" s="159">
        <v>2</v>
      </c>
      <c r="H30" s="164">
        <v>30.46</v>
      </c>
      <c r="I30" s="164">
        <v>0.88</v>
      </c>
      <c r="J30" s="164">
        <v>0.52</v>
      </c>
      <c r="K30" s="165">
        <f t="shared" ref="K30:K32" si="20">H30-I30-J30</f>
        <v>29.060000000000002</v>
      </c>
      <c r="L30" s="100">
        <v>1.75</v>
      </c>
      <c r="M30" s="100"/>
      <c r="N30" s="101">
        <v>88</v>
      </c>
      <c r="O30" s="109">
        <v>11</v>
      </c>
      <c r="P30" s="115">
        <v>4.3650000000000002</v>
      </c>
      <c r="Q30" s="111">
        <f t="shared" ref="Q30:Q32" si="21">K30*IF(LEFT(F30,3)="10K",0.417*1.07,IF(LEFT(F30,3)="14K",0.585*1.05,IF(LEFT(F30,3)="18K",0.75*1.05,0)))</f>
        <v>17.850104999999999</v>
      </c>
      <c r="R30" s="34"/>
      <c r="S30" s="34"/>
      <c r="T30" s="34">
        <f t="shared" ref="T30:T32" si="22">G30*0.025*N30</f>
        <v>4.4000000000000004</v>
      </c>
      <c r="U30" s="34">
        <f t="shared" ref="U30:U32" si="23">G30*8</f>
        <v>16</v>
      </c>
      <c r="V30" s="34">
        <f>IF(RIGHT(F30,2)="WG",K30*$AA$4,IF(OR(RIGHT(F30,3)="WRG",RIGHT(F30,3)="WYG",RIGHT(F30,3)="WYR"),K30*$AA$4+3*G30,0))</f>
        <v>0</v>
      </c>
      <c r="W30" s="34"/>
      <c r="X30" s="34">
        <f t="shared" ref="X30:X32" si="24">G30*N30*0.3</f>
        <v>52.8</v>
      </c>
      <c r="Y30" s="34">
        <f t="shared" si="19"/>
        <v>319.66000000000003</v>
      </c>
      <c r="Z30" s="27">
        <f t="shared" si="6"/>
        <v>58.120000000000005</v>
      </c>
      <c r="AA30" s="103">
        <f t="shared" si="7"/>
        <v>334.74</v>
      </c>
      <c r="AB30" s="103">
        <f t="shared" si="8"/>
        <v>1948.5975149999999</v>
      </c>
      <c r="AC30" s="103">
        <f t="shared" si="9"/>
        <v>2283.3375150000002</v>
      </c>
      <c r="AE30" s="27">
        <f t="shared" si="10"/>
        <v>319.66000000000003</v>
      </c>
      <c r="AG30" s="113">
        <f>$AG$14/31.1035*K30*IF(LEFT(F30,3)="10K",0.417*1.07,IF(LEFT(F30,3)="14K",0.585*1.05,IF(LEFT(F30,3)="18K",0.75*1.05,0)))</f>
        <v>1691.1943630808428</v>
      </c>
    </row>
    <row r="31" spans="1:33" s="27" customFormat="1" ht="28">
      <c r="A31" s="97">
        <v>2</v>
      </c>
      <c r="B31" s="99" t="s">
        <v>95</v>
      </c>
      <c r="C31" s="99"/>
      <c r="D31" s="96" t="s">
        <v>93</v>
      </c>
      <c r="E31" s="96"/>
      <c r="F31" s="96" t="s">
        <v>94</v>
      </c>
      <c r="G31" s="159">
        <v>1</v>
      </c>
      <c r="H31" s="164">
        <v>14.89</v>
      </c>
      <c r="I31" s="164">
        <v>0.45</v>
      </c>
      <c r="J31" s="164">
        <v>0.26</v>
      </c>
      <c r="K31" s="165">
        <f t="shared" si="20"/>
        <v>14.180000000000001</v>
      </c>
      <c r="L31" s="100">
        <v>1.95</v>
      </c>
      <c r="M31" s="100"/>
      <c r="N31" s="101">
        <v>81</v>
      </c>
      <c r="O31" s="109">
        <v>11</v>
      </c>
      <c r="P31" s="115">
        <v>2.2650000000000001</v>
      </c>
      <c r="Q31" s="111">
        <f t="shared" si="21"/>
        <v>8.7100650000000002</v>
      </c>
      <c r="R31" s="34"/>
      <c r="S31" s="34"/>
      <c r="T31" s="34">
        <f t="shared" si="22"/>
        <v>2.0249999999999999</v>
      </c>
      <c r="U31" s="34">
        <f t="shared" si="23"/>
        <v>8</v>
      </c>
      <c r="V31" s="34">
        <f>IF(RIGHT(F31,2)="WG",K31*$AA$4,IF(OR(RIGHT(F31,3)="WRG",RIGHT(F31,3)="WYG",RIGHT(F31,3)="WYR"),K31*$AA$4+3*G31,0))</f>
        <v>3.4032000000000004</v>
      </c>
      <c r="W31" s="34"/>
      <c r="X31" s="34">
        <f t="shared" si="24"/>
        <v>24.3</v>
      </c>
      <c r="Y31" s="34">
        <f t="shared" si="19"/>
        <v>155.98000000000002</v>
      </c>
      <c r="Z31" s="27">
        <f t="shared" si="6"/>
        <v>28.360000000000003</v>
      </c>
      <c r="AA31" s="103">
        <f t="shared" si="7"/>
        <v>165.34820000000002</v>
      </c>
      <c r="AB31" s="103">
        <f t="shared" si="8"/>
        <v>970.80559500000004</v>
      </c>
      <c r="AC31" s="103">
        <f t="shared" si="9"/>
        <v>1136.1537950000002</v>
      </c>
      <c r="AE31" s="27">
        <f t="shared" si="10"/>
        <v>155.98000000000002</v>
      </c>
      <c r="AG31" s="113">
        <f>$AG$14/31.1035*K31*IF(LEFT(F31,3)="10K",0.417*1.07,IF(LEFT(F31,3)="14K",0.585*1.05,IF(LEFT(F31,3)="18K",0.75*1.05,0)))</f>
        <v>825.22835748404509</v>
      </c>
    </row>
    <row r="32" spans="1:33" s="27" customFormat="1" ht="28.5" thickBot="1">
      <c r="A32" s="97">
        <v>2</v>
      </c>
      <c r="B32" s="99" t="s">
        <v>95</v>
      </c>
      <c r="C32" s="96"/>
      <c r="D32" s="96" t="s">
        <v>93</v>
      </c>
      <c r="E32" s="96"/>
      <c r="F32" s="96" t="s">
        <v>77</v>
      </c>
      <c r="G32" s="159">
        <v>1</v>
      </c>
      <c r="H32" s="164">
        <v>14.67</v>
      </c>
      <c r="I32" s="164">
        <v>0.46</v>
      </c>
      <c r="J32" s="164">
        <v>0.26</v>
      </c>
      <c r="K32" s="165">
        <f t="shared" si="20"/>
        <v>13.95</v>
      </c>
      <c r="L32" s="100">
        <v>1.95</v>
      </c>
      <c r="M32" s="100"/>
      <c r="N32" s="101">
        <v>81</v>
      </c>
      <c r="O32" s="109">
        <v>11</v>
      </c>
      <c r="P32" s="115">
        <v>2.2749999999999999</v>
      </c>
      <c r="Q32" s="111">
        <f t="shared" si="21"/>
        <v>8.5687874999999991</v>
      </c>
      <c r="R32" s="34"/>
      <c r="S32" s="34"/>
      <c r="T32" s="34">
        <f t="shared" si="22"/>
        <v>2.0249999999999999</v>
      </c>
      <c r="U32" s="34">
        <f t="shared" si="23"/>
        <v>8</v>
      </c>
      <c r="V32" s="34">
        <f>IF(RIGHT(F32,2)="WG",K32*$AA$4,IF(OR(RIGHT(F32,3)="WRG",RIGHT(F32,3)="WYG",RIGHT(F32,3)="WYR"),K32*$AA$4+3*G32,0))</f>
        <v>0</v>
      </c>
      <c r="W32" s="34"/>
      <c r="X32" s="34">
        <f t="shared" si="24"/>
        <v>24.3</v>
      </c>
      <c r="Y32" s="34">
        <f t="shared" si="19"/>
        <v>153.44999999999999</v>
      </c>
      <c r="Z32" s="27">
        <f t="shared" si="6"/>
        <v>27.9</v>
      </c>
      <c r="AA32" s="103">
        <f t="shared" si="7"/>
        <v>159.87499999999997</v>
      </c>
      <c r="AB32" s="103">
        <f t="shared" si="8"/>
        <v>961.97123749999992</v>
      </c>
      <c r="AC32" s="103">
        <f t="shared" si="9"/>
        <v>1121.8462374999999</v>
      </c>
      <c r="AE32" s="27">
        <f t="shared" si="10"/>
        <v>153.44999999999999</v>
      </c>
      <c r="AG32" s="113">
        <f>$AG$14/31.1035*K32*IF(LEFT(F32,3)="10K",0.417*1.07,IF(LEFT(F32,3)="14K",0.585*1.05,IF(LEFT(F32,3)="18K",0.75*1.05,0)))</f>
        <v>811.84313024699782</v>
      </c>
    </row>
    <row r="33" spans="1:33" s="28" customFormat="1" ht="15.9" customHeight="1">
      <c r="A33" s="88" t="s">
        <v>71</v>
      </c>
      <c r="B33" s="65"/>
      <c r="C33" s="65"/>
      <c r="D33" s="65"/>
      <c r="E33" s="65"/>
      <c r="F33" s="65"/>
      <c r="G33" s="162">
        <f>SUM(G29:G32)</f>
        <v>6</v>
      </c>
      <c r="H33" s="166"/>
      <c r="I33" s="166"/>
      <c r="J33" s="166"/>
      <c r="K33" s="166">
        <f>SUM(K29:K32)</f>
        <v>85.720000000000013</v>
      </c>
      <c r="L33" s="67"/>
      <c r="M33" s="67"/>
      <c r="N33" s="67"/>
      <c r="O33" s="68"/>
      <c r="P33" s="116">
        <f t="shared" ref="P33:Y33" si="25">SUM(P29:P32)</f>
        <v>13.015000000000001</v>
      </c>
      <c r="Q33" s="112">
        <f t="shared" si="25"/>
        <v>52.653509999999997</v>
      </c>
      <c r="R33" s="69">
        <f t="shared" si="25"/>
        <v>0</v>
      </c>
      <c r="S33" s="69">
        <f t="shared" si="25"/>
        <v>0</v>
      </c>
      <c r="T33" s="69">
        <f t="shared" si="25"/>
        <v>12.850000000000001</v>
      </c>
      <c r="U33" s="69">
        <f t="shared" si="25"/>
        <v>48</v>
      </c>
      <c r="V33" s="69">
        <f t="shared" si="25"/>
        <v>10.250399999999999</v>
      </c>
      <c r="W33" s="69">
        <f t="shared" si="25"/>
        <v>0</v>
      </c>
      <c r="X33" s="69">
        <f t="shared" si="25"/>
        <v>154.20000000000002</v>
      </c>
      <c r="Y33" s="69">
        <f t="shared" si="25"/>
        <v>942.92000000000007</v>
      </c>
      <c r="Z33" s="27"/>
      <c r="AA33" s="103"/>
      <c r="AB33" s="103"/>
      <c r="AC33" s="103"/>
      <c r="AD33" s="104"/>
      <c r="AE33" s="27"/>
      <c r="AG33" s="114">
        <f>SUM(AG29:AG32)</f>
        <v>4988.6159946073585</v>
      </c>
    </row>
    <row r="34" spans="1:33" ht="15.9" customHeight="1">
      <c r="A34" s="51" t="s">
        <v>83</v>
      </c>
      <c r="K34" s="46"/>
      <c r="L34" s="46"/>
      <c r="M34" s="46"/>
      <c r="N34" s="46"/>
      <c r="X34" s="47"/>
      <c r="Z34" s="27"/>
      <c r="AA34" s="103"/>
      <c r="AB34" s="103"/>
      <c r="AC34" s="103"/>
      <c r="AE34" s="27"/>
      <c r="AF34" s="84" t="s">
        <v>80</v>
      </c>
      <c r="AG34" s="95">
        <f>2917.7*1.01</f>
        <v>2946.877</v>
      </c>
    </row>
    <row r="35" spans="1:33" s="94" customFormat="1" ht="28">
      <c r="A35" s="89" t="s">
        <v>4</v>
      </c>
      <c r="B35" s="90" t="s">
        <v>5</v>
      </c>
      <c r="C35" s="90" t="s">
        <v>24</v>
      </c>
      <c r="D35" s="90" t="s">
        <v>46</v>
      </c>
      <c r="E35" s="90" t="s">
        <v>47</v>
      </c>
      <c r="F35" s="90" t="s">
        <v>6</v>
      </c>
      <c r="G35" s="90" t="s">
        <v>7</v>
      </c>
      <c r="H35" s="91" t="s">
        <v>8</v>
      </c>
      <c r="I35" s="91" t="s">
        <v>48</v>
      </c>
      <c r="J35" s="91" t="s">
        <v>9</v>
      </c>
      <c r="K35" s="92" t="s">
        <v>14</v>
      </c>
      <c r="L35" s="92" t="s">
        <v>20</v>
      </c>
      <c r="M35" s="92" t="s">
        <v>23</v>
      </c>
      <c r="N35" s="92" t="s">
        <v>21</v>
      </c>
      <c r="O35" s="93" t="s">
        <v>10</v>
      </c>
      <c r="P35" s="93" t="s">
        <v>50</v>
      </c>
      <c r="Q35" s="110" t="s">
        <v>63</v>
      </c>
      <c r="R35" s="43" t="s">
        <v>51</v>
      </c>
      <c r="S35" s="43" t="s">
        <v>55</v>
      </c>
      <c r="T35" s="43" t="s">
        <v>70</v>
      </c>
      <c r="U35" s="43" t="s">
        <v>13</v>
      </c>
      <c r="V35" s="43" t="s">
        <v>53</v>
      </c>
      <c r="W35" s="43" t="s">
        <v>49</v>
      </c>
      <c r="X35" s="43" t="s">
        <v>15</v>
      </c>
      <c r="Y35" s="48" t="s">
        <v>12</v>
      </c>
      <c r="Z35" s="27"/>
      <c r="AA35" s="103"/>
      <c r="AB35" s="103"/>
      <c r="AC35" s="103"/>
      <c r="AE35" s="27"/>
      <c r="AG35" s="48" t="s">
        <v>22</v>
      </c>
    </row>
    <row r="36" spans="1:33" s="27" customFormat="1" ht="28">
      <c r="A36" s="97" t="s">
        <v>97</v>
      </c>
      <c r="B36" s="99" t="s">
        <v>98</v>
      </c>
      <c r="C36" s="99"/>
      <c r="D36" s="96"/>
      <c r="E36" s="96"/>
      <c r="F36" s="96" t="s">
        <v>77</v>
      </c>
      <c r="G36" s="98">
        <v>5</v>
      </c>
      <c r="H36" s="106">
        <v>30.119999999999997</v>
      </c>
      <c r="I36" s="106">
        <v>0</v>
      </c>
      <c r="J36" s="106">
        <v>0</v>
      </c>
      <c r="K36" s="107">
        <f t="shared" ref="K36:K50" si="26">H36-I36-J36</f>
        <v>30.119999999999997</v>
      </c>
      <c r="L36" s="100">
        <v>1.6</v>
      </c>
      <c r="M36" s="100"/>
      <c r="N36" s="158">
        <v>45</v>
      </c>
      <c r="O36" s="109">
        <v>9</v>
      </c>
      <c r="P36" s="115"/>
      <c r="Q36" s="111">
        <f t="shared" ref="Q36:Q50" si="27">K36*IF(LEFT(F36,3)="10K",0.417*1.07,IF(LEFT(F36,3)="14K",0.585*1.05,IF(LEFT(F36,3)="18K",0.75*1.05,0)))</f>
        <v>18.501209999999997</v>
      </c>
      <c r="R36" s="34"/>
      <c r="S36" s="34"/>
      <c r="T36" s="34"/>
      <c r="U36" s="34"/>
      <c r="V36" s="34"/>
      <c r="W36" s="34"/>
      <c r="X36" s="34"/>
      <c r="Y36" s="34">
        <f t="shared" ref="Y36:Y50" si="28">K36*O36</f>
        <v>271.08</v>
      </c>
      <c r="Z36" s="27">
        <f t="shared" si="6"/>
        <v>60.239999999999995</v>
      </c>
      <c r="AA36" s="103">
        <f t="shared" si="7"/>
        <v>210.83999999999997</v>
      </c>
      <c r="AB36" s="103">
        <f t="shared" si="8"/>
        <v>1350.5883299999998</v>
      </c>
      <c r="AC36" s="103">
        <f t="shared" si="9"/>
        <v>1561.4283299999997</v>
      </c>
      <c r="AE36" s="27">
        <f t="shared" si="10"/>
        <v>271.08</v>
      </c>
      <c r="AG36" s="113">
        <f t="shared" ref="AG36:AG43" si="29">$AG$14/31.1035*K36*IF(LEFT(F36,3)="10K",0.417*1.07,IF(LEFT(F36,3)="14K",0.585*1.05,IF(LEFT(F36,3)="18K",0.75*1.05,0)))</f>
        <v>1752.8828016515822</v>
      </c>
    </row>
    <row r="37" spans="1:33" s="27" customFormat="1" ht="28">
      <c r="A37" s="97">
        <v>26</v>
      </c>
      <c r="B37" s="99" t="s">
        <v>98</v>
      </c>
      <c r="C37" s="96"/>
      <c r="D37" s="96"/>
      <c r="E37" s="96"/>
      <c r="F37" s="96" t="s">
        <v>82</v>
      </c>
      <c r="G37" s="98">
        <v>20</v>
      </c>
      <c r="H37" s="106">
        <v>120.89</v>
      </c>
      <c r="I37" s="106">
        <v>0</v>
      </c>
      <c r="J37" s="106">
        <v>0</v>
      </c>
      <c r="K37" s="107">
        <f t="shared" si="26"/>
        <v>120.89</v>
      </c>
      <c r="L37" s="156">
        <v>1.6</v>
      </c>
      <c r="M37" s="100"/>
      <c r="N37" s="158">
        <v>45</v>
      </c>
      <c r="O37" s="109">
        <v>9</v>
      </c>
      <c r="P37" s="115"/>
      <c r="Q37" s="111">
        <f t="shared" si="27"/>
        <v>74.256682499999997</v>
      </c>
      <c r="R37" s="34"/>
      <c r="S37" s="34"/>
      <c r="T37" s="34"/>
      <c r="U37" s="34"/>
      <c r="V37" s="34"/>
      <c r="W37" s="34"/>
      <c r="X37" s="34"/>
      <c r="Y37" s="34">
        <f t="shared" si="28"/>
        <v>1088.01</v>
      </c>
      <c r="Z37" s="27">
        <f t="shared" si="6"/>
        <v>241.78</v>
      </c>
      <c r="AA37" s="103">
        <f t="shared" si="7"/>
        <v>846.23</v>
      </c>
      <c r="AB37" s="103">
        <f t="shared" si="8"/>
        <v>5420.7378224999993</v>
      </c>
      <c r="AC37" s="103">
        <f t="shared" si="9"/>
        <v>6266.9678224999989</v>
      </c>
      <c r="AE37" s="27">
        <f t="shared" si="10"/>
        <v>1088.01</v>
      </c>
      <c r="AG37" s="113">
        <f t="shared" si="29"/>
        <v>7035.3918290723705</v>
      </c>
    </row>
    <row r="38" spans="1:33" s="27" customFormat="1" ht="28">
      <c r="A38" s="97">
        <v>27</v>
      </c>
      <c r="B38" s="99" t="s">
        <v>99</v>
      </c>
      <c r="C38" s="96"/>
      <c r="D38" s="96"/>
      <c r="E38" s="96"/>
      <c r="F38" s="96" t="s">
        <v>77</v>
      </c>
      <c r="G38" s="98">
        <v>5</v>
      </c>
      <c r="H38" s="106">
        <v>32.11</v>
      </c>
      <c r="I38" s="106">
        <v>0</v>
      </c>
      <c r="J38" s="106">
        <v>0</v>
      </c>
      <c r="K38" s="107">
        <f t="shared" si="26"/>
        <v>32.11</v>
      </c>
      <c r="L38" s="156">
        <v>1.9</v>
      </c>
      <c r="M38" s="100"/>
      <c r="N38" s="101">
        <v>40</v>
      </c>
      <c r="O38" s="109">
        <v>8</v>
      </c>
      <c r="P38" s="115"/>
      <c r="Q38" s="111">
        <f t="shared" si="27"/>
        <v>19.723567499999998</v>
      </c>
      <c r="R38" s="34"/>
      <c r="S38" s="34"/>
      <c r="T38" s="34"/>
      <c r="U38" s="34"/>
      <c r="V38" s="34"/>
      <c r="W38" s="34"/>
      <c r="X38" s="34"/>
      <c r="Y38" s="34">
        <f t="shared" si="28"/>
        <v>256.88</v>
      </c>
      <c r="Z38" s="27">
        <f t="shared" si="6"/>
        <v>64.22</v>
      </c>
      <c r="AA38" s="103">
        <f t="shared" si="7"/>
        <v>192.66</v>
      </c>
      <c r="AB38" s="103">
        <f t="shared" si="8"/>
        <v>1439.8204274999998</v>
      </c>
      <c r="AC38" s="103">
        <f t="shared" si="9"/>
        <v>1632.4804274999999</v>
      </c>
      <c r="AE38" s="27">
        <f t="shared" si="10"/>
        <v>256.88</v>
      </c>
      <c r="AG38" s="113">
        <f t="shared" si="29"/>
        <v>1868.694115572122</v>
      </c>
    </row>
    <row r="39" spans="1:33" s="27" customFormat="1" ht="28">
      <c r="A39" s="97">
        <v>28</v>
      </c>
      <c r="B39" s="99" t="s">
        <v>99</v>
      </c>
      <c r="C39" s="96"/>
      <c r="D39" s="96"/>
      <c r="E39" s="96"/>
      <c r="F39" s="96" t="s">
        <v>82</v>
      </c>
      <c r="G39" s="98">
        <v>20</v>
      </c>
      <c r="H39" s="106">
        <v>132.34</v>
      </c>
      <c r="I39" s="106">
        <v>0</v>
      </c>
      <c r="J39" s="106">
        <v>0</v>
      </c>
      <c r="K39" s="107">
        <f t="shared" si="26"/>
        <v>132.34</v>
      </c>
      <c r="L39" s="156">
        <v>1.9</v>
      </c>
      <c r="M39" s="100"/>
      <c r="N39" s="101">
        <v>40</v>
      </c>
      <c r="O39" s="109">
        <v>8</v>
      </c>
      <c r="P39" s="115"/>
      <c r="Q39" s="111">
        <f t="shared" si="27"/>
        <v>81.289845</v>
      </c>
      <c r="R39" s="34"/>
      <c r="S39" s="34"/>
      <c r="T39" s="34"/>
      <c r="U39" s="34"/>
      <c r="V39" s="34"/>
      <c r="W39" s="34"/>
      <c r="X39" s="34"/>
      <c r="Y39" s="34">
        <f t="shared" si="28"/>
        <v>1058.72</v>
      </c>
      <c r="Z39" s="27">
        <f t="shared" si="6"/>
        <v>264.68</v>
      </c>
      <c r="AA39" s="103">
        <f t="shared" si="7"/>
        <v>794.04</v>
      </c>
      <c r="AB39" s="103">
        <f t="shared" si="8"/>
        <v>5934.1586850000003</v>
      </c>
      <c r="AC39" s="103">
        <f t="shared" si="9"/>
        <v>6728.1986850000003</v>
      </c>
      <c r="AE39" s="27">
        <f t="shared" si="10"/>
        <v>1058.72</v>
      </c>
      <c r="AG39" s="113">
        <f t="shared" si="29"/>
        <v>7701.7433589166803</v>
      </c>
    </row>
    <row r="40" spans="1:33" s="27" customFormat="1" ht="28">
      <c r="A40" s="157">
        <v>29</v>
      </c>
      <c r="B40" s="99" t="s">
        <v>100</v>
      </c>
      <c r="C40" s="96"/>
      <c r="D40" s="96"/>
      <c r="E40" s="96"/>
      <c r="F40" s="96" t="s">
        <v>77</v>
      </c>
      <c r="G40" s="98">
        <v>5</v>
      </c>
      <c r="H40" s="106">
        <v>35.520000000000003</v>
      </c>
      <c r="I40" s="106">
        <v>0</v>
      </c>
      <c r="J40" s="106">
        <v>0</v>
      </c>
      <c r="K40" s="107">
        <f t="shared" si="26"/>
        <v>35.520000000000003</v>
      </c>
      <c r="L40" s="156">
        <v>2.1</v>
      </c>
      <c r="M40" s="100"/>
      <c r="N40" s="158">
        <v>39</v>
      </c>
      <c r="O40" s="109">
        <v>7.5</v>
      </c>
      <c r="P40" s="115"/>
      <c r="Q40" s="111">
        <f t="shared" si="27"/>
        <v>21.818159999999999</v>
      </c>
      <c r="R40" s="34"/>
      <c r="S40" s="34"/>
      <c r="T40" s="34"/>
      <c r="U40" s="34"/>
      <c r="V40" s="34"/>
      <c r="W40" s="34"/>
      <c r="X40" s="34"/>
      <c r="Y40" s="34">
        <f t="shared" si="28"/>
        <v>266.40000000000003</v>
      </c>
      <c r="Z40" s="27">
        <f t="shared" si="6"/>
        <v>71.040000000000006</v>
      </c>
      <c r="AA40" s="103">
        <f t="shared" si="7"/>
        <v>195.36</v>
      </c>
      <c r="AB40" s="103">
        <f t="shared" si="8"/>
        <v>1592.72568</v>
      </c>
      <c r="AC40" s="103">
        <f t="shared" si="9"/>
        <v>1788.0856800000001</v>
      </c>
      <c r="AE40" s="27">
        <f t="shared" si="10"/>
        <v>266.40000000000003</v>
      </c>
      <c r="AG40" s="113">
        <f t="shared" si="29"/>
        <v>2067.1446585213885</v>
      </c>
    </row>
    <row r="41" spans="1:33" s="27" customFormat="1" ht="28">
      <c r="A41" s="157">
        <v>30</v>
      </c>
      <c r="B41" s="99" t="s">
        <v>100</v>
      </c>
      <c r="C41" s="96"/>
      <c r="D41" s="96"/>
      <c r="E41" s="96"/>
      <c r="F41" s="96" t="s">
        <v>82</v>
      </c>
      <c r="G41" s="98">
        <v>20</v>
      </c>
      <c r="H41" s="106">
        <v>145.18</v>
      </c>
      <c r="I41" s="106">
        <v>0</v>
      </c>
      <c r="J41" s="106">
        <v>0</v>
      </c>
      <c r="K41" s="107">
        <f t="shared" si="26"/>
        <v>145.18</v>
      </c>
      <c r="L41" s="156">
        <v>2.1</v>
      </c>
      <c r="M41" s="100"/>
      <c r="N41" s="158">
        <v>39</v>
      </c>
      <c r="O41" s="109">
        <v>7.5</v>
      </c>
      <c r="P41" s="115"/>
      <c r="Q41" s="111">
        <f t="shared" si="27"/>
        <v>89.176815000000005</v>
      </c>
      <c r="R41" s="34"/>
      <c r="S41" s="34"/>
      <c r="T41" s="34"/>
      <c r="U41" s="34"/>
      <c r="V41" s="34"/>
      <c r="W41" s="34"/>
      <c r="X41" s="34"/>
      <c r="Y41" s="34">
        <f t="shared" si="28"/>
        <v>1088.8500000000001</v>
      </c>
      <c r="Z41" s="27">
        <f t="shared" si="6"/>
        <v>290.36</v>
      </c>
      <c r="AA41" s="103">
        <f t="shared" si="7"/>
        <v>798.49000000000012</v>
      </c>
      <c r="AB41" s="103">
        <f t="shared" si="8"/>
        <v>6509.9074950000004</v>
      </c>
      <c r="AC41" s="103">
        <f t="shared" si="9"/>
        <v>7308.3974950000002</v>
      </c>
      <c r="AE41" s="27">
        <f t="shared" si="10"/>
        <v>1088.8500000000001</v>
      </c>
      <c r="AG41" s="113">
        <f t="shared" si="29"/>
        <v>8448.9882185848855</v>
      </c>
    </row>
    <row r="42" spans="1:33" s="27" customFormat="1" ht="28">
      <c r="A42" s="97">
        <v>31</v>
      </c>
      <c r="B42" s="99" t="s">
        <v>101</v>
      </c>
      <c r="C42" s="96"/>
      <c r="D42" s="99"/>
      <c r="E42" s="96"/>
      <c r="F42" s="96" t="s">
        <v>77</v>
      </c>
      <c r="G42" s="98">
        <v>5</v>
      </c>
      <c r="H42" s="106">
        <v>30.53</v>
      </c>
      <c r="I42" s="106">
        <v>0</v>
      </c>
      <c r="J42" s="106">
        <v>0</v>
      </c>
      <c r="K42" s="107">
        <f t="shared" si="26"/>
        <v>30.53</v>
      </c>
      <c r="L42" s="156">
        <v>1.6</v>
      </c>
      <c r="M42" s="100"/>
      <c r="N42" s="101">
        <v>22</v>
      </c>
      <c r="O42" s="109">
        <v>9</v>
      </c>
      <c r="P42" s="115"/>
      <c r="Q42" s="111">
        <f t="shared" si="27"/>
        <v>18.753052499999999</v>
      </c>
      <c r="R42" s="34"/>
      <c r="S42" s="34"/>
      <c r="T42" s="34"/>
      <c r="U42" s="34"/>
      <c r="V42" s="34"/>
      <c r="W42" s="34"/>
      <c r="X42" s="34"/>
      <c r="Y42" s="34">
        <f t="shared" si="28"/>
        <v>274.77</v>
      </c>
      <c r="Z42" s="27">
        <f t="shared" si="6"/>
        <v>61.06</v>
      </c>
      <c r="AA42" s="103">
        <f t="shared" si="7"/>
        <v>213.70999999999998</v>
      </c>
      <c r="AB42" s="103">
        <f t="shared" si="8"/>
        <v>1368.9728324999999</v>
      </c>
      <c r="AC42" s="103">
        <f t="shared" si="9"/>
        <v>1582.6828324999999</v>
      </c>
      <c r="AE42" s="27">
        <f t="shared" si="10"/>
        <v>274.77</v>
      </c>
      <c r="AG42" s="113">
        <f t="shared" si="29"/>
        <v>1776.7434241176231</v>
      </c>
    </row>
    <row r="43" spans="1:33" s="27" customFormat="1" ht="28">
      <c r="A43" s="97">
        <v>32</v>
      </c>
      <c r="B43" s="99" t="s">
        <v>101</v>
      </c>
      <c r="C43" s="96"/>
      <c r="D43" s="96"/>
      <c r="E43" s="96"/>
      <c r="F43" s="96" t="s">
        <v>82</v>
      </c>
      <c r="G43" s="98">
        <v>15</v>
      </c>
      <c r="H43" s="106">
        <v>94.169999999999987</v>
      </c>
      <c r="I43" s="106">
        <v>0</v>
      </c>
      <c r="J43" s="106">
        <v>0</v>
      </c>
      <c r="K43" s="107">
        <f t="shared" si="26"/>
        <v>94.169999999999987</v>
      </c>
      <c r="L43" s="100">
        <v>1.6</v>
      </c>
      <c r="M43" s="100"/>
      <c r="N43" s="101">
        <v>22</v>
      </c>
      <c r="O43" s="109">
        <v>9</v>
      </c>
      <c r="P43" s="115"/>
      <c r="Q43" s="111">
        <f t="shared" si="27"/>
        <v>57.843922499999991</v>
      </c>
      <c r="R43" s="34"/>
      <c r="S43" s="34"/>
      <c r="T43" s="34"/>
      <c r="U43" s="34"/>
      <c r="V43" s="34"/>
      <c r="W43" s="34"/>
      <c r="X43" s="34"/>
      <c r="Y43" s="34">
        <f t="shared" si="28"/>
        <v>847.52999999999986</v>
      </c>
      <c r="Z43" s="27">
        <f t="shared" si="6"/>
        <v>188.33999999999997</v>
      </c>
      <c r="AA43" s="103">
        <f t="shared" si="7"/>
        <v>659.18999999999983</v>
      </c>
      <c r="AB43" s="103">
        <f t="shared" si="8"/>
        <v>4222.6063424999993</v>
      </c>
      <c r="AC43" s="103">
        <f t="shared" si="9"/>
        <v>4881.7963424999989</v>
      </c>
      <c r="AE43" s="27">
        <f t="shared" si="10"/>
        <v>847.52999999999986</v>
      </c>
      <c r="AG43" s="113">
        <f t="shared" si="29"/>
        <v>5480.3776039684426</v>
      </c>
    </row>
    <row r="44" spans="1:33" s="27" customFormat="1" ht="28">
      <c r="A44" s="97">
        <v>33</v>
      </c>
      <c r="B44" s="99" t="s">
        <v>102</v>
      </c>
      <c r="C44" s="96"/>
      <c r="D44" s="96"/>
      <c r="E44" s="96"/>
      <c r="F44" s="96" t="s">
        <v>77</v>
      </c>
      <c r="G44" s="98">
        <v>5</v>
      </c>
      <c r="H44" s="106">
        <v>32.93</v>
      </c>
      <c r="I44" s="106">
        <v>0</v>
      </c>
      <c r="J44" s="106">
        <v>0</v>
      </c>
      <c r="K44" s="107">
        <f t="shared" si="26"/>
        <v>32.93</v>
      </c>
      <c r="L44" s="100">
        <v>1.9</v>
      </c>
      <c r="M44" s="100"/>
      <c r="N44" s="101">
        <v>21</v>
      </c>
      <c r="O44" s="109">
        <v>8</v>
      </c>
      <c r="P44" s="115"/>
      <c r="Q44" s="111">
        <f t="shared" si="27"/>
        <v>20.227252499999999</v>
      </c>
      <c r="R44" s="34"/>
      <c r="S44" s="34"/>
      <c r="T44" s="34"/>
      <c r="U44" s="34"/>
      <c r="V44" s="34"/>
      <c r="W44" s="34"/>
      <c r="X44" s="34"/>
      <c r="Y44" s="34">
        <f t="shared" si="28"/>
        <v>263.44</v>
      </c>
      <c r="Z44" s="27">
        <f t="shared" si="6"/>
        <v>65.86</v>
      </c>
      <c r="AA44" s="103">
        <f t="shared" si="7"/>
        <v>197.57999999999998</v>
      </c>
      <c r="AB44" s="103">
        <f t="shared" si="8"/>
        <v>1476.5894324999999</v>
      </c>
      <c r="AC44" s="103">
        <f t="shared" si="9"/>
        <v>1674.1694324999999</v>
      </c>
      <c r="AE44" s="27">
        <f t="shared" si="10"/>
        <v>263.44</v>
      </c>
      <c r="AG44" s="113">
        <f t="shared" ref="AG44:AG47" si="30">$AG$14/31.1035*K44*IF(LEFT(F44,3)="10K",0.417*1.07,IF(LEFT(F44,3)="14K",0.585*1.05,IF(LEFT(F44,3)="18K",0.75*1.05,0)))</f>
        <v>1916.4153605042036</v>
      </c>
    </row>
    <row r="45" spans="1:33" s="27" customFormat="1" ht="28">
      <c r="A45" s="97">
        <v>34</v>
      </c>
      <c r="B45" s="99" t="s">
        <v>102</v>
      </c>
      <c r="C45" s="96"/>
      <c r="D45" s="96"/>
      <c r="E45" s="96"/>
      <c r="F45" s="96" t="s">
        <v>82</v>
      </c>
      <c r="G45" s="98">
        <v>15</v>
      </c>
      <c r="H45" s="106">
        <v>99.99</v>
      </c>
      <c r="I45" s="106">
        <v>0</v>
      </c>
      <c r="J45" s="106">
        <v>0</v>
      </c>
      <c r="K45" s="107">
        <f t="shared" si="26"/>
        <v>99.99</v>
      </c>
      <c r="L45" s="100">
        <v>1.9</v>
      </c>
      <c r="M45" s="100"/>
      <c r="N45" s="101">
        <v>21</v>
      </c>
      <c r="O45" s="109">
        <v>8</v>
      </c>
      <c r="P45" s="115"/>
      <c r="Q45" s="111">
        <f t="shared" si="27"/>
        <v>61.418857499999994</v>
      </c>
      <c r="R45" s="34"/>
      <c r="S45" s="34"/>
      <c r="T45" s="34"/>
      <c r="U45" s="34"/>
      <c r="V45" s="34"/>
      <c r="W45" s="34"/>
      <c r="X45" s="34"/>
      <c r="Y45" s="34">
        <f t="shared" si="28"/>
        <v>799.92</v>
      </c>
      <c r="Z45" s="27">
        <f t="shared" si="6"/>
        <v>199.98</v>
      </c>
      <c r="AA45" s="103">
        <f t="shared" si="7"/>
        <v>599.93999999999994</v>
      </c>
      <c r="AB45" s="103">
        <f t="shared" si="8"/>
        <v>4483.5765974999995</v>
      </c>
      <c r="AC45" s="103">
        <f t="shared" si="9"/>
        <v>5083.5165974999991</v>
      </c>
      <c r="AE45" s="27">
        <f t="shared" si="10"/>
        <v>799.92</v>
      </c>
      <c r="AG45" s="113">
        <f t="shared" si="30"/>
        <v>5819.0820497059003</v>
      </c>
    </row>
    <row r="46" spans="1:33" s="27" customFormat="1" ht="28">
      <c r="A46" s="97">
        <v>35</v>
      </c>
      <c r="B46" s="96" t="s">
        <v>103</v>
      </c>
      <c r="C46" s="96"/>
      <c r="D46" s="96"/>
      <c r="E46" s="96"/>
      <c r="F46" s="96" t="s">
        <v>77</v>
      </c>
      <c r="G46" s="98">
        <v>5</v>
      </c>
      <c r="H46" s="106">
        <v>34.72</v>
      </c>
      <c r="I46" s="106">
        <v>0</v>
      </c>
      <c r="J46" s="106">
        <v>0</v>
      </c>
      <c r="K46" s="107">
        <f t="shared" si="26"/>
        <v>34.72</v>
      </c>
      <c r="L46" s="100">
        <v>2.1</v>
      </c>
      <c r="M46" s="100"/>
      <c r="N46" s="101">
        <v>20</v>
      </c>
      <c r="O46" s="109">
        <v>7.5</v>
      </c>
      <c r="P46" s="115"/>
      <c r="Q46" s="111">
        <f t="shared" si="27"/>
        <v>21.326759999999997</v>
      </c>
      <c r="R46" s="34"/>
      <c r="S46" s="34"/>
      <c r="T46" s="34"/>
      <c r="U46" s="34"/>
      <c r="V46" s="34"/>
      <c r="W46" s="34"/>
      <c r="X46" s="34"/>
      <c r="Y46" s="34">
        <f t="shared" si="28"/>
        <v>260.39999999999998</v>
      </c>
      <c r="Z46" s="27">
        <f t="shared" si="6"/>
        <v>69.44</v>
      </c>
      <c r="AA46" s="103">
        <f t="shared" si="7"/>
        <v>190.95999999999998</v>
      </c>
      <c r="AB46" s="103">
        <f t="shared" si="8"/>
        <v>1556.8534799999998</v>
      </c>
      <c r="AC46" s="103">
        <f t="shared" si="9"/>
        <v>1747.8134799999998</v>
      </c>
      <c r="AE46" s="27">
        <f t="shared" si="10"/>
        <v>260.39999999999998</v>
      </c>
      <c r="AG46" s="113">
        <f t="shared" si="30"/>
        <v>2020.5873463925277</v>
      </c>
    </row>
    <row r="47" spans="1:33" s="27" customFormat="1" ht="28">
      <c r="A47" s="97">
        <v>36</v>
      </c>
      <c r="B47" s="99" t="s">
        <v>103</v>
      </c>
      <c r="C47" s="99"/>
      <c r="D47" s="99"/>
      <c r="E47" s="96"/>
      <c r="F47" s="96" t="s">
        <v>82</v>
      </c>
      <c r="G47" s="98">
        <v>15</v>
      </c>
      <c r="H47" s="106">
        <v>104.67999999999999</v>
      </c>
      <c r="I47" s="106">
        <v>0</v>
      </c>
      <c r="J47" s="106">
        <v>0</v>
      </c>
      <c r="K47" s="107">
        <f t="shared" si="26"/>
        <v>104.67999999999999</v>
      </c>
      <c r="L47" s="100">
        <v>2.1</v>
      </c>
      <c r="M47" s="100"/>
      <c r="N47" s="101">
        <v>20</v>
      </c>
      <c r="O47" s="109">
        <v>7.5</v>
      </c>
      <c r="P47" s="115"/>
      <c r="Q47" s="111">
        <f t="shared" si="27"/>
        <v>64.299689999999998</v>
      </c>
      <c r="R47" s="34"/>
      <c r="S47" s="34"/>
      <c r="T47" s="34"/>
      <c r="U47" s="34"/>
      <c r="V47" s="34"/>
      <c r="W47" s="34"/>
      <c r="X47" s="34"/>
      <c r="Y47" s="34">
        <f t="shared" si="28"/>
        <v>785.09999999999991</v>
      </c>
      <c r="Z47" s="27">
        <f t="shared" si="6"/>
        <v>209.35999999999999</v>
      </c>
      <c r="AA47" s="103">
        <f t="shared" si="7"/>
        <v>575.7399999999999</v>
      </c>
      <c r="AB47" s="103">
        <f t="shared" si="8"/>
        <v>4693.8773700000002</v>
      </c>
      <c r="AC47" s="103">
        <f t="shared" si="9"/>
        <v>5269.6173699999999</v>
      </c>
      <c r="AE47" s="27">
        <f t="shared" si="10"/>
        <v>785.09999999999991</v>
      </c>
      <c r="AG47" s="113">
        <f t="shared" si="30"/>
        <v>6092.0242920613427</v>
      </c>
    </row>
    <row r="48" spans="1:33" s="27" customFormat="1" ht="28">
      <c r="A48" s="97">
        <v>63</v>
      </c>
      <c r="B48" s="99" t="s">
        <v>105</v>
      </c>
      <c r="C48" s="96"/>
      <c r="D48" s="96"/>
      <c r="E48" s="96"/>
      <c r="F48" s="96" t="s">
        <v>94</v>
      </c>
      <c r="G48" s="98">
        <v>5</v>
      </c>
      <c r="H48" s="106">
        <v>30.29</v>
      </c>
      <c r="I48" s="106">
        <v>0</v>
      </c>
      <c r="J48" s="106">
        <v>1</v>
      </c>
      <c r="K48" s="107">
        <f t="shared" si="26"/>
        <v>29.29</v>
      </c>
      <c r="L48" s="156" t="s">
        <v>106</v>
      </c>
      <c r="M48" s="100"/>
      <c r="N48" s="101" t="s">
        <v>107</v>
      </c>
      <c r="O48" s="109">
        <v>9.5</v>
      </c>
      <c r="P48" s="115"/>
      <c r="Q48" s="111">
        <f t="shared" si="27"/>
        <v>17.991382499999997</v>
      </c>
      <c r="R48" s="34"/>
      <c r="S48" s="34"/>
      <c r="T48" s="34"/>
      <c r="U48" s="34">
        <f>G48*4</f>
        <v>20</v>
      </c>
      <c r="V48" s="34"/>
      <c r="W48" s="34"/>
      <c r="X48" s="34"/>
      <c r="Y48" s="34">
        <f t="shared" si="28"/>
        <v>278.255</v>
      </c>
      <c r="Z48" s="27">
        <f t="shared" ref="Z48:Z77" si="31">2*K48</f>
        <v>58.58</v>
      </c>
      <c r="AA48" s="103">
        <f t="shared" ref="AA48:AA77" si="32">(SUM(R48:X48)+AE48)-Z48</f>
        <v>239.67500000000001</v>
      </c>
      <c r="AB48" s="103">
        <f t="shared" ref="AB48:AB77" si="33">Q48*$AB$13+P48*$AB$14</f>
        <v>1313.3709224999998</v>
      </c>
      <c r="AC48" s="103">
        <f t="shared" ref="AC48:AC77" si="34">SUM(AA48:AB48)</f>
        <v>1553.0459224999997</v>
      </c>
      <c r="AE48" s="27">
        <f t="shared" ref="AE48:AE77" si="35">IF(AD48&gt;0,AD48*K48,Y48)</f>
        <v>278.255</v>
      </c>
      <c r="AG48" s="113">
        <f t="shared" ref="AG48:AG50" si="36">$AG$14/31.1035*K48*IF(LEFT(F48,3)="10K",0.417*1.07,IF(LEFT(F48,3)="14K",0.585*1.05,IF(LEFT(F48,3)="18K",0.75*1.05,0)))</f>
        <v>1704.5795903178898</v>
      </c>
    </row>
    <row r="49" spans="1:33" s="27" customFormat="1" ht="28">
      <c r="A49" s="97">
        <v>63</v>
      </c>
      <c r="B49" s="99" t="s">
        <v>105</v>
      </c>
      <c r="C49" s="96"/>
      <c r="D49" s="96"/>
      <c r="E49" s="96"/>
      <c r="F49" s="96" t="s">
        <v>77</v>
      </c>
      <c r="G49" s="98">
        <v>5</v>
      </c>
      <c r="H49" s="106">
        <v>30.69</v>
      </c>
      <c r="I49" s="106">
        <v>0</v>
      </c>
      <c r="J49" s="106">
        <v>1</v>
      </c>
      <c r="K49" s="107">
        <f t="shared" si="26"/>
        <v>29.69</v>
      </c>
      <c r="L49" s="156" t="s">
        <v>106</v>
      </c>
      <c r="M49" s="100"/>
      <c r="N49" s="101" t="s">
        <v>107</v>
      </c>
      <c r="O49" s="109">
        <v>9.5</v>
      </c>
      <c r="P49" s="115"/>
      <c r="Q49" s="111">
        <f t="shared" si="27"/>
        <v>18.2370825</v>
      </c>
      <c r="R49" s="34"/>
      <c r="S49" s="34"/>
      <c r="T49" s="34"/>
      <c r="U49" s="34">
        <f t="shared" ref="U49:U50" si="37">G49*4</f>
        <v>20</v>
      </c>
      <c r="V49" s="34"/>
      <c r="W49" s="34"/>
      <c r="X49" s="34"/>
      <c r="Y49" s="34">
        <f t="shared" si="28"/>
        <v>282.05500000000001</v>
      </c>
      <c r="Z49" s="27">
        <f t="shared" si="31"/>
        <v>59.38</v>
      </c>
      <c r="AA49" s="103">
        <f t="shared" si="32"/>
        <v>242.67500000000001</v>
      </c>
      <c r="AB49" s="103">
        <f t="shared" si="33"/>
        <v>1331.3070224999999</v>
      </c>
      <c r="AC49" s="103">
        <f t="shared" si="34"/>
        <v>1573.9820224999999</v>
      </c>
      <c r="AE49" s="27">
        <f t="shared" si="35"/>
        <v>282.05500000000001</v>
      </c>
      <c r="AG49" s="113">
        <f t="shared" si="36"/>
        <v>1727.8582463823202</v>
      </c>
    </row>
    <row r="50" spans="1:33" s="27" customFormat="1" ht="28.5" thickBot="1">
      <c r="A50" s="97">
        <v>64</v>
      </c>
      <c r="B50" s="99" t="s">
        <v>105</v>
      </c>
      <c r="C50" s="96"/>
      <c r="D50" s="96"/>
      <c r="E50" s="96"/>
      <c r="F50" s="96" t="s">
        <v>82</v>
      </c>
      <c r="G50" s="98">
        <v>10</v>
      </c>
      <c r="H50" s="106">
        <v>60.680000000000007</v>
      </c>
      <c r="I50" s="106">
        <v>0</v>
      </c>
      <c r="J50" s="106">
        <v>2</v>
      </c>
      <c r="K50" s="107">
        <f t="shared" si="26"/>
        <v>58.680000000000007</v>
      </c>
      <c r="L50" s="156" t="s">
        <v>106</v>
      </c>
      <c r="M50" s="100"/>
      <c r="N50" s="101" t="s">
        <v>107</v>
      </c>
      <c r="O50" s="109">
        <v>9.5</v>
      </c>
      <c r="P50" s="115"/>
      <c r="Q50" s="111">
        <f t="shared" si="27"/>
        <v>36.04419</v>
      </c>
      <c r="R50" s="34"/>
      <c r="S50" s="34"/>
      <c r="T50" s="34"/>
      <c r="U50" s="34">
        <f t="shared" si="37"/>
        <v>40</v>
      </c>
      <c r="V50" s="34"/>
      <c r="W50" s="34"/>
      <c r="X50" s="34"/>
      <c r="Y50" s="34">
        <f t="shared" si="28"/>
        <v>557.46</v>
      </c>
      <c r="Z50" s="27">
        <f t="shared" si="31"/>
        <v>117.36000000000001</v>
      </c>
      <c r="AA50" s="103">
        <f t="shared" si="32"/>
        <v>480.1</v>
      </c>
      <c r="AB50" s="103">
        <f t="shared" si="33"/>
        <v>2631.2258700000002</v>
      </c>
      <c r="AC50" s="103">
        <f t="shared" si="34"/>
        <v>3111.3258700000001</v>
      </c>
      <c r="AE50" s="27">
        <f t="shared" si="35"/>
        <v>557.46</v>
      </c>
      <c r="AG50" s="113">
        <f t="shared" si="36"/>
        <v>3414.9788446518883</v>
      </c>
    </row>
    <row r="51" spans="1:33" s="28" customFormat="1" ht="15.9" customHeight="1">
      <c r="A51" s="88" t="s">
        <v>71</v>
      </c>
      <c r="B51" s="65"/>
      <c r="C51" s="65"/>
      <c r="D51" s="65"/>
      <c r="E51" s="65"/>
      <c r="F51" s="65"/>
      <c r="G51" s="66">
        <f>SUM(G36:G50)</f>
        <v>155</v>
      </c>
      <c r="H51" s="108"/>
      <c r="I51" s="108"/>
      <c r="J51" s="108"/>
      <c r="K51" s="108">
        <f>SUM(K36:K50)</f>
        <v>1010.8399999999999</v>
      </c>
      <c r="L51" s="67"/>
      <c r="M51" s="67"/>
      <c r="N51" s="67"/>
      <c r="O51" s="68"/>
      <c r="P51" s="116">
        <f t="shared" ref="P51:Y51" si="38">SUM(P36:P50)</f>
        <v>0</v>
      </c>
      <c r="Q51" s="112">
        <f t="shared" si="38"/>
        <v>620.90846999999997</v>
      </c>
      <c r="R51" s="69">
        <f t="shared" si="38"/>
        <v>0</v>
      </c>
      <c r="S51" s="69">
        <f t="shared" si="38"/>
        <v>0</v>
      </c>
      <c r="T51" s="69">
        <f t="shared" si="38"/>
        <v>0</v>
      </c>
      <c r="U51" s="69">
        <f t="shared" si="38"/>
        <v>80</v>
      </c>
      <c r="V51" s="69">
        <f t="shared" si="38"/>
        <v>0</v>
      </c>
      <c r="W51" s="69">
        <f t="shared" si="38"/>
        <v>0</v>
      </c>
      <c r="X51" s="69">
        <f t="shared" si="38"/>
        <v>0</v>
      </c>
      <c r="Y51" s="69">
        <f t="shared" si="38"/>
        <v>8378.869999999999</v>
      </c>
      <c r="Z51" s="27"/>
      <c r="AA51" s="103"/>
      <c r="AB51" s="103"/>
      <c r="AC51" s="103"/>
      <c r="AD51" s="104"/>
      <c r="AE51" s="27"/>
      <c r="AG51" s="114">
        <f>SUM(AG36:AG50)</f>
        <v>58827.491740421174</v>
      </c>
    </row>
    <row r="52" spans="1:33" ht="15.9" customHeight="1">
      <c r="A52" s="51" t="s">
        <v>96</v>
      </c>
      <c r="K52" s="46"/>
      <c r="L52" s="46"/>
      <c r="M52" s="46"/>
      <c r="N52" s="46"/>
      <c r="X52" s="47"/>
      <c r="Z52" s="27"/>
      <c r="AA52" s="103"/>
      <c r="AB52" s="103"/>
      <c r="AC52" s="103"/>
      <c r="AE52" s="27"/>
      <c r="AF52" s="84" t="s">
        <v>108</v>
      </c>
      <c r="AG52" s="95">
        <f>2861.4*1.01</f>
        <v>2890.0140000000001</v>
      </c>
    </row>
    <row r="53" spans="1:33" s="94" customFormat="1" ht="28">
      <c r="A53" s="89" t="s">
        <v>4</v>
      </c>
      <c r="B53" s="90" t="s">
        <v>5</v>
      </c>
      <c r="C53" s="90" t="s">
        <v>24</v>
      </c>
      <c r="D53" s="90" t="s">
        <v>46</v>
      </c>
      <c r="E53" s="90" t="s">
        <v>47</v>
      </c>
      <c r="F53" s="90" t="s">
        <v>6</v>
      </c>
      <c r="G53" s="90" t="s">
        <v>7</v>
      </c>
      <c r="H53" s="91" t="s">
        <v>8</v>
      </c>
      <c r="I53" s="91" t="s">
        <v>48</v>
      </c>
      <c r="J53" s="91" t="s">
        <v>9</v>
      </c>
      <c r="K53" s="92" t="s">
        <v>14</v>
      </c>
      <c r="L53" s="92" t="s">
        <v>20</v>
      </c>
      <c r="M53" s="92" t="s">
        <v>23</v>
      </c>
      <c r="N53" s="92" t="s">
        <v>21</v>
      </c>
      <c r="O53" s="93" t="s">
        <v>10</v>
      </c>
      <c r="P53" s="93" t="s">
        <v>50</v>
      </c>
      <c r="Q53" s="110" t="s">
        <v>63</v>
      </c>
      <c r="R53" s="43" t="s">
        <v>51</v>
      </c>
      <c r="S53" s="43" t="s">
        <v>55</v>
      </c>
      <c r="T53" s="43" t="s">
        <v>70</v>
      </c>
      <c r="U53" s="43" t="s">
        <v>13</v>
      </c>
      <c r="V53" s="43" t="s">
        <v>53</v>
      </c>
      <c r="W53" s="43" t="s">
        <v>49</v>
      </c>
      <c r="X53" s="43" t="s">
        <v>15</v>
      </c>
      <c r="Y53" s="48" t="s">
        <v>12</v>
      </c>
      <c r="Z53" s="27"/>
      <c r="AA53" s="103"/>
      <c r="AB53" s="103"/>
      <c r="AC53" s="103"/>
      <c r="AE53" s="27"/>
      <c r="AG53" s="48" t="s">
        <v>22</v>
      </c>
    </row>
    <row r="54" spans="1:33" s="27" customFormat="1" ht="28">
      <c r="A54" s="97" t="s">
        <v>109</v>
      </c>
      <c r="B54" s="96" t="s">
        <v>110</v>
      </c>
      <c r="C54" s="96"/>
      <c r="D54" s="96" t="s">
        <v>111</v>
      </c>
      <c r="E54" s="96"/>
      <c r="F54" s="96" t="s">
        <v>77</v>
      </c>
      <c r="G54" s="98">
        <v>3</v>
      </c>
      <c r="H54" s="106">
        <v>46.33</v>
      </c>
      <c r="I54" s="106">
        <v>1.53</v>
      </c>
      <c r="J54" s="106">
        <v>0.78</v>
      </c>
      <c r="K54" s="107">
        <f>H54-I54-J54</f>
        <v>44.019999999999996</v>
      </c>
      <c r="L54" s="100">
        <v>1.95</v>
      </c>
      <c r="M54" s="100" t="s">
        <v>87</v>
      </c>
      <c r="N54" s="101">
        <v>84</v>
      </c>
      <c r="O54" s="109">
        <v>11</v>
      </c>
      <c r="P54" s="167">
        <v>7.6899999999999995</v>
      </c>
      <c r="Q54" s="111">
        <f>K54*IF(LEFT(F54,3)="10K",0.417*1.07,IF(LEFT(F54,3)="14K",0.585*1.05,IF(LEFT(F54,3)="18K",0.75*1.05,0)))</f>
        <v>27.039284999999996</v>
      </c>
      <c r="R54" s="34"/>
      <c r="S54" s="34"/>
      <c r="T54" s="34">
        <f>G54*0.025*N54</f>
        <v>6.3000000000000007</v>
      </c>
      <c r="U54" s="34">
        <f>G54*8</f>
        <v>24</v>
      </c>
      <c r="V54" s="34">
        <f>IF(RIGHT(F54,2)="WG",K54*$AA$4,IF(OR(RIGHT(F54,3)="WRG",RIGHT(F54,3)="WYG",RIGHT(F54,3)="WYR"),K54*$AA$4+3*G54,0))</f>
        <v>0</v>
      </c>
      <c r="W54" s="34"/>
      <c r="X54" s="34">
        <f>G54*N54*0.3</f>
        <v>75.599999999999994</v>
      </c>
      <c r="Y54" s="34">
        <f t="shared" ref="Y54:Y57" si="39">K54*O54</f>
        <v>484.21999999999997</v>
      </c>
      <c r="Z54" s="27">
        <f t="shared" si="31"/>
        <v>88.039999999999992</v>
      </c>
      <c r="AA54" s="103">
        <f t="shared" si="32"/>
        <v>502.08000000000004</v>
      </c>
      <c r="AB54" s="103">
        <f t="shared" si="33"/>
        <v>3111.1419049999995</v>
      </c>
      <c r="AC54" s="103">
        <f t="shared" si="34"/>
        <v>3613.2219049999994</v>
      </c>
      <c r="AE54" s="27">
        <f t="shared" si="35"/>
        <v>484.21999999999997</v>
      </c>
      <c r="AG54" s="113">
        <f>$AG$14/31.1035*K54*IF(LEFT(F54,3)="10K",0.417*1.07,IF(LEFT(F54,3)="14K",0.585*1.05,IF(LEFT(F54,3)="18K",0.75*1.05,0)))</f>
        <v>2561.8160998905264</v>
      </c>
    </row>
    <row r="55" spans="1:33" s="27" customFormat="1" ht="28">
      <c r="A55" s="97">
        <v>2</v>
      </c>
      <c r="B55" s="99" t="s">
        <v>112</v>
      </c>
      <c r="C55" s="99"/>
      <c r="D55" s="99" t="s">
        <v>113</v>
      </c>
      <c r="E55" s="96"/>
      <c r="F55" s="96" t="s">
        <v>94</v>
      </c>
      <c r="G55" s="98">
        <v>2</v>
      </c>
      <c r="H55" s="106">
        <v>39.67</v>
      </c>
      <c r="I55" s="106">
        <v>1.21</v>
      </c>
      <c r="J55" s="106">
        <v>0.72</v>
      </c>
      <c r="K55" s="107">
        <f t="shared" ref="K55:K57" si="40">H55-I55-J55</f>
        <v>37.74</v>
      </c>
      <c r="L55" s="100">
        <v>2.9</v>
      </c>
      <c r="M55" s="100" t="s">
        <v>87</v>
      </c>
      <c r="N55" s="101">
        <v>30</v>
      </c>
      <c r="O55" s="109">
        <v>12</v>
      </c>
      <c r="P55" s="167">
        <v>6.0350000000000001</v>
      </c>
      <c r="Q55" s="111">
        <f t="shared" ref="Q55:Q57" si="41">K55*IF(LEFT(F55,3)="10K",0.417*1.07,IF(LEFT(F55,3)="14K",0.585*1.05,IF(LEFT(F55,3)="18K",0.75*1.05,0)))</f>
        <v>23.181795000000001</v>
      </c>
      <c r="R55" s="34"/>
      <c r="S55" s="34"/>
      <c r="T55" s="34">
        <f t="shared" ref="T55:T57" si="42">G55*0.025*N55</f>
        <v>1.5</v>
      </c>
      <c r="U55" s="34">
        <f t="shared" ref="U55:U57" si="43">G55*8</f>
        <v>16</v>
      </c>
      <c r="V55" s="34">
        <f>IF(RIGHT(F55,2)="WG",K55*$AA$4,IF(OR(RIGHT(F55,3)="WRG",RIGHT(F55,3)="WYG",RIGHT(F55,3)="WYR"),K55*$AA$4+3*G55,0))</f>
        <v>9.0576000000000008</v>
      </c>
      <c r="W55" s="34"/>
      <c r="X55" s="34">
        <f>G55*N55*0.5</f>
        <v>30</v>
      </c>
      <c r="Y55" s="34">
        <f t="shared" si="39"/>
        <v>452.88</v>
      </c>
      <c r="Z55" s="27">
        <f t="shared" si="31"/>
        <v>75.48</v>
      </c>
      <c r="AA55" s="103">
        <f t="shared" si="32"/>
        <v>433.95759999999996</v>
      </c>
      <c r="AB55" s="103">
        <f t="shared" si="33"/>
        <v>2584.7871850000001</v>
      </c>
      <c r="AC55" s="103">
        <f t="shared" si="34"/>
        <v>3018.7447849999999</v>
      </c>
      <c r="AE55" s="27">
        <f t="shared" si="35"/>
        <v>452.88</v>
      </c>
      <c r="AG55" s="113">
        <f>$AG$14/31.1035*K55*IF(LEFT(F55,3)="10K",0.417*1.07,IF(LEFT(F55,3)="14K",0.585*1.05,IF(LEFT(F55,3)="18K",0.75*1.05,0)))</f>
        <v>2196.341199678975</v>
      </c>
    </row>
    <row r="56" spans="1:33" s="27" customFormat="1" ht="28">
      <c r="A56" s="97">
        <v>4</v>
      </c>
      <c r="B56" s="96" t="s">
        <v>114</v>
      </c>
      <c r="C56" s="96"/>
      <c r="D56" s="96" t="s">
        <v>115</v>
      </c>
      <c r="E56" s="96"/>
      <c r="F56" s="96" t="s">
        <v>94</v>
      </c>
      <c r="G56" s="98">
        <v>2</v>
      </c>
      <c r="H56" s="106">
        <v>34.24</v>
      </c>
      <c r="I56" s="106">
        <v>2.1100000000000003</v>
      </c>
      <c r="J56" s="106">
        <v>0.52</v>
      </c>
      <c r="K56" s="107">
        <f t="shared" si="40"/>
        <v>31.610000000000003</v>
      </c>
      <c r="L56" s="100">
        <v>2.75</v>
      </c>
      <c r="M56" s="100" t="s">
        <v>87</v>
      </c>
      <c r="N56" s="101">
        <v>63</v>
      </c>
      <c r="O56" s="109">
        <v>11</v>
      </c>
      <c r="P56" s="167">
        <v>10.510000000000002</v>
      </c>
      <c r="Q56" s="111">
        <f t="shared" si="41"/>
        <v>19.416442500000002</v>
      </c>
      <c r="R56" s="34"/>
      <c r="S56" s="34"/>
      <c r="T56" s="34">
        <f t="shared" si="42"/>
        <v>3.1500000000000004</v>
      </c>
      <c r="U56" s="34">
        <f t="shared" si="43"/>
        <v>16</v>
      </c>
      <c r="V56" s="34">
        <f>IF(RIGHT(F56,2)="WG",K56*$AA$4,IF(OR(RIGHT(F56,3)="WRG",RIGHT(F56,3)="WYG",RIGHT(F56,3)="WYR"),K56*$AA$4+3*G56,0))</f>
        <v>7.5864000000000003</v>
      </c>
      <c r="W56" s="34"/>
      <c r="X56" s="34">
        <f t="shared" ref="X56:X57" si="44">G56*N56*0.5</f>
        <v>63</v>
      </c>
      <c r="Y56" s="34">
        <f t="shared" si="39"/>
        <v>347.71000000000004</v>
      </c>
      <c r="Z56" s="27">
        <f t="shared" si="31"/>
        <v>63.220000000000006</v>
      </c>
      <c r="AA56" s="103">
        <f t="shared" si="32"/>
        <v>374.22640000000001</v>
      </c>
      <c r="AB56" s="103">
        <f t="shared" si="33"/>
        <v>2971.7242025000005</v>
      </c>
      <c r="AC56" s="103">
        <f t="shared" si="34"/>
        <v>3345.9506025000005</v>
      </c>
      <c r="AE56" s="27">
        <f t="shared" si="35"/>
        <v>347.71000000000004</v>
      </c>
      <c r="AG56" s="113">
        <f>$AG$14/31.1035*K56*IF(LEFT(F56,3)="10K",0.417*1.07,IF(LEFT(F56,3)="14K",0.585*1.05,IF(LEFT(F56,3)="18K",0.75*1.05,0)))</f>
        <v>1839.5957954915846</v>
      </c>
    </row>
    <row r="57" spans="1:33" s="27" customFormat="1" ht="28.5" thickBot="1">
      <c r="A57" s="97">
        <v>5</v>
      </c>
      <c r="B57" s="99" t="s">
        <v>116</v>
      </c>
      <c r="C57" s="99"/>
      <c r="D57" s="96" t="s">
        <v>117</v>
      </c>
      <c r="E57" s="96"/>
      <c r="F57" s="96" t="s">
        <v>94</v>
      </c>
      <c r="G57" s="98">
        <v>2</v>
      </c>
      <c r="H57" s="106">
        <v>44.43</v>
      </c>
      <c r="I57" s="106">
        <v>2.66</v>
      </c>
      <c r="J57" s="106">
        <v>0.72</v>
      </c>
      <c r="K57" s="107">
        <f t="shared" si="40"/>
        <v>41.05</v>
      </c>
      <c r="L57" s="100">
        <v>3</v>
      </c>
      <c r="M57" s="100" t="s">
        <v>87</v>
      </c>
      <c r="N57" s="101">
        <v>58</v>
      </c>
      <c r="O57" s="109">
        <v>12</v>
      </c>
      <c r="P57" s="167">
        <v>13.295</v>
      </c>
      <c r="Q57" s="111">
        <f t="shared" si="41"/>
        <v>25.214962499999995</v>
      </c>
      <c r="R57" s="34"/>
      <c r="S57" s="34"/>
      <c r="T57" s="34">
        <f t="shared" si="42"/>
        <v>2.9000000000000004</v>
      </c>
      <c r="U57" s="34">
        <f t="shared" si="43"/>
        <v>16</v>
      </c>
      <c r="V57" s="34">
        <f>IF(RIGHT(F57,2)="WG",K57*$AA$4,IF(OR(RIGHT(F57,3)="WRG",RIGHT(F57,3)="WYG",RIGHT(F57,3)="WYR"),K57*$AA$4+3*G57,0))</f>
        <v>9.8519999999999985</v>
      </c>
      <c r="W57" s="34"/>
      <c r="X57" s="34">
        <f t="shared" si="44"/>
        <v>58</v>
      </c>
      <c r="Y57" s="34">
        <f t="shared" si="39"/>
        <v>492.59999999999997</v>
      </c>
      <c r="Z57" s="27">
        <f t="shared" si="31"/>
        <v>82.1</v>
      </c>
      <c r="AA57" s="103">
        <f t="shared" si="32"/>
        <v>497.25199999999995</v>
      </c>
      <c r="AB57" s="103">
        <f t="shared" si="33"/>
        <v>3806.8898124999996</v>
      </c>
      <c r="AC57" s="103">
        <f t="shared" si="34"/>
        <v>4304.1418125</v>
      </c>
      <c r="AE57" s="27">
        <f t="shared" si="35"/>
        <v>492.59999999999997</v>
      </c>
      <c r="AG57" s="113">
        <f>$AG$14/31.1035*K57*IF(LEFT(F57,3)="10K",0.417*1.07,IF(LEFT(F57,3)="14K",0.585*1.05,IF(LEFT(F57,3)="18K",0.75*1.05,0)))</f>
        <v>2388.9720786121334</v>
      </c>
    </row>
    <row r="58" spans="1:33" s="28" customFormat="1" ht="15.9" customHeight="1">
      <c r="A58" s="88" t="s">
        <v>71</v>
      </c>
      <c r="B58" s="65"/>
      <c r="C58" s="65"/>
      <c r="D58" s="65"/>
      <c r="E58" s="65"/>
      <c r="F58" s="65"/>
      <c r="G58" s="66">
        <f>SUM(G54:G57)</f>
        <v>9</v>
      </c>
      <c r="H58" s="108"/>
      <c r="I58" s="108"/>
      <c r="J58" s="108"/>
      <c r="K58" s="108">
        <f>SUM(K54:K57)</f>
        <v>154.41999999999999</v>
      </c>
      <c r="L58" s="67"/>
      <c r="M58" s="67"/>
      <c r="N58" s="67"/>
      <c r="O58" s="68"/>
      <c r="P58" s="116">
        <f t="shared" ref="P58:Y58" si="45">SUM(P54:P57)</f>
        <v>37.53</v>
      </c>
      <c r="Q58" s="112">
        <f t="shared" si="45"/>
        <v>94.852485000000001</v>
      </c>
      <c r="R58" s="69">
        <f t="shared" si="45"/>
        <v>0</v>
      </c>
      <c r="S58" s="69">
        <f t="shared" si="45"/>
        <v>0</v>
      </c>
      <c r="T58" s="69">
        <f t="shared" si="45"/>
        <v>13.850000000000001</v>
      </c>
      <c r="U58" s="69">
        <f t="shared" si="45"/>
        <v>72</v>
      </c>
      <c r="V58" s="69">
        <f t="shared" si="45"/>
        <v>26.496000000000002</v>
      </c>
      <c r="W58" s="69">
        <f t="shared" si="45"/>
        <v>0</v>
      </c>
      <c r="X58" s="69">
        <f t="shared" si="45"/>
        <v>226.6</v>
      </c>
      <c r="Y58" s="69">
        <f t="shared" si="45"/>
        <v>1777.4099999999999</v>
      </c>
      <c r="Z58" s="27"/>
      <c r="AA58" s="103"/>
      <c r="AB58" s="103"/>
      <c r="AC58" s="103"/>
      <c r="AD58" s="104"/>
      <c r="AE58" s="27"/>
      <c r="AG58" s="114">
        <f>SUM(AG54:AG57)</f>
        <v>8986.7251736732196</v>
      </c>
    </row>
    <row r="59" spans="1:33" ht="15.9" customHeight="1">
      <c r="A59" s="51" t="s">
        <v>96</v>
      </c>
      <c r="K59" s="46"/>
      <c r="L59" s="46"/>
      <c r="M59" s="46"/>
      <c r="N59" s="46"/>
      <c r="X59" s="47"/>
      <c r="Z59" s="27"/>
      <c r="AA59" s="103"/>
      <c r="AB59" s="103"/>
      <c r="AC59" s="103"/>
      <c r="AE59" s="27"/>
      <c r="AF59" s="84" t="s">
        <v>118</v>
      </c>
      <c r="AG59" s="95">
        <f>1.01*2901.65</f>
        <v>2930.6665000000003</v>
      </c>
    </row>
    <row r="60" spans="1:33" s="94" customFormat="1" ht="28">
      <c r="A60" s="89" t="s">
        <v>4</v>
      </c>
      <c r="B60" s="90" t="s">
        <v>5</v>
      </c>
      <c r="C60" s="90" t="s">
        <v>24</v>
      </c>
      <c r="D60" s="90" t="s">
        <v>46</v>
      </c>
      <c r="E60" s="90" t="s">
        <v>47</v>
      </c>
      <c r="F60" s="90" t="s">
        <v>6</v>
      </c>
      <c r="G60" s="90" t="s">
        <v>7</v>
      </c>
      <c r="H60" s="91" t="s">
        <v>8</v>
      </c>
      <c r="I60" s="91" t="s">
        <v>48</v>
      </c>
      <c r="J60" s="91" t="s">
        <v>9</v>
      </c>
      <c r="K60" s="92" t="s">
        <v>14</v>
      </c>
      <c r="L60" s="92" t="s">
        <v>20</v>
      </c>
      <c r="M60" s="92" t="s">
        <v>23</v>
      </c>
      <c r="N60" s="92" t="s">
        <v>21</v>
      </c>
      <c r="O60" s="93" t="s">
        <v>10</v>
      </c>
      <c r="P60" s="93" t="s">
        <v>50</v>
      </c>
      <c r="Q60" s="110" t="s">
        <v>63</v>
      </c>
      <c r="R60" s="43" t="s">
        <v>51</v>
      </c>
      <c r="S60" s="43" t="s">
        <v>55</v>
      </c>
      <c r="T60" s="43" t="s">
        <v>70</v>
      </c>
      <c r="U60" s="43" t="s">
        <v>13</v>
      </c>
      <c r="V60" s="43" t="s">
        <v>53</v>
      </c>
      <c r="W60" s="43" t="s">
        <v>49</v>
      </c>
      <c r="X60" s="43" t="s">
        <v>15</v>
      </c>
      <c r="Y60" s="48" t="s">
        <v>12</v>
      </c>
      <c r="Z60" s="27"/>
      <c r="AA60" s="103"/>
      <c r="AB60" s="103"/>
      <c r="AC60" s="103"/>
      <c r="AE60" s="27"/>
      <c r="AG60" s="48" t="s">
        <v>22</v>
      </c>
    </row>
    <row r="61" spans="1:33" s="27" customFormat="1" ht="28.5" thickBot="1">
      <c r="A61" s="97" t="s">
        <v>119</v>
      </c>
      <c r="B61" s="99" t="s">
        <v>88</v>
      </c>
      <c r="C61" s="99"/>
      <c r="D61" s="99" t="s">
        <v>121</v>
      </c>
      <c r="E61" s="96"/>
      <c r="F61" s="96" t="s">
        <v>77</v>
      </c>
      <c r="G61" s="98">
        <v>3</v>
      </c>
      <c r="H61" s="106">
        <v>57.06</v>
      </c>
      <c r="I61" s="106">
        <v>0.75</v>
      </c>
      <c r="J61" s="106">
        <v>1.08</v>
      </c>
      <c r="K61" s="107">
        <f t="shared" ref="K61" si="46">H61-I61-J61</f>
        <v>55.230000000000004</v>
      </c>
      <c r="L61" s="100">
        <v>1.5</v>
      </c>
      <c r="M61" s="100" t="s">
        <v>87</v>
      </c>
      <c r="N61" s="101">
        <v>90</v>
      </c>
      <c r="O61" s="109">
        <v>11</v>
      </c>
      <c r="P61" s="167">
        <v>3.81</v>
      </c>
      <c r="Q61" s="111">
        <f t="shared" ref="Q61" si="47">K61*IF(LEFT(F61,3)="10K",0.417*1.07,IF(LEFT(F61,3)="14K",0.585*1.05,IF(LEFT(F61,3)="18K",0.75*1.05,0)))</f>
        <v>33.925027499999999</v>
      </c>
      <c r="R61" s="34"/>
      <c r="S61" s="34"/>
      <c r="T61" s="34">
        <f t="shared" ref="T61" si="48">G61*0.025*N61</f>
        <v>6.7500000000000009</v>
      </c>
      <c r="U61" s="34">
        <f t="shared" ref="U61" si="49">G61*8</f>
        <v>24</v>
      </c>
      <c r="V61" s="34">
        <f>IF(RIGHT(F61,2)="WG",K61*$AA$4,IF(OR(RIGHT(F61,3)="WRG",RIGHT(F61,3)="WYG",RIGHT(F61,3)="WYR"),K61*$AA$4+3*G61,0))</f>
        <v>0</v>
      </c>
      <c r="W61" s="34"/>
      <c r="X61" s="34">
        <f t="shared" ref="X61" si="50">G61*N61*0.3</f>
        <v>81</v>
      </c>
      <c r="Y61" s="34">
        <f t="shared" ref="Y61" si="51">K61*O61</f>
        <v>607.53000000000009</v>
      </c>
      <c r="Z61" s="27">
        <f t="shared" si="31"/>
        <v>110.46000000000001</v>
      </c>
      <c r="AA61" s="103">
        <f t="shared" si="32"/>
        <v>608.82000000000005</v>
      </c>
      <c r="AB61" s="103">
        <f t="shared" si="33"/>
        <v>3039.9879074999999</v>
      </c>
      <c r="AC61" s="103">
        <f t="shared" si="34"/>
        <v>3648.8079075000001</v>
      </c>
      <c r="AE61" s="27">
        <f t="shared" si="35"/>
        <v>607.53000000000009</v>
      </c>
      <c r="AG61" s="113">
        <f>$AG$14/31.1035*K61*IF(LEFT(F61,3)="10K",0.417*1.07,IF(LEFT(F61,3)="14K",0.585*1.05,IF(LEFT(F61,3)="18K",0.75*1.05,0)))</f>
        <v>3214.2004360961787</v>
      </c>
    </row>
    <row r="62" spans="1:33" s="28" customFormat="1" ht="15.9" customHeight="1">
      <c r="A62" s="88" t="s">
        <v>71</v>
      </c>
      <c r="B62" s="65"/>
      <c r="C62" s="65"/>
      <c r="D62" s="65"/>
      <c r="E62" s="65"/>
      <c r="F62" s="65"/>
      <c r="G62" s="66">
        <f>SUM(G61:G61)</f>
        <v>3</v>
      </c>
      <c r="H62" s="108"/>
      <c r="I62" s="108"/>
      <c r="J62" s="108"/>
      <c r="K62" s="108">
        <f>SUM(K61:K61)</f>
        <v>55.230000000000004</v>
      </c>
      <c r="L62" s="67"/>
      <c r="M62" s="67"/>
      <c r="N62" s="67"/>
      <c r="O62" s="68"/>
      <c r="P62" s="116">
        <f t="shared" ref="P62:Y62" si="52">SUM(P61:P61)</f>
        <v>3.81</v>
      </c>
      <c r="Q62" s="112">
        <f t="shared" si="52"/>
        <v>33.925027499999999</v>
      </c>
      <c r="R62" s="69">
        <f t="shared" si="52"/>
        <v>0</v>
      </c>
      <c r="S62" s="69">
        <f t="shared" si="52"/>
        <v>0</v>
      </c>
      <c r="T62" s="69">
        <f t="shared" si="52"/>
        <v>6.7500000000000009</v>
      </c>
      <c r="U62" s="69">
        <f t="shared" si="52"/>
        <v>24</v>
      </c>
      <c r="V62" s="69">
        <f t="shared" si="52"/>
        <v>0</v>
      </c>
      <c r="W62" s="69">
        <f t="shared" si="52"/>
        <v>0</v>
      </c>
      <c r="X62" s="69">
        <f t="shared" si="52"/>
        <v>81</v>
      </c>
      <c r="Y62" s="69">
        <f t="shared" si="52"/>
        <v>607.53000000000009</v>
      </c>
      <c r="Z62" s="27"/>
      <c r="AA62" s="103"/>
      <c r="AB62" s="103"/>
      <c r="AC62" s="103"/>
      <c r="AD62" s="104"/>
      <c r="AE62" s="27"/>
      <c r="AG62" s="114">
        <f>SUM(AG61:AG61)</f>
        <v>3214.2004360961787</v>
      </c>
    </row>
    <row r="63" spans="1:33" ht="15.9" customHeight="1">
      <c r="A63" s="51" t="s">
        <v>62</v>
      </c>
      <c r="K63" s="46"/>
      <c r="L63" s="46"/>
      <c r="M63" s="46"/>
      <c r="N63" s="46"/>
      <c r="X63" s="47"/>
      <c r="Z63" s="27"/>
      <c r="AA63" s="103"/>
      <c r="AB63" s="103"/>
      <c r="AC63" s="103"/>
      <c r="AE63" s="27"/>
      <c r="AF63" s="84" t="s">
        <v>122</v>
      </c>
      <c r="AG63" s="95">
        <f>2913.6*1.01</f>
        <v>2942.7359999999999</v>
      </c>
    </row>
    <row r="64" spans="1:33" s="94" customFormat="1" ht="28">
      <c r="A64" s="89" t="s">
        <v>4</v>
      </c>
      <c r="B64" s="90" t="s">
        <v>5</v>
      </c>
      <c r="C64" s="90" t="s">
        <v>24</v>
      </c>
      <c r="D64" s="90" t="s">
        <v>46</v>
      </c>
      <c r="E64" s="90" t="s">
        <v>47</v>
      </c>
      <c r="F64" s="90" t="s">
        <v>6</v>
      </c>
      <c r="G64" s="90" t="s">
        <v>7</v>
      </c>
      <c r="H64" s="91" t="s">
        <v>8</v>
      </c>
      <c r="I64" s="91" t="s">
        <v>48</v>
      </c>
      <c r="J64" s="91" t="s">
        <v>9</v>
      </c>
      <c r="K64" s="92" t="s">
        <v>14</v>
      </c>
      <c r="L64" s="92" t="s">
        <v>20</v>
      </c>
      <c r="M64" s="92" t="s">
        <v>23</v>
      </c>
      <c r="N64" s="92" t="s">
        <v>21</v>
      </c>
      <c r="O64" s="93" t="s">
        <v>10</v>
      </c>
      <c r="P64" s="93" t="s">
        <v>50</v>
      </c>
      <c r="Q64" s="110" t="s">
        <v>63</v>
      </c>
      <c r="R64" s="43" t="s">
        <v>51</v>
      </c>
      <c r="S64" s="43" t="s">
        <v>55</v>
      </c>
      <c r="T64" s="43" t="s">
        <v>70</v>
      </c>
      <c r="U64" s="43" t="s">
        <v>13</v>
      </c>
      <c r="V64" s="43" t="s">
        <v>53</v>
      </c>
      <c r="W64" s="43" t="s">
        <v>49</v>
      </c>
      <c r="X64" s="43" t="s">
        <v>15</v>
      </c>
      <c r="Y64" s="48" t="s">
        <v>12</v>
      </c>
      <c r="Z64" s="27"/>
      <c r="AA64" s="103"/>
      <c r="AB64" s="103"/>
      <c r="AC64" s="103"/>
      <c r="AE64" s="27"/>
      <c r="AG64" s="48" t="s">
        <v>22</v>
      </c>
    </row>
    <row r="65" spans="1:33" s="27" customFormat="1" ht="28">
      <c r="A65" s="97" t="s">
        <v>123</v>
      </c>
      <c r="B65" s="99" t="s">
        <v>92</v>
      </c>
      <c r="C65" s="99"/>
      <c r="D65" s="99" t="s">
        <v>124</v>
      </c>
      <c r="E65" s="96"/>
      <c r="F65" s="96" t="s">
        <v>94</v>
      </c>
      <c r="G65" s="159">
        <v>1</v>
      </c>
      <c r="H65" s="164">
        <v>15.47</v>
      </c>
      <c r="I65" s="164">
        <v>0.36</v>
      </c>
      <c r="J65" s="164">
        <v>0.26</v>
      </c>
      <c r="K65" s="165">
        <f t="shared" ref="K65:K69" si="53">H65-I65-J65</f>
        <v>14.850000000000001</v>
      </c>
      <c r="L65" s="100">
        <v>1.75</v>
      </c>
      <c r="M65" s="100" t="s">
        <v>87</v>
      </c>
      <c r="N65" s="101">
        <v>88</v>
      </c>
      <c r="O65" s="109">
        <v>11</v>
      </c>
      <c r="P65" s="115">
        <v>1.81</v>
      </c>
      <c r="Q65" s="111">
        <f t="shared" ref="Q65:Q69" si="54">K65*IF(LEFT(F65,3)="10K",0.417*1.07,IF(LEFT(F65,3)="14K",0.585*1.05,IF(LEFT(F65,3)="18K",0.75*1.05,0)))</f>
        <v>9.1216124999999995</v>
      </c>
      <c r="R65" s="34"/>
      <c r="S65" s="34"/>
      <c r="T65" s="34">
        <f t="shared" ref="T65:T69" si="55">G65*0.025*N65</f>
        <v>2.2000000000000002</v>
      </c>
      <c r="U65" s="34">
        <f t="shared" ref="U65:U69" si="56">G65*8</f>
        <v>8</v>
      </c>
      <c r="V65" s="34">
        <f t="shared" ref="V65:V69" si="57">IF(RIGHT(F65,2)="WG",K65*$AA$4,IF(OR(RIGHT(F65,3)="WRG",RIGHT(F65,3)="WYG",RIGHT(F65,3)="WYR"),K65*$AA$4+3*G65,0))</f>
        <v>3.5640000000000001</v>
      </c>
      <c r="W65" s="34"/>
      <c r="X65" s="34">
        <f t="shared" ref="X65:X68" si="58">G65*N65*0.3</f>
        <v>26.4</v>
      </c>
      <c r="Y65" s="34">
        <f t="shared" ref="Y65:Y69" si="59">K65*O65</f>
        <v>163.35000000000002</v>
      </c>
      <c r="Z65" s="27">
        <f t="shared" si="31"/>
        <v>29.700000000000003</v>
      </c>
      <c r="AA65" s="103">
        <f t="shared" si="32"/>
        <v>173.81400000000002</v>
      </c>
      <c r="AB65" s="103">
        <f t="shared" si="33"/>
        <v>933.55861249999998</v>
      </c>
      <c r="AC65" s="103">
        <f t="shared" si="34"/>
        <v>1107.3726125000001</v>
      </c>
      <c r="AE65" s="27">
        <f t="shared" si="35"/>
        <v>163.35000000000002</v>
      </c>
      <c r="AG65" s="113">
        <f t="shared" ref="AG65:AG69" si="60">$AG$14/31.1035*K65*IF(LEFT(F65,3)="10K",0.417*1.07,IF(LEFT(F65,3)="14K",0.585*1.05,IF(LEFT(F65,3)="18K",0.75*1.05,0)))</f>
        <v>864.22010639196549</v>
      </c>
    </row>
    <row r="66" spans="1:33" s="27" customFormat="1" ht="28">
      <c r="A66" s="97">
        <v>3</v>
      </c>
      <c r="B66" s="99" t="s">
        <v>125</v>
      </c>
      <c r="C66" s="99"/>
      <c r="D66" s="96" t="s">
        <v>126</v>
      </c>
      <c r="E66" s="96"/>
      <c r="F66" s="96" t="s">
        <v>94</v>
      </c>
      <c r="G66" s="159">
        <v>1</v>
      </c>
      <c r="H66" s="164">
        <v>15.84</v>
      </c>
      <c r="I66" s="164">
        <v>0.48</v>
      </c>
      <c r="J66" s="164">
        <v>0.27</v>
      </c>
      <c r="K66" s="165">
        <f t="shared" si="53"/>
        <v>15.09</v>
      </c>
      <c r="L66" s="100">
        <v>1.95</v>
      </c>
      <c r="M66" s="100" t="s">
        <v>87</v>
      </c>
      <c r="N66" s="101">
        <v>87</v>
      </c>
      <c r="O66" s="109">
        <v>11</v>
      </c>
      <c r="P66" s="115">
        <v>2.42</v>
      </c>
      <c r="Q66" s="111">
        <f t="shared" si="54"/>
        <v>9.2690324999999998</v>
      </c>
      <c r="R66" s="34"/>
      <c r="S66" s="34"/>
      <c r="T66" s="34">
        <f t="shared" si="55"/>
        <v>2.1750000000000003</v>
      </c>
      <c r="U66" s="34">
        <f t="shared" si="56"/>
        <v>8</v>
      </c>
      <c r="V66" s="34">
        <f t="shared" si="57"/>
        <v>3.6215999999999999</v>
      </c>
      <c r="W66" s="34"/>
      <c r="X66" s="34">
        <f t="shared" si="58"/>
        <v>26.099999999999998</v>
      </c>
      <c r="Y66" s="34">
        <f t="shared" si="59"/>
        <v>165.99</v>
      </c>
      <c r="Z66" s="27">
        <f t="shared" si="31"/>
        <v>30.18</v>
      </c>
      <c r="AA66" s="103">
        <f t="shared" si="32"/>
        <v>175.70660000000001</v>
      </c>
      <c r="AB66" s="103">
        <f t="shared" si="33"/>
        <v>1034.5331725000001</v>
      </c>
      <c r="AC66" s="103">
        <f t="shared" si="34"/>
        <v>1210.2397725000001</v>
      </c>
      <c r="AE66" s="27">
        <f t="shared" si="35"/>
        <v>165.99</v>
      </c>
      <c r="AG66" s="113">
        <f t="shared" si="60"/>
        <v>878.18730003062342</v>
      </c>
    </row>
    <row r="67" spans="1:33" s="27" customFormat="1" ht="28">
      <c r="A67" s="97">
        <v>5</v>
      </c>
      <c r="B67" s="99" t="s">
        <v>95</v>
      </c>
      <c r="C67" s="99"/>
      <c r="D67" s="96" t="s">
        <v>127</v>
      </c>
      <c r="E67" s="96"/>
      <c r="F67" s="96" t="s">
        <v>94</v>
      </c>
      <c r="G67" s="159">
        <v>1</v>
      </c>
      <c r="H67" s="164">
        <v>14.82</v>
      </c>
      <c r="I67" s="164">
        <v>0.49</v>
      </c>
      <c r="J67" s="164">
        <v>0.26</v>
      </c>
      <c r="K67" s="165">
        <f t="shared" si="53"/>
        <v>14.07</v>
      </c>
      <c r="L67" s="100">
        <v>1.95</v>
      </c>
      <c r="M67" s="100" t="s">
        <v>87</v>
      </c>
      <c r="N67" s="101">
        <v>81</v>
      </c>
      <c r="O67" s="109">
        <v>11</v>
      </c>
      <c r="P67" s="115">
        <v>2.4550000000000001</v>
      </c>
      <c r="Q67" s="111">
        <f t="shared" si="54"/>
        <v>8.6424974999999993</v>
      </c>
      <c r="R67" s="34"/>
      <c r="S67" s="34"/>
      <c r="T67" s="34">
        <f t="shared" si="55"/>
        <v>2.0249999999999999</v>
      </c>
      <c r="U67" s="34">
        <f t="shared" si="56"/>
        <v>8</v>
      </c>
      <c r="V67" s="34">
        <f t="shared" si="57"/>
        <v>3.3767999999999998</v>
      </c>
      <c r="W67" s="34"/>
      <c r="X67" s="34">
        <f t="shared" si="58"/>
        <v>24.3</v>
      </c>
      <c r="Y67" s="34">
        <f t="shared" si="59"/>
        <v>154.77000000000001</v>
      </c>
      <c r="Z67" s="27">
        <f t="shared" si="31"/>
        <v>28.14</v>
      </c>
      <c r="AA67" s="103">
        <f t="shared" si="32"/>
        <v>164.33179999999999</v>
      </c>
      <c r="AB67" s="103">
        <f t="shared" si="33"/>
        <v>993.97226749999993</v>
      </c>
      <c r="AC67" s="103">
        <f t="shared" si="34"/>
        <v>1158.3040675</v>
      </c>
      <c r="AE67" s="27">
        <f t="shared" si="35"/>
        <v>154.77000000000001</v>
      </c>
      <c r="AG67" s="113">
        <f t="shared" si="60"/>
        <v>818.82672706632695</v>
      </c>
    </row>
    <row r="68" spans="1:33" s="27" customFormat="1" ht="28">
      <c r="A68" s="97">
        <v>7</v>
      </c>
      <c r="B68" s="99" t="s">
        <v>120</v>
      </c>
      <c r="C68" s="96"/>
      <c r="D68" s="96" t="s">
        <v>115</v>
      </c>
      <c r="E68" s="96"/>
      <c r="F68" s="96" t="s">
        <v>94</v>
      </c>
      <c r="G68" s="159">
        <v>2</v>
      </c>
      <c r="H68" s="164">
        <v>30.93</v>
      </c>
      <c r="I68" s="164">
        <v>1.2</v>
      </c>
      <c r="J68" s="164">
        <v>0.52</v>
      </c>
      <c r="K68" s="165">
        <f t="shared" si="53"/>
        <v>29.21</v>
      </c>
      <c r="L68" s="156">
        <v>2.15</v>
      </c>
      <c r="M68" s="100" t="s">
        <v>87</v>
      </c>
      <c r="N68" s="101">
        <v>78</v>
      </c>
      <c r="O68" s="109">
        <v>11</v>
      </c>
      <c r="P68" s="115">
        <v>6.0250000000000004</v>
      </c>
      <c r="Q68" s="111">
        <f t="shared" si="54"/>
        <v>17.942242499999999</v>
      </c>
      <c r="R68" s="34"/>
      <c r="S68" s="34"/>
      <c r="T68" s="34">
        <f t="shared" si="55"/>
        <v>3.9000000000000004</v>
      </c>
      <c r="U68" s="34">
        <f t="shared" si="56"/>
        <v>16</v>
      </c>
      <c r="V68" s="34">
        <f t="shared" si="57"/>
        <v>7.0103999999999997</v>
      </c>
      <c r="W68" s="34"/>
      <c r="X68" s="34">
        <f t="shared" si="58"/>
        <v>46.8</v>
      </c>
      <c r="Y68" s="34">
        <f t="shared" si="59"/>
        <v>321.31</v>
      </c>
      <c r="Z68" s="27">
        <f t="shared" si="31"/>
        <v>58.42</v>
      </c>
      <c r="AA68" s="103">
        <f t="shared" si="32"/>
        <v>336.60039999999998</v>
      </c>
      <c r="AB68" s="103">
        <f t="shared" si="33"/>
        <v>2200.8209524999997</v>
      </c>
      <c r="AC68" s="103">
        <f t="shared" si="34"/>
        <v>2537.4213524999996</v>
      </c>
      <c r="AE68" s="27">
        <f t="shared" si="35"/>
        <v>321.31</v>
      </c>
      <c r="AG68" s="113">
        <f t="shared" si="60"/>
        <v>1699.9238591050041</v>
      </c>
    </row>
    <row r="69" spans="1:33" s="27" customFormat="1" ht="28.5" thickBot="1">
      <c r="A69" s="97">
        <v>9</v>
      </c>
      <c r="B69" s="99" t="s">
        <v>128</v>
      </c>
      <c r="C69" s="96"/>
      <c r="D69" s="96" t="s">
        <v>115</v>
      </c>
      <c r="E69" s="96"/>
      <c r="F69" s="96" t="s">
        <v>94</v>
      </c>
      <c r="G69" s="159">
        <v>2</v>
      </c>
      <c r="H69" s="164">
        <v>33.47</v>
      </c>
      <c r="I69" s="164">
        <v>1.98</v>
      </c>
      <c r="J69" s="164">
        <v>0.52</v>
      </c>
      <c r="K69" s="165">
        <f t="shared" si="53"/>
        <v>30.97</v>
      </c>
      <c r="L69" s="156">
        <v>2.75</v>
      </c>
      <c r="M69" s="100" t="s">
        <v>87</v>
      </c>
      <c r="N69" s="101">
        <v>61</v>
      </c>
      <c r="O69" s="109">
        <v>11</v>
      </c>
      <c r="P69" s="115">
        <v>9.8949999999999996</v>
      </c>
      <c r="Q69" s="111">
        <f t="shared" si="54"/>
        <v>19.023322499999999</v>
      </c>
      <c r="R69" s="34"/>
      <c r="S69" s="34"/>
      <c r="T69" s="34">
        <f t="shared" si="55"/>
        <v>3.0500000000000003</v>
      </c>
      <c r="U69" s="34">
        <f t="shared" si="56"/>
        <v>16</v>
      </c>
      <c r="V69" s="34">
        <f t="shared" si="57"/>
        <v>7.4327999999999994</v>
      </c>
      <c r="W69" s="34"/>
      <c r="X69" s="34">
        <f>G69*N69*0.5</f>
        <v>61</v>
      </c>
      <c r="Y69" s="34">
        <f t="shared" si="59"/>
        <v>340.66999999999996</v>
      </c>
      <c r="Z69" s="27">
        <f t="shared" si="31"/>
        <v>61.94</v>
      </c>
      <c r="AA69" s="103">
        <f t="shared" si="32"/>
        <v>366.21279999999996</v>
      </c>
      <c r="AB69" s="103">
        <f t="shared" si="33"/>
        <v>2852.0740925</v>
      </c>
      <c r="AC69" s="103">
        <f t="shared" si="34"/>
        <v>3218.2868924999998</v>
      </c>
      <c r="AE69" s="27">
        <f t="shared" si="35"/>
        <v>340.66999999999996</v>
      </c>
      <c r="AG69" s="113">
        <f t="shared" si="60"/>
        <v>1802.3499457884964</v>
      </c>
    </row>
    <row r="70" spans="1:33" s="28" customFormat="1" ht="15.9" customHeight="1">
      <c r="A70" s="88" t="s">
        <v>71</v>
      </c>
      <c r="B70" s="65"/>
      <c r="C70" s="65"/>
      <c r="D70" s="65"/>
      <c r="E70" s="65"/>
      <c r="F70" s="65"/>
      <c r="G70" s="162">
        <f>SUM(G65:G69)</f>
        <v>7</v>
      </c>
      <c r="H70" s="166"/>
      <c r="I70" s="166"/>
      <c r="J70" s="166"/>
      <c r="K70" s="166">
        <f>SUM(K65:K69)</f>
        <v>104.19</v>
      </c>
      <c r="L70" s="67"/>
      <c r="M70" s="67"/>
      <c r="N70" s="67"/>
      <c r="O70" s="68"/>
      <c r="P70" s="116">
        <f t="shared" ref="P70:Y70" si="61">SUM(P65:P69)</f>
        <v>22.605</v>
      </c>
      <c r="Q70" s="112">
        <f t="shared" si="61"/>
        <v>63.998707499999995</v>
      </c>
      <c r="R70" s="69">
        <f t="shared" si="61"/>
        <v>0</v>
      </c>
      <c r="S70" s="69">
        <f t="shared" si="61"/>
        <v>0</v>
      </c>
      <c r="T70" s="69">
        <f t="shared" si="61"/>
        <v>13.350000000000001</v>
      </c>
      <c r="U70" s="69">
        <f t="shared" si="61"/>
        <v>56</v>
      </c>
      <c r="V70" s="69">
        <f t="shared" si="61"/>
        <v>25.005600000000001</v>
      </c>
      <c r="W70" s="69">
        <f t="shared" si="61"/>
        <v>0</v>
      </c>
      <c r="X70" s="69">
        <f t="shared" si="61"/>
        <v>184.6</v>
      </c>
      <c r="Y70" s="69">
        <f t="shared" si="61"/>
        <v>1146.0900000000001</v>
      </c>
      <c r="Z70" s="27"/>
      <c r="AA70" s="103"/>
      <c r="AB70" s="103"/>
      <c r="AC70" s="103"/>
      <c r="AD70" s="104"/>
      <c r="AE70" s="27"/>
      <c r="AG70" s="114">
        <f>SUM(AG65:AG69)</f>
        <v>6063.5079383824159</v>
      </c>
    </row>
    <row r="71" spans="1:33" ht="15.9" customHeight="1">
      <c r="A71" s="51" t="s">
        <v>83</v>
      </c>
      <c r="K71" s="46"/>
      <c r="L71" s="46"/>
      <c r="M71" s="46"/>
      <c r="N71" s="46"/>
      <c r="X71" s="47"/>
      <c r="Z71" s="27"/>
      <c r="AA71" s="103"/>
      <c r="AB71" s="103"/>
      <c r="AC71" s="103"/>
      <c r="AE71" s="27"/>
      <c r="AF71" s="84" t="s">
        <v>129</v>
      </c>
      <c r="AG71" s="95">
        <f>1.01*3070.4</f>
        <v>3101.1040000000003</v>
      </c>
    </row>
    <row r="72" spans="1:33" s="94" customFormat="1" ht="28">
      <c r="A72" s="89" t="s">
        <v>4</v>
      </c>
      <c r="B72" s="90" t="s">
        <v>5</v>
      </c>
      <c r="C72" s="90" t="s">
        <v>24</v>
      </c>
      <c r="D72" s="90" t="s">
        <v>46</v>
      </c>
      <c r="E72" s="90" t="s">
        <v>47</v>
      </c>
      <c r="F72" s="90" t="s">
        <v>6</v>
      </c>
      <c r="G72" s="90" t="s">
        <v>7</v>
      </c>
      <c r="H72" s="91" t="s">
        <v>8</v>
      </c>
      <c r="I72" s="91" t="s">
        <v>48</v>
      </c>
      <c r="J72" s="91" t="s">
        <v>9</v>
      </c>
      <c r="K72" s="92" t="s">
        <v>14</v>
      </c>
      <c r="L72" s="92" t="s">
        <v>20</v>
      </c>
      <c r="M72" s="92" t="s">
        <v>23</v>
      </c>
      <c r="N72" s="92" t="s">
        <v>21</v>
      </c>
      <c r="O72" s="93" t="s">
        <v>10</v>
      </c>
      <c r="P72" s="93" t="s">
        <v>50</v>
      </c>
      <c r="Q72" s="110" t="s">
        <v>63</v>
      </c>
      <c r="R72" s="43" t="s">
        <v>51</v>
      </c>
      <c r="S72" s="43" t="s">
        <v>55</v>
      </c>
      <c r="T72" s="43" t="s">
        <v>70</v>
      </c>
      <c r="U72" s="43" t="s">
        <v>13</v>
      </c>
      <c r="V72" s="43" t="s">
        <v>53</v>
      </c>
      <c r="W72" s="43" t="s">
        <v>49</v>
      </c>
      <c r="X72" s="43" t="s">
        <v>15</v>
      </c>
      <c r="Y72" s="48" t="s">
        <v>12</v>
      </c>
      <c r="Z72" s="27"/>
      <c r="AA72" s="103"/>
      <c r="AB72" s="103"/>
      <c r="AC72" s="103"/>
      <c r="AE72" s="27"/>
      <c r="AG72" s="48" t="s">
        <v>22</v>
      </c>
    </row>
    <row r="73" spans="1:33" s="27" customFormat="1" ht="28">
      <c r="A73" s="97" t="s">
        <v>130</v>
      </c>
      <c r="B73" s="96" t="s">
        <v>131</v>
      </c>
      <c r="C73" s="96"/>
      <c r="D73" s="96" t="s">
        <v>132</v>
      </c>
      <c r="E73" s="96"/>
      <c r="F73" s="96" t="s">
        <v>133</v>
      </c>
      <c r="G73" s="98">
        <v>1</v>
      </c>
      <c r="H73" s="106">
        <v>4.8600000000000003</v>
      </c>
      <c r="I73" s="106">
        <v>0</v>
      </c>
      <c r="J73" s="106">
        <v>0.28000000000000003</v>
      </c>
      <c r="K73" s="107">
        <f>H73-I73-J73</f>
        <v>4.58</v>
      </c>
      <c r="L73" s="100">
        <v>1.8</v>
      </c>
      <c r="M73" s="100"/>
      <c r="N73" s="101">
        <v>37</v>
      </c>
      <c r="O73" s="109">
        <v>8.5</v>
      </c>
      <c r="P73" s="115"/>
      <c r="Q73" s="111">
        <f>K73*IF(LEFT(F73,3)="10K",0.417*1.07,IF(LEFT(F73,3)="14K",0.585*1.05,IF(LEFT(F73,3)="18K",0.75*1.05,0)))</f>
        <v>2.8132649999999999</v>
      </c>
      <c r="R73" s="34"/>
      <c r="S73" s="34"/>
      <c r="T73" s="34"/>
      <c r="U73" s="34">
        <f>G73*2.3</f>
        <v>2.2999999999999998</v>
      </c>
      <c r="V73" s="34"/>
      <c r="W73" s="34"/>
      <c r="X73" s="34"/>
      <c r="Y73" s="34">
        <f t="shared" ref="Y73:Y93" si="62">K73*O73</f>
        <v>38.93</v>
      </c>
      <c r="Z73" s="27">
        <f t="shared" si="31"/>
        <v>9.16</v>
      </c>
      <c r="AA73" s="103">
        <f t="shared" si="32"/>
        <v>32.069999999999993</v>
      </c>
      <c r="AB73" s="103">
        <f t="shared" si="33"/>
        <v>205.36834500000001</v>
      </c>
      <c r="AC73" s="103">
        <f t="shared" si="34"/>
        <v>237.438345</v>
      </c>
      <c r="AE73" s="27">
        <f t="shared" si="35"/>
        <v>38.93</v>
      </c>
      <c r="AG73" s="113">
        <f t="shared" ref="AG73:AG84" si="63">$AG$14/31.1035*K73*IF(LEFT(F73,3)="10K",0.417*1.07,IF(LEFT(F73,3)="14K",0.585*1.05,IF(LEFT(F73,3)="18K",0.75*1.05,0)))</f>
        <v>266.54061193772401</v>
      </c>
    </row>
    <row r="74" spans="1:33" s="27" customFormat="1" ht="28">
      <c r="A74" s="97">
        <v>2</v>
      </c>
      <c r="B74" s="99" t="s">
        <v>134</v>
      </c>
      <c r="C74" s="99"/>
      <c r="D74" s="99" t="s">
        <v>115</v>
      </c>
      <c r="E74" s="96"/>
      <c r="F74" s="96" t="s">
        <v>94</v>
      </c>
      <c r="G74" s="98">
        <v>2</v>
      </c>
      <c r="H74" s="106">
        <v>11.22</v>
      </c>
      <c r="I74" s="106">
        <v>0</v>
      </c>
      <c r="J74" s="106">
        <v>0.64</v>
      </c>
      <c r="K74" s="107">
        <f t="shared" ref="K74:K93" si="64">H74-I74-J74</f>
        <v>10.58</v>
      </c>
      <c r="L74" s="100">
        <v>1.8</v>
      </c>
      <c r="M74" s="100"/>
      <c r="N74" s="101">
        <v>37</v>
      </c>
      <c r="O74" s="109">
        <v>8.5</v>
      </c>
      <c r="P74" s="115"/>
      <c r="Q74" s="111">
        <f t="shared" ref="Q74:Q93" si="65">K74*IF(LEFT(F74,3)="10K",0.417*1.07,IF(LEFT(F74,3)="14K",0.585*1.05,IF(LEFT(F74,3)="18K",0.75*1.05,0)))</f>
        <v>6.4987649999999997</v>
      </c>
      <c r="R74" s="34"/>
      <c r="S74" s="34"/>
      <c r="T74" s="34"/>
      <c r="U74" s="34">
        <f t="shared" ref="U74:U78" si="66">G74*2.3</f>
        <v>4.5999999999999996</v>
      </c>
      <c r="V74" s="34"/>
      <c r="W74" s="34"/>
      <c r="X74" s="34"/>
      <c r="Y74" s="34">
        <f t="shared" si="62"/>
        <v>89.93</v>
      </c>
      <c r="Z74" s="27">
        <f t="shared" si="31"/>
        <v>21.16</v>
      </c>
      <c r="AA74" s="103">
        <f t="shared" si="32"/>
        <v>73.37</v>
      </c>
      <c r="AB74" s="103">
        <f t="shared" si="33"/>
        <v>474.40984499999996</v>
      </c>
      <c r="AC74" s="103">
        <f t="shared" si="34"/>
        <v>547.77984500000002</v>
      </c>
      <c r="AE74" s="27">
        <f t="shared" si="35"/>
        <v>89.93</v>
      </c>
      <c r="AG74" s="113">
        <f t="shared" si="63"/>
        <v>615.72045290417475</v>
      </c>
    </row>
    <row r="75" spans="1:33" s="27" customFormat="1" ht="28">
      <c r="A75" s="97">
        <v>3</v>
      </c>
      <c r="B75" s="99" t="s">
        <v>135</v>
      </c>
      <c r="C75" s="99"/>
      <c r="D75" s="96" t="s">
        <v>136</v>
      </c>
      <c r="E75" s="96"/>
      <c r="F75" s="96" t="s">
        <v>94</v>
      </c>
      <c r="G75" s="98">
        <v>1</v>
      </c>
      <c r="H75" s="106">
        <v>5.6</v>
      </c>
      <c r="I75" s="106">
        <v>0</v>
      </c>
      <c r="J75" s="106">
        <v>0.44</v>
      </c>
      <c r="K75" s="107">
        <f t="shared" si="64"/>
        <v>5.1599999999999993</v>
      </c>
      <c r="L75" s="100" t="s">
        <v>137</v>
      </c>
      <c r="M75" s="100"/>
      <c r="N75" s="101" t="s">
        <v>138</v>
      </c>
      <c r="O75" s="109">
        <v>9</v>
      </c>
      <c r="P75" s="115"/>
      <c r="Q75" s="111">
        <f t="shared" si="65"/>
        <v>3.1695299999999995</v>
      </c>
      <c r="R75" s="34"/>
      <c r="S75" s="34"/>
      <c r="T75" s="34"/>
      <c r="U75" s="34">
        <f t="shared" si="66"/>
        <v>2.2999999999999998</v>
      </c>
      <c r="V75" s="34"/>
      <c r="W75" s="34"/>
      <c r="X75" s="34"/>
      <c r="Y75" s="34">
        <f t="shared" si="62"/>
        <v>46.439999999999991</v>
      </c>
      <c r="Z75" s="27">
        <f t="shared" si="31"/>
        <v>10.319999999999999</v>
      </c>
      <c r="AA75" s="103">
        <f t="shared" si="32"/>
        <v>38.419999999999987</v>
      </c>
      <c r="AB75" s="103">
        <f t="shared" si="33"/>
        <v>231.37568999999996</v>
      </c>
      <c r="AC75" s="103">
        <f t="shared" si="34"/>
        <v>269.79568999999992</v>
      </c>
      <c r="AE75" s="27">
        <f t="shared" si="35"/>
        <v>46.439999999999991</v>
      </c>
      <c r="AG75" s="113">
        <f t="shared" si="63"/>
        <v>300.29466323114752</v>
      </c>
    </row>
    <row r="76" spans="1:33" s="27" customFormat="1" ht="28">
      <c r="A76" s="97">
        <v>3</v>
      </c>
      <c r="B76" s="99" t="s">
        <v>135</v>
      </c>
      <c r="C76" s="96"/>
      <c r="D76" s="96" t="s">
        <v>139</v>
      </c>
      <c r="E76" s="96"/>
      <c r="F76" s="96" t="s">
        <v>77</v>
      </c>
      <c r="G76" s="98">
        <v>2</v>
      </c>
      <c r="H76" s="106">
        <v>11.11</v>
      </c>
      <c r="I76" s="106">
        <v>0</v>
      </c>
      <c r="J76" s="106">
        <v>0.88</v>
      </c>
      <c r="K76" s="107">
        <f t="shared" si="64"/>
        <v>10.229999999999999</v>
      </c>
      <c r="L76" s="100" t="s">
        <v>137</v>
      </c>
      <c r="M76" s="100"/>
      <c r="N76" s="101" t="s">
        <v>138</v>
      </c>
      <c r="O76" s="109">
        <v>9</v>
      </c>
      <c r="P76" s="115"/>
      <c r="Q76" s="111">
        <f t="shared" si="65"/>
        <v>6.2837774999999985</v>
      </c>
      <c r="R76" s="34"/>
      <c r="S76" s="34"/>
      <c r="T76" s="34"/>
      <c r="U76" s="34">
        <f t="shared" si="66"/>
        <v>4.5999999999999996</v>
      </c>
      <c r="V76" s="34"/>
      <c r="W76" s="34"/>
      <c r="X76" s="34"/>
      <c r="Y76" s="34">
        <f t="shared" si="62"/>
        <v>92.07</v>
      </c>
      <c r="Z76" s="27">
        <f t="shared" si="31"/>
        <v>20.459999999999997</v>
      </c>
      <c r="AA76" s="103">
        <f t="shared" si="32"/>
        <v>76.209999999999994</v>
      </c>
      <c r="AB76" s="103">
        <f t="shared" si="33"/>
        <v>458.71575749999988</v>
      </c>
      <c r="AC76" s="103">
        <f t="shared" si="34"/>
        <v>534.92575749999992</v>
      </c>
      <c r="AE76" s="27">
        <f t="shared" si="35"/>
        <v>92.07</v>
      </c>
      <c r="AG76" s="113">
        <f t="shared" si="63"/>
        <v>595.35162884779834</v>
      </c>
    </row>
    <row r="77" spans="1:33" s="27" customFormat="1" ht="42">
      <c r="A77" s="97">
        <v>4</v>
      </c>
      <c r="B77" s="99" t="s">
        <v>140</v>
      </c>
      <c r="C77" s="99"/>
      <c r="D77" s="96" t="s">
        <v>141</v>
      </c>
      <c r="E77" s="96"/>
      <c r="F77" s="96" t="s">
        <v>94</v>
      </c>
      <c r="G77" s="98">
        <v>1</v>
      </c>
      <c r="H77" s="106">
        <v>7.54</v>
      </c>
      <c r="I77" s="106">
        <v>0</v>
      </c>
      <c r="J77" s="106">
        <v>0.31</v>
      </c>
      <c r="K77" s="107">
        <f t="shared" si="64"/>
        <v>7.23</v>
      </c>
      <c r="L77" s="100" t="s">
        <v>142</v>
      </c>
      <c r="M77" s="100"/>
      <c r="N77" s="101" t="s">
        <v>143</v>
      </c>
      <c r="O77" s="109">
        <v>8.5</v>
      </c>
      <c r="P77" s="115"/>
      <c r="Q77" s="111">
        <f t="shared" si="65"/>
        <v>4.4410274999999997</v>
      </c>
      <c r="R77" s="34"/>
      <c r="S77" s="34"/>
      <c r="T77" s="34"/>
      <c r="U77" s="34">
        <f t="shared" si="66"/>
        <v>2.2999999999999998</v>
      </c>
      <c r="V77" s="34"/>
      <c r="W77" s="34"/>
      <c r="X77" s="34"/>
      <c r="Y77" s="34">
        <f t="shared" si="62"/>
        <v>61.455000000000005</v>
      </c>
      <c r="Z77" s="27">
        <f t="shared" si="31"/>
        <v>14.46</v>
      </c>
      <c r="AA77" s="103">
        <f t="shared" si="32"/>
        <v>49.295000000000002</v>
      </c>
      <c r="AB77" s="103">
        <f t="shared" si="33"/>
        <v>324.19500749999997</v>
      </c>
      <c r="AC77" s="103">
        <f t="shared" si="34"/>
        <v>373.49000749999999</v>
      </c>
      <c r="AE77" s="27">
        <f t="shared" si="35"/>
        <v>61.455000000000005</v>
      </c>
      <c r="AG77" s="113">
        <f t="shared" si="63"/>
        <v>420.76170836457311</v>
      </c>
    </row>
    <row r="78" spans="1:33" s="27" customFormat="1" ht="42">
      <c r="A78" s="97">
        <v>5</v>
      </c>
      <c r="B78" s="99" t="s">
        <v>144</v>
      </c>
      <c r="C78" s="99"/>
      <c r="D78" s="96" t="s">
        <v>115</v>
      </c>
      <c r="E78" s="96"/>
      <c r="F78" s="96" t="s">
        <v>94</v>
      </c>
      <c r="G78" s="98">
        <v>2</v>
      </c>
      <c r="H78" s="106">
        <v>15.47</v>
      </c>
      <c r="I78" s="106">
        <v>0</v>
      </c>
      <c r="J78" s="106">
        <v>0.64</v>
      </c>
      <c r="K78" s="107">
        <f t="shared" si="64"/>
        <v>14.83</v>
      </c>
      <c r="L78" s="100" t="s">
        <v>142</v>
      </c>
      <c r="M78" s="100"/>
      <c r="N78" s="101" t="s">
        <v>143</v>
      </c>
      <c r="O78" s="109">
        <v>8.5</v>
      </c>
      <c r="P78" s="115"/>
      <c r="Q78" s="111">
        <f t="shared" si="65"/>
        <v>9.1093274999999991</v>
      </c>
      <c r="R78" s="34"/>
      <c r="S78" s="34"/>
      <c r="T78" s="34"/>
      <c r="U78" s="34">
        <f t="shared" si="66"/>
        <v>4.5999999999999996</v>
      </c>
      <c r="V78" s="34"/>
      <c r="W78" s="34"/>
      <c r="X78" s="34"/>
      <c r="Y78" s="34">
        <f t="shared" si="62"/>
        <v>126.05500000000001</v>
      </c>
      <c r="Z78" s="27">
        <f t="shared" ref="Z78:Z138" si="67">2*K78</f>
        <v>29.66</v>
      </c>
      <c r="AA78" s="103">
        <f t="shared" ref="AA78:AA138" si="68">(SUM(R78:X78)+AE78)-Z78</f>
        <v>100.995</v>
      </c>
      <c r="AB78" s="103">
        <f t="shared" ref="AB78:AB138" si="69">Q78*$AB$13+P78*$AB$14</f>
        <v>664.98090749999994</v>
      </c>
      <c r="AC78" s="103">
        <f t="shared" ref="AC78:AC138" si="70">SUM(AA78:AB78)</f>
        <v>765.97590749999995</v>
      </c>
      <c r="AE78" s="27">
        <f t="shared" ref="AE78:AE138" si="71">IF(AD78&gt;0,AD78*K78,Y78)</f>
        <v>126.05500000000001</v>
      </c>
      <c r="AG78" s="113">
        <f t="shared" si="63"/>
        <v>863.05617358874395</v>
      </c>
    </row>
    <row r="79" spans="1:33" s="27" customFormat="1" ht="28">
      <c r="A79" s="97">
        <v>7</v>
      </c>
      <c r="B79" s="99" t="s">
        <v>145</v>
      </c>
      <c r="C79" s="96"/>
      <c r="D79" s="96" t="s">
        <v>146</v>
      </c>
      <c r="E79" s="96"/>
      <c r="F79" s="96" t="s">
        <v>77</v>
      </c>
      <c r="G79" s="98">
        <v>3</v>
      </c>
      <c r="H79" s="106">
        <v>14.82</v>
      </c>
      <c r="I79" s="106">
        <v>0</v>
      </c>
      <c r="J79" s="106">
        <v>0.96</v>
      </c>
      <c r="K79" s="107">
        <f t="shared" si="64"/>
        <v>13.86</v>
      </c>
      <c r="L79" s="156">
        <v>1.5</v>
      </c>
      <c r="M79" s="100"/>
      <c r="N79" s="101">
        <v>53</v>
      </c>
      <c r="O79" s="109">
        <v>8.5</v>
      </c>
      <c r="P79" s="115"/>
      <c r="Q79" s="111">
        <f t="shared" si="65"/>
        <v>8.5135049999999985</v>
      </c>
      <c r="R79" s="34"/>
      <c r="S79" s="34"/>
      <c r="T79" s="34"/>
      <c r="U79" s="34">
        <f>G79*2.3</f>
        <v>6.8999999999999995</v>
      </c>
      <c r="V79" s="34"/>
      <c r="W79" s="34"/>
      <c r="X79" s="34"/>
      <c r="Y79" s="34">
        <f t="shared" si="62"/>
        <v>117.81</v>
      </c>
      <c r="Z79" s="27">
        <f t="shared" si="67"/>
        <v>27.72</v>
      </c>
      <c r="AA79" s="103">
        <f t="shared" si="68"/>
        <v>96.990000000000009</v>
      </c>
      <c r="AB79" s="103">
        <f t="shared" si="69"/>
        <v>621.48586499999988</v>
      </c>
      <c r="AC79" s="103">
        <f t="shared" si="70"/>
        <v>718.47586499999989</v>
      </c>
      <c r="AE79" s="27">
        <f t="shared" si="71"/>
        <v>117.81</v>
      </c>
      <c r="AG79" s="113">
        <f t="shared" si="63"/>
        <v>806.60543263250111</v>
      </c>
    </row>
    <row r="80" spans="1:33" s="27" customFormat="1" ht="28">
      <c r="A80" s="97">
        <v>8</v>
      </c>
      <c r="B80" s="99" t="s">
        <v>147</v>
      </c>
      <c r="C80" s="96"/>
      <c r="D80" s="96" t="s">
        <v>148</v>
      </c>
      <c r="E80" s="96"/>
      <c r="F80" s="96" t="s">
        <v>94</v>
      </c>
      <c r="G80" s="98">
        <v>2</v>
      </c>
      <c r="H80" s="106">
        <v>12.15</v>
      </c>
      <c r="I80" s="106">
        <v>0</v>
      </c>
      <c r="J80" s="106">
        <v>0</v>
      </c>
      <c r="K80" s="107">
        <f t="shared" si="64"/>
        <v>12.15</v>
      </c>
      <c r="L80" s="156">
        <v>2.7</v>
      </c>
      <c r="M80" s="100"/>
      <c r="N80" s="101">
        <v>36</v>
      </c>
      <c r="O80" s="109">
        <v>6.5</v>
      </c>
      <c r="P80" s="115"/>
      <c r="Q80" s="111">
        <f t="shared" si="65"/>
        <v>7.4631375000000002</v>
      </c>
      <c r="R80" s="34"/>
      <c r="S80" s="34"/>
      <c r="T80" s="34"/>
      <c r="U80" s="34"/>
      <c r="V80" s="34"/>
      <c r="W80" s="34"/>
      <c r="X80" s="34"/>
      <c r="Y80" s="34">
        <f t="shared" si="62"/>
        <v>78.975000000000009</v>
      </c>
      <c r="Z80" s="27">
        <f t="shared" si="67"/>
        <v>24.3</v>
      </c>
      <c r="AA80" s="103">
        <f t="shared" si="68"/>
        <v>54.675000000000011</v>
      </c>
      <c r="AB80" s="103">
        <f t="shared" si="69"/>
        <v>544.80903750000004</v>
      </c>
      <c r="AC80" s="103">
        <f t="shared" si="70"/>
        <v>599.48403750000011</v>
      </c>
      <c r="AE80" s="27">
        <f t="shared" si="71"/>
        <v>78.975000000000009</v>
      </c>
      <c r="AG80" s="113">
        <f t="shared" si="63"/>
        <v>707.08917795706259</v>
      </c>
    </row>
    <row r="81" spans="1:33" s="27" customFormat="1" ht="28">
      <c r="A81" s="97">
        <v>8</v>
      </c>
      <c r="B81" s="99" t="s">
        <v>147</v>
      </c>
      <c r="C81" s="96"/>
      <c r="D81" s="96" t="s">
        <v>149</v>
      </c>
      <c r="E81" s="96"/>
      <c r="F81" s="96" t="s">
        <v>77</v>
      </c>
      <c r="G81" s="98">
        <v>1</v>
      </c>
      <c r="H81" s="106">
        <v>6.18</v>
      </c>
      <c r="I81" s="106">
        <v>0</v>
      </c>
      <c r="J81" s="106">
        <v>0</v>
      </c>
      <c r="K81" s="107">
        <f t="shared" si="64"/>
        <v>6.18</v>
      </c>
      <c r="L81" s="156">
        <v>2.7</v>
      </c>
      <c r="M81" s="100"/>
      <c r="N81" s="101">
        <v>36</v>
      </c>
      <c r="O81" s="109">
        <v>6.5</v>
      </c>
      <c r="P81" s="115"/>
      <c r="Q81" s="111">
        <f t="shared" si="65"/>
        <v>3.7960649999999996</v>
      </c>
      <c r="R81" s="34"/>
      <c r="S81" s="34"/>
      <c r="T81" s="34"/>
      <c r="U81" s="34"/>
      <c r="V81" s="34"/>
      <c r="W81" s="34"/>
      <c r="X81" s="34"/>
      <c r="Y81" s="34">
        <f t="shared" si="62"/>
        <v>40.17</v>
      </c>
      <c r="Z81" s="27">
        <f t="shared" si="67"/>
        <v>12.36</v>
      </c>
      <c r="AA81" s="103">
        <f t="shared" si="68"/>
        <v>27.810000000000002</v>
      </c>
      <c r="AB81" s="103">
        <f t="shared" si="69"/>
        <v>277.11274499999996</v>
      </c>
      <c r="AC81" s="103">
        <f t="shared" si="70"/>
        <v>304.92274499999996</v>
      </c>
      <c r="AE81" s="27">
        <f t="shared" si="71"/>
        <v>40.17</v>
      </c>
      <c r="AG81" s="113">
        <f t="shared" si="63"/>
        <v>359.65523619544416</v>
      </c>
    </row>
    <row r="82" spans="1:33" s="27" customFormat="1" ht="28">
      <c r="A82" s="97">
        <v>9</v>
      </c>
      <c r="B82" s="99" t="s">
        <v>150</v>
      </c>
      <c r="C82" s="96"/>
      <c r="D82" s="96" t="s">
        <v>151</v>
      </c>
      <c r="E82" s="96"/>
      <c r="F82" s="96" t="s">
        <v>94</v>
      </c>
      <c r="G82" s="98">
        <v>3</v>
      </c>
      <c r="H82" s="106">
        <v>18.32</v>
      </c>
      <c r="I82" s="106">
        <v>0</v>
      </c>
      <c r="J82" s="106">
        <v>0.96</v>
      </c>
      <c r="K82" s="107">
        <f t="shared" si="64"/>
        <v>17.36</v>
      </c>
      <c r="L82" s="156">
        <v>2.5</v>
      </c>
      <c r="M82" s="100"/>
      <c r="N82" s="101">
        <v>9</v>
      </c>
      <c r="O82" s="109">
        <v>9.5</v>
      </c>
      <c r="P82" s="115"/>
      <c r="Q82" s="111">
        <f t="shared" si="65"/>
        <v>10.663379999999998</v>
      </c>
      <c r="R82" s="34"/>
      <c r="S82" s="34"/>
      <c r="T82" s="34"/>
      <c r="U82" s="34">
        <f>G82*2.3</f>
        <v>6.8999999999999995</v>
      </c>
      <c r="V82" s="34"/>
      <c r="W82" s="34"/>
      <c r="X82" s="34"/>
      <c r="Y82" s="34">
        <f t="shared" si="62"/>
        <v>164.92</v>
      </c>
      <c r="Z82" s="27">
        <f t="shared" si="67"/>
        <v>34.72</v>
      </c>
      <c r="AA82" s="103">
        <f t="shared" si="68"/>
        <v>137.1</v>
      </c>
      <c r="AB82" s="103">
        <f t="shared" si="69"/>
        <v>778.42673999999988</v>
      </c>
      <c r="AC82" s="103">
        <f t="shared" si="70"/>
        <v>915.5267399999999</v>
      </c>
      <c r="AE82" s="27">
        <f t="shared" si="71"/>
        <v>164.92</v>
      </c>
      <c r="AG82" s="113">
        <f t="shared" si="63"/>
        <v>1010.2936731962639</v>
      </c>
    </row>
    <row r="83" spans="1:33" s="27" customFormat="1" ht="28">
      <c r="A83" s="97">
        <v>10</v>
      </c>
      <c r="B83" s="99" t="s">
        <v>152</v>
      </c>
      <c r="C83" s="96"/>
      <c r="D83" s="99" t="s">
        <v>153</v>
      </c>
      <c r="E83" s="96"/>
      <c r="F83" s="96" t="s">
        <v>94</v>
      </c>
      <c r="G83" s="98">
        <v>3</v>
      </c>
      <c r="H83" s="106">
        <v>14.74</v>
      </c>
      <c r="I83" s="106">
        <v>0</v>
      </c>
      <c r="J83" s="106">
        <v>0.96</v>
      </c>
      <c r="K83" s="107">
        <f t="shared" si="64"/>
        <v>13.780000000000001</v>
      </c>
      <c r="L83" s="156">
        <v>2</v>
      </c>
      <c r="M83" s="100"/>
      <c r="N83" s="101">
        <v>5</v>
      </c>
      <c r="O83" s="109">
        <v>9.5</v>
      </c>
      <c r="P83" s="115"/>
      <c r="Q83" s="111">
        <f t="shared" si="65"/>
        <v>8.4643650000000008</v>
      </c>
      <c r="R83" s="34"/>
      <c r="S83" s="34"/>
      <c r="T83" s="34"/>
      <c r="U83" s="34">
        <f>G83*2.3</f>
        <v>6.8999999999999995</v>
      </c>
      <c r="V83" s="34"/>
      <c r="W83" s="34"/>
      <c r="X83" s="34"/>
      <c r="Y83" s="34">
        <f t="shared" si="62"/>
        <v>130.91000000000003</v>
      </c>
      <c r="Z83" s="27">
        <f t="shared" si="67"/>
        <v>27.560000000000002</v>
      </c>
      <c r="AA83" s="103">
        <f t="shared" si="68"/>
        <v>110.25000000000003</v>
      </c>
      <c r="AB83" s="103">
        <f t="shared" si="69"/>
        <v>617.8986450000001</v>
      </c>
      <c r="AC83" s="103">
        <f t="shared" si="70"/>
        <v>728.1486450000001</v>
      </c>
      <c r="AE83" s="27">
        <f t="shared" si="71"/>
        <v>130.91000000000003</v>
      </c>
      <c r="AG83" s="113">
        <f t="shared" si="63"/>
        <v>801.94970141961517</v>
      </c>
    </row>
    <row r="84" spans="1:33" s="27" customFormat="1" ht="28">
      <c r="A84" s="97">
        <v>11</v>
      </c>
      <c r="B84" s="99" t="s">
        <v>154</v>
      </c>
      <c r="C84" s="96"/>
      <c r="D84" s="96" t="s">
        <v>155</v>
      </c>
      <c r="E84" s="96"/>
      <c r="F84" s="96" t="s">
        <v>94</v>
      </c>
      <c r="G84" s="98">
        <v>3</v>
      </c>
      <c r="H84" s="106">
        <v>12.59</v>
      </c>
      <c r="I84" s="106">
        <v>0</v>
      </c>
      <c r="J84" s="106">
        <v>1.32</v>
      </c>
      <c r="K84" s="107">
        <f t="shared" si="64"/>
        <v>11.27</v>
      </c>
      <c r="L84" s="100">
        <v>1.1000000000000001</v>
      </c>
      <c r="M84" s="100"/>
      <c r="N84" s="101">
        <v>28</v>
      </c>
      <c r="O84" s="109">
        <v>9</v>
      </c>
      <c r="P84" s="115"/>
      <c r="Q84" s="111">
        <f t="shared" si="65"/>
        <v>6.9225974999999993</v>
      </c>
      <c r="R84" s="34"/>
      <c r="S84" s="34"/>
      <c r="T84" s="34"/>
      <c r="U84" s="34">
        <f>G84*2.3</f>
        <v>6.8999999999999995</v>
      </c>
      <c r="V84" s="34"/>
      <c r="W84" s="34"/>
      <c r="X84" s="34"/>
      <c r="Y84" s="34">
        <f t="shared" si="62"/>
        <v>101.42999999999999</v>
      </c>
      <c r="Z84" s="27">
        <f t="shared" si="67"/>
        <v>22.54</v>
      </c>
      <c r="AA84" s="103">
        <f t="shared" si="68"/>
        <v>85.789999999999992</v>
      </c>
      <c r="AB84" s="103">
        <f t="shared" si="69"/>
        <v>505.34961749999997</v>
      </c>
      <c r="AC84" s="103">
        <f t="shared" si="70"/>
        <v>591.13961749999999</v>
      </c>
      <c r="AE84" s="27">
        <f t="shared" si="71"/>
        <v>101.42999999999999</v>
      </c>
      <c r="AG84" s="113">
        <f t="shared" si="63"/>
        <v>655.87613461531646</v>
      </c>
    </row>
    <row r="85" spans="1:33" s="27" customFormat="1" ht="28">
      <c r="A85" s="97">
        <v>12</v>
      </c>
      <c r="B85" s="99" t="s">
        <v>156</v>
      </c>
      <c r="C85" s="96"/>
      <c r="D85" s="96" t="s">
        <v>157</v>
      </c>
      <c r="E85" s="96"/>
      <c r="F85" s="96" t="s">
        <v>94</v>
      </c>
      <c r="G85" s="98">
        <v>3</v>
      </c>
      <c r="H85" s="106">
        <v>15.84</v>
      </c>
      <c r="I85" s="106">
        <v>0</v>
      </c>
      <c r="J85" s="106">
        <v>1.44</v>
      </c>
      <c r="K85" s="107">
        <f t="shared" si="64"/>
        <v>14.4</v>
      </c>
      <c r="L85" s="156">
        <v>1.7</v>
      </c>
      <c r="M85" s="100"/>
      <c r="N85" s="101">
        <v>20</v>
      </c>
      <c r="O85" s="109">
        <v>9</v>
      </c>
      <c r="P85" s="115"/>
      <c r="Q85" s="111">
        <f t="shared" si="65"/>
        <v>8.8452000000000002</v>
      </c>
      <c r="R85" s="34"/>
      <c r="S85" s="34"/>
      <c r="T85" s="34"/>
      <c r="U85" s="34">
        <f>G85*2.3</f>
        <v>6.8999999999999995</v>
      </c>
      <c r="V85" s="34"/>
      <c r="W85" s="34"/>
      <c r="X85" s="34"/>
      <c r="Y85" s="34">
        <f t="shared" si="62"/>
        <v>129.6</v>
      </c>
      <c r="Z85" s="27">
        <f t="shared" si="67"/>
        <v>28.8</v>
      </c>
      <c r="AA85" s="103">
        <f t="shared" si="68"/>
        <v>107.7</v>
      </c>
      <c r="AB85" s="103">
        <f t="shared" si="69"/>
        <v>645.69960000000003</v>
      </c>
      <c r="AC85" s="103">
        <f t="shared" si="70"/>
        <v>753.39960000000008</v>
      </c>
      <c r="AE85" s="27">
        <f t="shared" si="71"/>
        <v>129.6</v>
      </c>
      <c r="AG85" s="113">
        <f t="shared" ref="AG85:AG89" si="72">$AG$14/31.1035*K85*IF(LEFT(F85,3)="10K",0.417*1.07,IF(LEFT(F85,3)="14K",0.585*1.05,IF(LEFT(F85,3)="18K",0.75*1.05,0)))</f>
        <v>838.03161831948171</v>
      </c>
    </row>
    <row r="86" spans="1:33" s="27" customFormat="1" ht="28">
      <c r="A86" s="97">
        <v>13</v>
      </c>
      <c r="B86" s="99" t="s">
        <v>158</v>
      </c>
      <c r="C86" s="96"/>
      <c r="D86" s="96" t="s">
        <v>159</v>
      </c>
      <c r="E86" s="96"/>
      <c r="F86" s="96" t="s">
        <v>77</v>
      </c>
      <c r="G86" s="98">
        <v>3</v>
      </c>
      <c r="H86" s="106">
        <v>7.98</v>
      </c>
      <c r="I86" s="106">
        <v>0</v>
      </c>
      <c r="J86" s="106">
        <v>0.12</v>
      </c>
      <c r="K86" s="107">
        <f t="shared" si="64"/>
        <v>7.86</v>
      </c>
      <c r="L86" s="156">
        <v>2</v>
      </c>
      <c r="M86" s="100"/>
      <c r="N86" s="101">
        <v>14</v>
      </c>
      <c r="O86" s="109">
        <v>10.5</v>
      </c>
      <c r="P86" s="115"/>
      <c r="Q86" s="111">
        <f t="shared" si="65"/>
        <v>4.8280050000000001</v>
      </c>
      <c r="R86" s="34"/>
      <c r="S86" s="34"/>
      <c r="T86" s="34"/>
      <c r="U86" s="34"/>
      <c r="V86" s="34"/>
      <c r="W86" s="34"/>
      <c r="X86" s="34"/>
      <c r="Y86" s="34">
        <f t="shared" si="62"/>
        <v>82.53</v>
      </c>
      <c r="Z86" s="27">
        <f t="shared" si="67"/>
        <v>15.72</v>
      </c>
      <c r="AA86" s="103">
        <f t="shared" si="68"/>
        <v>66.81</v>
      </c>
      <c r="AB86" s="103">
        <f t="shared" si="69"/>
        <v>352.444365</v>
      </c>
      <c r="AC86" s="103">
        <f t="shared" si="70"/>
        <v>419.25436500000001</v>
      </c>
      <c r="AE86" s="27">
        <f t="shared" si="71"/>
        <v>82.53</v>
      </c>
      <c r="AG86" s="113">
        <f t="shared" si="72"/>
        <v>457.42559166605042</v>
      </c>
    </row>
    <row r="87" spans="1:33" s="27" customFormat="1" ht="112">
      <c r="A87" s="97">
        <v>14</v>
      </c>
      <c r="B87" s="99" t="s">
        <v>160</v>
      </c>
      <c r="C87" s="96"/>
      <c r="D87" s="96" t="s">
        <v>161</v>
      </c>
      <c r="E87" s="96"/>
      <c r="F87" s="96" t="s">
        <v>94</v>
      </c>
      <c r="G87" s="98">
        <v>1</v>
      </c>
      <c r="H87" s="106">
        <v>8.09</v>
      </c>
      <c r="I87" s="106">
        <v>0</v>
      </c>
      <c r="J87" s="106">
        <v>0.28000000000000003</v>
      </c>
      <c r="K87" s="107">
        <f t="shared" si="64"/>
        <v>7.81</v>
      </c>
      <c r="L87" s="156" t="s">
        <v>162</v>
      </c>
      <c r="M87" s="100"/>
      <c r="N87" s="101" t="s">
        <v>163</v>
      </c>
      <c r="O87" s="109">
        <v>8.5</v>
      </c>
      <c r="P87" s="115"/>
      <c r="Q87" s="111">
        <f t="shared" si="65"/>
        <v>4.7972924999999993</v>
      </c>
      <c r="R87" s="34"/>
      <c r="S87" s="34"/>
      <c r="T87" s="34"/>
      <c r="U87" s="34">
        <f>G87*2.3</f>
        <v>2.2999999999999998</v>
      </c>
      <c r="V87" s="34"/>
      <c r="W87" s="34"/>
      <c r="X87" s="34"/>
      <c r="Y87" s="34">
        <f t="shared" si="62"/>
        <v>66.384999999999991</v>
      </c>
      <c r="Z87" s="27">
        <f t="shared" si="67"/>
        <v>15.62</v>
      </c>
      <c r="AA87" s="103">
        <f t="shared" si="68"/>
        <v>53.064999999999991</v>
      </c>
      <c r="AB87" s="103">
        <f t="shared" si="69"/>
        <v>350.20235249999996</v>
      </c>
      <c r="AC87" s="103">
        <f t="shared" si="70"/>
        <v>403.26735249999996</v>
      </c>
      <c r="AE87" s="27">
        <f t="shared" si="71"/>
        <v>66.384999999999991</v>
      </c>
      <c r="AG87" s="113">
        <f t="shared" si="72"/>
        <v>454.51575965799663</v>
      </c>
    </row>
    <row r="88" spans="1:33" s="27" customFormat="1" ht="112">
      <c r="A88" s="97">
        <v>15</v>
      </c>
      <c r="B88" s="99" t="s">
        <v>164</v>
      </c>
      <c r="C88" s="96"/>
      <c r="D88" s="96" t="s">
        <v>115</v>
      </c>
      <c r="E88" s="96"/>
      <c r="F88" s="96" t="s">
        <v>94</v>
      </c>
      <c r="G88" s="98">
        <v>2</v>
      </c>
      <c r="H88" s="106">
        <v>16.940000000000001</v>
      </c>
      <c r="I88" s="106">
        <v>0</v>
      </c>
      <c r="J88" s="106">
        <v>0.64</v>
      </c>
      <c r="K88" s="107">
        <f t="shared" si="64"/>
        <v>16.3</v>
      </c>
      <c r="L88" s="156" t="s">
        <v>162</v>
      </c>
      <c r="M88" s="100"/>
      <c r="N88" s="101" t="s">
        <v>163</v>
      </c>
      <c r="O88" s="109">
        <v>8.5</v>
      </c>
      <c r="P88" s="115"/>
      <c r="Q88" s="111">
        <f t="shared" si="65"/>
        <v>10.012275000000001</v>
      </c>
      <c r="R88" s="34"/>
      <c r="S88" s="34"/>
      <c r="T88" s="34"/>
      <c r="U88" s="34">
        <f>G88*2.3</f>
        <v>4.5999999999999996</v>
      </c>
      <c r="V88" s="34"/>
      <c r="W88" s="34"/>
      <c r="X88" s="34"/>
      <c r="Y88" s="34">
        <f t="shared" si="62"/>
        <v>138.55000000000001</v>
      </c>
      <c r="Z88" s="27">
        <f t="shared" si="67"/>
        <v>32.6</v>
      </c>
      <c r="AA88" s="103">
        <f t="shared" si="68"/>
        <v>110.55000000000001</v>
      </c>
      <c r="AB88" s="103">
        <f t="shared" si="69"/>
        <v>730.896075</v>
      </c>
      <c r="AC88" s="103">
        <f t="shared" si="70"/>
        <v>841.44607500000006</v>
      </c>
      <c r="AE88" s="27">
        <f t="shared" si="71"/>
        <v>138.55000000000001</v>
      </c>
      <c r="AG88" s="113">
        <f t="shared" si="72"/>
        <v>948.60523462552442</v>
      </c>
    </row>
    <row r="89" spans="1:33" s="27" customFormat="1" ht="28">
      <c r="A89" s="97">
        <v>18</v>
      </c>
      <c r="B89" s="99" t="s">
        <v>167</v>
      </c>
      <c r="C89" s="96"/>
      <c r="D89" s="96" t="s">
        <v>168</v>
      </c>
      <c r="E89" s="96"/>
      <c r="F89" s="96" t="s">
        <v>82</v>
      </c>
      <c r="G89" s="98">
        <v>2</v>
      </c>
      <c r="H89" s="106">
        <v>12.75</v>
      </c>
      <c r="I89" s="106">
        <v>0</v>
      </c>
      <c r="J89" s="106">
        <v>0.96</v>
      </c>
      <c r="K89" s="107">
        <f t="shared" si="64"/>
        <v>11.79</v>
      </c>
      <c r="L89" s="100" t="s">
        <v>165</v>
      </c>
      <c r="M89" s="100"/>
      <c r="N89" s="101" t="s">
        <v>166</v>
      </c>
      <c r="O89" s="109">
        <v>9</v>
      </c>
      <c r="P89" s="115"/>
      <c r="Q89" s="111">
        <f t="shared" si="65"/>
        <v>7.2420074999999988</v>
      </c>
      <c r="R89" s="34"/>
      <c r="S89" s="34"/>
      <c r="T89" s="34"/>
      <c r="U89" s="34">
        <f>G89*2.3</f>
        <v>4.5999999999999996</v>
      </c>
      <c r="V89" s="34"/>
      <c r="W89" s="34"/>
      <c r="X89" s="34"/>
      <c r="Y89" s="34">
        <f t="shared" si="62"/>
        <v>106.10999999999999</v>
      </c>
      <c r="Z89" s="27">
        <f t="shared" si="67"/>
        <v>23.58</v>
      </c>
      <c r="AA89" s="103">
        <f t="shared" si="68"/>
        <v>87.129999999999981</v>
      </c>
      <c r="AB89" s="103">
        <f t="shared" si="69"/>
        <v>528.66654749999987</v>
      </c>
      <c r="AC89" s="103">
        <f t="shared" si="70"/>
        <v>615.79654749999986</v>
      </c>
      <c r="AE89" s="27">
        <f t="shared" si="71"/>
        <v>106.10999999999999</v>
      </c>
      <c r="AG89" s="113">
        <f t="shared" si="72"/>
        <v>686.13838749907552</v>
      </c>
    </row>
    <row r="90" spans="1:33" s="27" customFormat="1" ht="28">
      <c r="A90" s="97">
        <v>20</v>
      </c>
      <c r="B90" s="99" t="s">
        <v>169</v>
      </c>
      <c r="C90" s="96"/>
      <c r="D90" s="96" t="s">
        <v>170</v>
      </c>
      <c r="E90" s="96"/>
      <c r="F90" s="96" t="s">
        <v>82</v>
      </c>
      <c r="G90" s="98">
        <v>2</v>
      </c>
      <c r="H90" s="106">
        <v>35.630000000000003</v>
      </c>
      <c r="I90" s="106">
        <v>0</v>
      </c>
      <c r="J90" s="106">
        <v>2.68</v>
      </c>
      <c r="K90" s="107">
        <f t="shared" si="64"/>
        <v>32.950000000000003</v>
      </c>
      <c r="L90" s="100" t="s">
        <v>171</v>
      </c>
      <c r="M90" s="100"/>
      <c r="N90" s="101" t="s">
        <v>172</v>
      </c>
      <c r="O90" s="109">
        <v>9.5</v>
      </c>
      <c r="P90" s="115"/>
      <c r="Q90" s="111">
        <f t="shared" si="65"/>
        <v>20.239537500000001</v>
      </c>
      <c r="R90" s="34"/>
      <c r="S90" s="34"/>
      <c r="T90" s="34"/>
      <c r="U90" s="34">
        <f>G90*4.6</f>
        <v>9.1999999999999993</v>
      </c>
      <c r="V90" s="34"/>
      <c r="W90" s="34"/>
      <c r="X90" s="34"/>
      <c r="Y90" s="34">
        <f t="shared" si="62"/>
        <v>313.02500000000003</v>
      </c>
      <c r="Z90" s="27">
        <f t="shared" si="67"/>
        <v>65.900000000000006</v>
      </c>
      <c r="AA90" s="103">
        <f t="shared" si="68"/>
        <v>256.32500000000005</v>
      </c>
      <c r="AB90" s="103">
        <f t="shared" si="69"/>
        <v>1477.4862375</v>
      </c>
      <c r="AC90" s="103">
        <f t="shared" si="70"/>
        <v>1733.8112375000001</v>
      </c>
      <c r="AE90" s="27">
        <f t="shared" si="71"/>
        <v>313.02500000000003</v>
      </c>
      <c r="AG90" s="113">
        <f>$AG$14/31.1035*K90*IF(LEFT(F90,3)="10K",0.417*1.07,IF(LEFT(F90,3)="14K",0.585*1.05,IF(LEFT(F90,3)="18K",0.75*1.05,0)))</f>
        <v>1917.5792933074251</v>
      </c>
    </row>
    <row r="91" spans="1:33" s="27" customFormat="1">
      <c r="A91" s="97">
        <v>21</v>
      </c>
      <c r="B91" s="99" t="s">
        <v>173</v>
      </c>
      <c r="C91" s="96"/>
      <c r="D91" s="96" t="s">
        <v>174</v>
      </c>
      <c r="E91" s="96"/>
      <c r="F91" s="96" t="s">
        <v>82</v>
      </c>
      <c r="G91" s="98">
        <v>1</v>
      </c>
      <c r="H91" s="106">
        <v>5.38</v>
      </c>
      <c r="I91" s="106">
        <v>0</v>
      </c>
      <c r="J91" s="106">
        <v>0.54</v>
      </c>
      <c r="K91" s="107">
        <f t="shared" si="64"/>
        <v>4.84</v>
      </c>
      <c r="L91" s="100">
        <v>2.2999999999999998</v>
      </c>
      <c r="M91" s="100"/>
      <c r="N91" s="101">
        <v>9</v>
      </c>
      <c r="O91" s="109">
        <v>9</v>
      </c>
      <c r="P91" s="115"/>
      <c r="Q91" s="111">
        <f t="shared" si="65"/>
        <v>2.9729699999999997</v>
      </c>
      <c r="R91" s="34"/>
      <c r="S91" s="34"/>
      <c r="T91" s="34"/>
      <c r="U91" s="34">
        <f>G91*2.3</f>
        <v>2.2999999999999998</v>
      </c>
      <c r="V91" s="34"/>
      <c r="W91" s="34"/>
      <c r="X91" s="34"/>
      <c r="Y91" s="34">
        <f t="shared" si="62"/>
        <v>43.56</v>
      </c>
      <c r="Z91" s="27">
        <f t="shared" si="67"/>
        <v>9.68</v>
      </c>
      <c r="AA91" s="103">
        <f t="shared" si="68"/>
        <v>36.18</v>
      </c>
      <c r="AB91" s="103">
        <f t="shared" si="69"/>
        <v>217.02680999999998</v>
      </c>
      <c r="AC91" s="103">
        <f t="shared" si="70"/>
        <v>253.20680999999999</v>
      </c>
      <c r="AE91" s="27">
        <f t="shared" si="71"/>
        <v>43.56</v>
      </c>
      <c r="AG91" s="113">
        <f>$AG$14/31.1035*K91*IF(LEFT(F91,3)="10K",0.417*1.07,IF(LEFT(F91,3)="14K",0.585*1.05,IF(LEFT(F91,3)="18K",0.75*1.05,0)))</f>
        <v>281.67173837960354</v>
      </c>
    </row>
    <row r="92" spans="1:33" s="27" customFormat="1" ht="28">
      <c r="A92" s="97">
        <v>22</v>
      </c>
      <c r="B92" s="96" t="s">
        <v>175</v>
      </c>
      <c r="C92" s="96"/>
      <c r="D92" s="96" t="s">
        <v>170</v>
      </c>
      <c r="E92" s="96"/>
      <c r="F92" s="96" t="s">
        <v>82</v>
      </c>
      <c r="G92" s="98">
        <v>2</v>
      </c>
      <c r="H92" s="106">
        <v>9.8000000000000007</v>
      </c>
      <c r="I92" s="106">
        <v>0</v>
      </c>
      <c r="J92" s="106">
        <v>0.88</v>
      </c>
      <c r="K92" s="107">
        <f t="shared" si="64"/>
        <v>8.92</v>
      </c>
      <c r="L92" s="100">
        <v>2.2999999999999998</v>
      </c>
      <c r="M92" s="100"/>
      <c r="N92" s="101">
        <v>9</v>
      </c>
      <c r="O92" s="109">
        <v>9</v>
      </c>
      <c r="P92" s="115"/>
      <c r="Q92" s="111">
        <f t="shared" si="65"/>
        <v>5.4791099999999995</v>
      </c>
      <c r="R92" s="34"/>
      <c r="S92" s="34"/>
      <c r="T92" s="34"/>
      <c r="U92" s="34">
        <f>G92*2.3</f>
        <v>4.5999999999999996</v>
      </c>
      <c r="V92" s="34"/>
      <c r="W92" s="34"/>
      <c r="X92" s="34"/>
      <c r="Y92" s="34">
        <f t="shared" si="62"/>
        <v>80.28</v>
      </c>
      <c r="Z92" s="27">
        <f t="shared" si="67"/>
        <v>17.84</v>
      </c>
      <c r="AA92" s="103">
        <f t="shared" si="68"/>
        <v>67.039999999999992</v>
      </c>
      <c r="AB92" s="103">
        <f t="shared" si="69"/>
        <v>399.97502999999995</v>
      </c>
      <c r="AC92" s="103">
        <f t="shared" si="70"/>
        <v>467.01502999999991</v>
      </c>
      <c r="AE92" s="27">
        <f t="shared" si="71"/>
        <v>80.28</v>
      </c>
      <c r="AG92" s="113">
        <f>$AG$14/31.1035*K92*IF(LEFT(F92,3)="10K",0.417*1.07,IF(LEFT(F92,3)="14K",0.585*1.05,IF(LEFT(F92,3)="18K",0.75*1.05,0)))</f>
        <v>519.11403023678997</v>
      </c>
    </row>
    <row r="93" spans="1:33" s="27" customFormat="1" ht="28.5" thickBot="1">
      <c r="A93" s="97">
        <v>23</v>
      </c>
      <c r="B93" s="99" t="s">
        <v>176</v>
      </c>
      <c r="C93" s="96"/>
      <c r="D93" s="96" t="s">
        <v>177</v>
      </c>
      <c r="E93" s="96"/>
      <c r="F93" s="96" t="s">
        <v>94</v>
      </c>
      <c r="G93" s="98">
        <v>3</v>
      </c>
      <c r="H93" s="106">
        <v>9.73</v>
      </c>
      <c r="I93" s="106">
        <v>0</v>
      </c>
      <c r="J93" s="106">
        <v>0</v>
      </c>
      <c r="K93" s="107">
        <f t="shared" si="64"/>
        <v>9.73</v>
      </c>
      <c r="L93" s="156">
        <v>4.2</v>
      </c>
      <c r="M93" s="100"/>
      <c r="N93" s="101">
        <v>8</v>
      </c>
      <c r="O93" s="109">
        <v>7.5</v>
      </c>
      <c r="P93" s="115"/>
      <c r="Q93" s="111">
        <f t="shared" si="65"/>
        <v>5.9766525000000001</v>
      </c>
      <c r="R93" s="34"/>
      <c r="S93" s="34"/>
      <c r="T93" s="34"/>
      <c r="U93" s="34"/>
      <c r="V93" s="34"/>
      <c r="W93" s="34"/>
      <c r="X93" s="34"/>
      <c r="Y93" s="34">
        <f t="shared" si="62"/>
        <v>72.975000000000009</v>
      </c>
      <c r="Z93" s="27">
        <f t="shared" si="67"/>
        <v>19.46</v>
      </c>
      <c r="AA93" s="103">
        <f t="shared" si="68"/>
        <v>53.515000000000008</v>
      </c>
      <c r="AB93" s="103">
        <f t="shared" si="69"/>
        <v>436.29563250000001</v>
      </c>
      <c r="AC93" s="103">
        <f t="shared" si="70"/>
        <v>489.8106325</v>
      </c>
      <c r="AE93" s="27">
        <f t="shared" si="71"/>
        <v>72.975000000000009</v>
      </c>
      <c r="AG93" s="113">
        <f>$AG$14/31.1035*K93*IF(LEFT(F93,3)="10K",0.417*1.07,IF(LEFT(F93,3)="14K",0.585*1.05,IF(LEFT(F93,3)="18K",0.75*1.05,0)))</f>
        <v>566.25330876726093</v>
      </c>
    </row>
    <row r="94" spans="1:33" s="28" customFormat="1" ht="15.9" customHeight="1">
      <c r="A94" s="88" t="s">
        <v>71</v>
      </c>
      <c r="B94" s="65"/>
      <c r="C94" s="65"/>
      <c r="D94" s="65"/>
      <c r="E94" s="65"/>
      <c r="F94" s="65"/>
      <c r="G94" s="66">
        <f>SUM(G73:G93)</f>
        <v>43</v>
      </c>
      <c r="H94" s="108"/>
      <c r="I94" s="108"/>
      <c r="J94" s="108"/>
      <c r="K94" s="108">
        <f>SUM(K73:K93)</f>
        <v>241.81000000000003</v>
      </c>
      <c r="L94" s="67"/>
      <c r="M94" s="67"/>
      <c r="N94" s="67"/>
      <c r="O94" s="68"/>
      <c r="P94" s="116">
        <f t="shared" ref="P94:Y94" si="73">SUM(P73:P93)</f>
        <v>0</v>
      </c>
      <c r="Q94" s="112">
        <f t="shared" si="73"/>
        <v>148.53179249999999</v>
      </c>
      <c r="R94" s="69">
        <f t="shared" si="73"/>
        <v>0</v>
      </c>
      <c r="S94" s="69">
        <f t="shared" si="73"/>
        <v>0</v>
      </c>
      <c r="T94" s="69">
        <f t="shared" si="73"/>
        <v>0</v>
      </c>
      <c r="U94" s="69">
        <f t="shared" si="73"/>
        <v>82.799999999999983</v>
      </c>
      <c r="V94" s="69">
        <f t="shared" si="73"/>
        <v>0</v>
      </c>
      <c r="W94" s="69">
        <f t="shared" si="73"/>
        <v>0</v>
      </c>
      <c r="X94" s="69">
        <f t="shared" si="73"/>
        <v>0</v>
      </c>
      <c r="Y94" s="69">
        <f t="shared" si="73"/>
        <v>2122.1099999999997</v>
      </c>
      <c r="Z94" s="27"/>
      <c r="AA94" s="103"/>
      <c r="AB94" s="103"/>
      <c r="AC94" s="103"/>
      <c r="AD94" s="104"/>
      <c r="AE94" s="27"/>
      <c r="AG94" s="114">
        <f>SUM(AG73:AG93)</f>
        <v>14072.529557349571</v>
      </c>
    </row>
    <row r="95" spans="1:33" ht="15.9" customHeight="1">
      <c r="A95" s="51" t="s">
        <v>83</v>
      </c>
      <c r="K95" s="46"/>
      <c r="L95" s="46"/>
      <c r="M95" s="46"/>
      <c r="N95" s="46"/>
      <c r="X95" s="47"/>
      <c r="Z95" s="27"/>
      <c r="AA95" s="103"/>
      <c r="AB95" s="103"/>
      <c r="AC95" s="103"/>
      <c r="AE95" s="27"/>
      <c r="AF95" s="84" t="s">
        <v>178</v>
      </c>
      <c r="AG95" s="95">
        <f>3120.2*1.01</f>
        <v>3151.402</v>
      </c>
    </row>
    <row r="96" spans="1:33" s="94" customFormat="1" ht="28">
      <c r="A96" s="89" t="s">
        <v>4</v>
      </c>
      <c r="B96" s="90" t="s">
        <v>5</v>
      </c>
      <c r="C96" s="90" t="s">
        <v>24</v>
      </c>
      <c r="D96" s="90" t="s">
        <v>46</v>
      </c>
      <c r="E96" s="90" t="s">
        <v>47</v>
      </c>
      <c r="F96" s="90" t="s">
        <v>6</v>
      </c>
      <c r="G96" s="90" t="s">
        <v>7</v>
      </c>
      <c r="H96" s="91" t="s">
        <v>8</v>
      </c>
      <c r="I96" s="91" t="s">
        <v>48</v>
      </c>
      <c r="J96" s="91" t="s">
        <v>9</v>
      </c>
      <c r="K96" s="92" t="s">
        <v>14</v>
      </c>
      <c r="L96" s="92" t="s">
        <v>20</v>
      </c>
      <c r="M96" s="92" t="s">
        <v>23</v>
      </c>
      <c r="N96" s="92" t="s">
        <v>21</v>
      </c>
      <c r="O96" s="93" t="s">
        <v>10</v>
      </c>
      <c r="P96" s="93" t="s">
        <v>50</v>
      </c>
      <c r="Q96" s="110" t="s">
        <v>63</v>
      </c>
      <c r="R96" s="43" t="s">
        <v>51</v>
      </c>
      <c r="S96" s="43" t="s">
        <v>55</v>
      </c>
      <c r="T96" s="43" t="s">
        <v>70</v>
      </c>
      <c r="U96" s="43" t="s">
        <v>13</v>
      </c>
      <c r="V96" s="43" t="s">
        <v>53</v>
      </c>
      <c r="W96" s="43" t="s">
        <v>49</v>
      </c>
      <c r="X96" s="43" t="s">
        <v>15</v>
      </c>
      <c r="Y96" s="48" t="s">
        <v>12</v>
      </c>
      <c r="Z96" s="27"/>
      <c r="AA96" s="103"/>
      <c r="AB96" s="103"/>
      <c r="AC96" s="103"/>
      <c r="AE96" s="27"/>
      <c r="AG96" s="48" t="s">
        <v>22</v>
      </c>
    </row>
    <row r="97" spans="1:33" s="27" customFormat="1" ht="28">
      <c r="A97" s="97" t="s">
        <v>179</v>
      </c>
      <c r="B97" s="96" t="s">
        <v>180</v>
      </c>
      <c r="C97" s="96"/>
      <c r="D97" s="96" t="s">
        <v>181</v>
      </c>
      <c r="E97" s="96"/>
      <c r="F97" s="96" t="s">
        <v>77</v>
      </c>
      <c r="G97" s="98">
        <v>3</v>
      </c>
      <c r="H97" s="106">
        <v>15.86</v>
      </c>
      <c r="I97" s="106">
        <v>0</v>
      </c>
      <c r="J97" s="106">
        <v>0.96</v>
      </c>
      <c r="K97" s="107">
        <f>H97-I97-J97</f>
        <v>14.899999999999999</v>
      </c>
      <c r="L97" s="100">
        <v>2.5</v>
      </c>
      <c r="M97" s="100"/>
      <c r="N97" s="101">
        <v>5</v>
      </c>
      <c r="O97" s="109">
        <v>9.5</v>
      </c>
      <c r="P97" s="115"/>
      <c r="Q97" s="111">
        <f>K97*IF(LEFT(F97,3)="10K",0.417*1.07,IF(LEFT(F97,3)="14K",0.585*1.05,IF(LEFT(F97,3)="18K",0.75*1.05,0)))</f>
        <v>9.1523249999999994</v>
      </c>
      <c r="R97" s="34"/>
      <c r="S97" s="34"/>
      <c r="T97" s="34"/>
      <c r="U97" s="34">
        <f>G97*2.3</f>
        <v>6.8999999999999995</v>
      </c>
      <c r="V97" s="34"/>
      <c r="W97" s="34"/>
      <c r="X97" s="34"/>
      <c r="Y97" s="34">
        <f t="shared" ref="Y97:Y101" si="74">K97*O97</f>
        <v>141.54999999999998</v>
      </c>
      <c r="Z97" s="27">
        <f t="shared" si="67"/>
        <v>29.799999999999997</v>
      </c>
      <c r="AA97" s="103">
        <f t="shared" si="68"/>
        <v>118.64999999999999</v>
      </c>
      <c r="AB97" s="103">
        <f t="shared" si="69"/>
        <v>668.1197249999999</v>
      </c>
      <c r="AC97" s="103">
        <f t="shared" si="70"/>
        <v>786.76972499999988</v>
      </c>
      <c r="AE97" s="27">
        <f t="shared" si="71"/>
        <v>141.54999999999998</v>
      </c>
      <c r="AG97" s="113">
        <f>$AG$14/31.1035*K97*IF(LEFT(F97,3)="10K",0.417*1.07,IF(LEFT(F97,3)="14K",0.585*1.05,IF(LEFT(F97,3)="18K",0.75*1.05,0)))</f>
        <v>867.12993840001923</v>
      </c>
    </row>
    <row r="98" spans="1:33" s="27" customFormat="1" ht="28">
      <c r="A98" s="97">
        <v>2</v>
      </c>
      <c r="B98" s="99" t="s">
        <v>182</v>
      </c>
      <c r="C98" s="99"/>
      <c r="D98" s="99" t="s">
        <v>183</v>
      </c>
      <c r="E98" s="96"/>
      <c r="F98" s="96" t="s">
        <v>94</v>
      </c>
      <c r="G98" s="98">
        <v>1</v>
      </c>
      <c r="H98" s="106">
        <v>5.48</v>
      </c>
      <c r="I98" s="106">
        <v>0</v>
      </c>
      <c r="J98" s="106">
        <v>0.31</v>
      </c>
      <c r="K98" s="107">
        <f t="shared" ref="K98:K101" si="75">H98-I98-J98</f>
        <v>5.1700000000000008</v>
      </c>
      <c r="L98" s="100">
        <v>1.6</v>
      </c>
      <c r="M98" s="100"/>
      <c r="N98" s="101">
        <v>46</v>
      </c>
      <c r="O98" s="109">
        <v>8.5</v>
      </c>
      <c r="P98" s="115"/>
      <c r="Q98" s="111">
        <f t="shared" ref="Q98:Q101" si="76">K98*IF(LEFT(F98,3)="10K",0.417*1.07,IF(LEFT(F98,3)="14K",0.585*1.05,IF(LEFT(F98,3)="18K",0.75*1.05,0)))</f>
        <v>3.1756725000000001</v>
      </c>
      <c r="R98" s="34"/>
      <c r="S98" s="34"/>
      <c r="T98" s="34"/>
      <c r="U98" s="34">
        <f t="shared" ref="U98:U101" si="77">G98*2.3</f>
        <v>2.2999999999999998</v>
      </c>
      <c r="V98" s="34"/>
      <c r="W98" s="34"/>
      <c r="X98" s="34"/>
      <c r="Y98" s="34">
        <f t="shared" si="74"/>
        <v>43.945000000000007</v>
      </c>
      <c r="Z98" s="27">
        <f t="shared" si="67"/>
        <v>10.340000000000002</v>
      </c>
      <c r="AA98" s="103">
        <f t="shared" si="68"/>
        <v>35.905000000000001</v>
      </c>
      <c r="AB98" s="103">
        <f t="shared" si="69"/>
        <v>231.82409250000001</v>
      </c>
      <c r="AC98" s="103">
        <f t="shared" si="70"/>
        <v>267.72909249999998</v>
      </c>
      <c r="AE98" s="27">
        <f t="shared" si="71"/>
        <v>43.945000000000007</v>
      </c>
      <c r="AG98" s="113">
        <f>$AG$14/31.1035*K98*IF(LEFT(F98,3)="10K",0.417*1.07,IF(LEFT(F98,3)="14K",0.585*1.05,IF(LEFT(F98,3)="18K",0.75*1.05,0)))</f>
        <v>300.87662963275841</v>
      </c>
    </row>
    <row r="99" spans="1:33" s="27" customFormat="1" ht="28">
      <c r="A99" s="97">
        <v>3</v>
      </c>
      <c r="B99" s="99" t="s">
        <v>184</v>
      </c>
      <c r="C99" s="99"/>
      <c r="D99" s="96" t="s">
        <v>115</v>
      </c>
      <c r="E99" s="96"/>
      <c r="F99" s="96" t="s">
        <v>94</v>
      </c>
      <c r="G99" s="98">
        <v>2</v>
      </c>
      <c r="H99" s="106">
        <v>11.43</v>
      </c>
      <c r="I99" s="106">
        <v>0</v>
      </c>
      <c r="J99" s="106">
        <v>0.64</v>
      </c>
      <c r="K99" s="107">
        <f t="shared" si="75"/>
        <v>10.79</v>
      </c>
      <c r="L99" s="100">
        <v>1.6</v>
      </c>
      <c r="M99" s="100"/>
      <c r="N99" s="101">
        <v>46</v>
      </c>
      <c r="O99" s="109">
        <v>8.5</v>
      </c>
      <c r="P99" s="115"/>
      <c r="Q99" s="111">
        <f t="shared" si="76"/>
        <v>6.6277574999999986</v>
      </c>
      <c r="R99" s="34"/>
      <c r="S99" s="34"/>
      <c r="T99" s="34"/>
      <c r="U99" s="34">
        <f t="shared" si="77"/>
        <v>4.5999999999999996</v>
      </c>
      <c r="V99" s="34"/>
      <c r="W99" s="34"/>
      <c r="X99" s="34"/>
      <c r="Y99" s="34">
        <f t="shared" si="74"/>
        <v>91.714999999999989</v>
      </c>
      <c r="Z99" s="27">
        <f t="shared" si="67"/>
        <v>21.58</v>
      </c>
      <c r="AA99" s="103">
        <f t="shared" si="68"/>
        <v>74.734999999999985</v>
      </c>
      <c r="AB99" s="103">
        <f t="shared" si="69"/>
        <v>483.8262974999999</v>
      </c>
      <c r="AC99" s="103">
        <f t="shared" si="70"/>
        <v>558.56129749999991</v>
      </c>
      <c r="AE99" s="27">
        <f t="shared" si="71"/>
        <v>91.714999999999989</v>
      </c>
      <c r="AG99" s="113">
        <f>$AG$14/31.1035*K99*IF(LEFT(F99,3)="10K",0.417*1.07,IF(LEFT(F99,3)="14K",0.585*1.05,IF(LEFT(F99,3)="18K",0.75*1.05,0)))</f>
        <v>627.94174733800048</v>
      </c>
    </row>
    <row r="100" spans="1:33" s="27" customFormat="1" ht="28">
      <c r="A100" s="97">
        <v>5</v>
      </c>
      <c r="B100" s="96" t="s">
        <v>185</v>
      </c>
      <c r="C100" s="96"/>
      <c r="D100" s="96" t="s">
        <v>186</v>
      </c>
      <c r="E100" s="96"/>
      <c r="F100" s="96" t="s">
        <v>77</v>
      </c>
      <c r="G100" s="98">
        <v>2</v>
      </c>
      <c r="H100" s="106">
        <v>38.15</v>
      </c>
      <c r="I100" s="106">
        <v>0</v>
      </c>
      <c r="J100" s="106">
        <v>1.34</v>
      </c>
      <c r="K100" s="107">
        <f t="shared" si="75"/>
        <v>36.809999999999995</v>
      </c>
      <c r="L100" s="100">
        <v>2.2999999999999998</v>
      </c>
      <c r="M100" s="100"/>
      <c r="N100" s="101">
        <v>141</v>
      </c>
      <c r="O100" s="109">
        <v>8.5</v>
      </c>
      <c r="P100" s="115"/>
      <c r="Q100" s="111">
        <f t="shared" si="76"/>
        <v>22.610542499999994</v>
      </c>
      <c r="R100" s="34"/>
      <c r="S100" s="34"/>
      <c r="T100" s="34"/>
      <c r="U100" s="34">
        <f>G100*4.6</f>
        <v>9.1999999999999993</v>
      </c>
      <c r="V100" s="34"/>
      <c r="W100" s="34"/>
      <c r="X100" s="34"/>
      <c r="Y100" s="34">
        <f t="shared" si="74"/>
        <v>312.88499999999993</v>
      </c>
      <c r="Z100" s="27">
        <f t="shared" si="67"/>
        <v>73.61999999999999</v>
      </c>
      <c r="AA100" s="103">
        <f t="shared" si="68"/>
        <v>248.46499999999992</v>
      </c>
      <c r="AB100" s="103">
        <f t="shared" si="69"/>
        <v>1650.5696024999995</v>
      </c>
      <c r="AC100" s="103">
        <f t="shared" si="70"/>
        <v>1899.0346024999994</v>
      </c>
      <c r="AE100" s="27">
        <f t="shared" si="71"/>
        <v>312.88499999999993</v>
      </c>
      <c r="AG100" s="113">
        <f>$AG$14/31.1035*K100*IF(LEFT(F100,3)="10K",0.417*1.07,IF(LEFT(F100,3)="14K",0.585*1.05,IF(LEFT(F100,3)="18K",0.75*1.05,0)))</f>
        <v>2142.2183243291747</v>
      </c>
    </row>
    <row r="101" spans="1:33" s="27" customFormat="1" ht="28.5" thickBot="1">
      <c r="A101" s="97">
        <v>6</v>
      </c>
      <c r="B101" s="99" t="s">
        <v>135</v>
      </c>
      <c r="C101" s="99"/>
      <c r="D101" s="96" t="s">
        <v>187</v>
      </c>
      <c r="E101" s="96"/>
      <c r="F101" s="96" t="s">
        <v>77</v>
      </c>
      <c r="G101" s="98">
        <v>3</v>
      </c>
      <c r="H101" s="106">
        <v>16.48</v>
      </c>
      <c r="I101" s="106">
        <v>0</v>
      </c>
      <c r="J101" s="106">
        <v>1.32</v>
      </c>
      <c r="K101" s="107">
        <f t="shared" si="75"/>
        <v>15.16</v>
      </c>
      <c r="L101" s="100" t="s">
        <v>137</v>
      </c>
      <c r="M101" s="100"/>
      <c r="N101" s="101" t="s">
        <v>138</v>
      </c>
      <c r="O101" s="109">
        <v>9</v>
      </c>
      <c r="P101" s="115"/>
      <c r="Q101" s="111">
        <f t="shared" si="76"/>
        <v>9.31203</v>
      </c>
      <c r="R101" s="34"/>
      <c r="S101" s="34"/>
      <c r="T101" s="34"/>
      <c r="U101" s="34">
        <f t="shared" si="77"/>
        <v>6.8999999999999995</v>
      </c>
      <c r="V101" s="34"/>
      <c r="W101" s="34"/>
      <c r="X101" s="34"/>
      <c r="Y101" s="34">
        <f t="shared" si="74"/>
        <v>136.44</v>
      </c>
      <c r="Z101" s="27">
        <f t="shared" si="67"/>
        <v>30.32</v>
      </c>
      <c r="AA101" s="103">
        <f t="shared" si="68"/>
        <v>113.02000000000001</v>
      </c>
      <c r="AB101" s="103">
        <f t="shared" si="69"/>
        <v>679.77819</v>
      </c>
      <c r="AC101" s="103">
        <f t="shared" si="70"/>
        <v>792.79818999999998</v>
      </c>
      <c r="AE101" s="27">
        <f t="shared" si="71"/>
        <v>136.44</v>
      </c>
      <c r="AG101" s="113">
        <f>$AG$14/31.1035*K101*IF(LEFT(F101,3)="10K",0.417*1.07,IF(LEFT(F101,3)="14K",0.585*1.05,IF(LEFT(F101,3)="18K",0.75*1.05,0)))</f>
        <v>882.2610648418987</v>
      </c>
    </row>
    <row r="102" spans="1:33" s="28" customFormat="1" ht="15.9" customHeight="1">
      <c r="A102" s="88" t="s">
        <v>71</v>
      </c>
      <c r="B102" s="65"/>
      <c r="C102" s="65"/>
      <c r="D102" s="65"/>
      <c r="E102" s="65"/>
      <c r="F102" s="65"/>
      <c r="G102" s="66">
        <f>SUM(G97:G101)</f>
        <v>11</v>
      </c>
      <c r="H102" s="108"/>
      <c r="I102" s="108"/>
      <c r="J102" s="108"/>
      <c r="K102" s="108">
        <f>SUM(K97:K101)</f>
        <v>82.829999999999984</v>
      </c>
      <c r="L102" s="67"/>
      <c r="M102" s="67"/>
      <c r="N102" s="67"/>
      <c r="O102" s="68"/>
      <c r="P102" s="116">
        <f t="shared" ref="P102:Y102" si="78">SUM(P97:P101)</f>
        <v>0</v>
      </c>
      <c r="Q102" s="112">
        <f t="shared" si="78"/>
        <v>50.87832749999999</v>
      </c>
      <c r="R102" s="69">
        <f t="shared" si="78"/>
        <v>0</v>
      </c>
      <c r="S102" s="69">
        <f t="shared" si="78"/>
        <v>0</v>
      </c>
      <c r="T102" s="69">
        <f t="shared" si="78"/>
        <v>0</v>
      </c>
      <c r="U102" s="69">
        <f t="shared" si="78"/>
        <v>29.9</v>
      </c>
      <c r="V102" s="69">
        <f t="shared" si="78"/>
        <v>0</v>
      </c>
      <c r="W102" s="69">
        <f t="shared" si="78"/>
        <v>0</v>
      </c>
      <c r="X102" s="69">
        <f t="shared" si="78"/>
        <v>0</v>
      </c>
      <c r="Y102" s="69">
        <f t="shared" si="78"/>
        <v>726.53499999999985</v>
      </c>
      <c r="Z102" s="27"/>
      <c r="AA102" s="103"/>
      <c r="AB102" s="103"/>
      <c r="AC102" s="103"/>
      <c r="AD102" s="104"/>
      <c r="AE102" s="27"/>
      <c r="AG102" s="114">
        <f>SUM(AG97:AG101)</f>
        <v>4820.4277045418512</v>
      </c>
    </row>
    <row r="103" spans="1:33" ht="15.9" customHeight="1">
      <c r="A103" s="51" t="s">
        <v>83</v>
      </c>
      <c r="K103" s="46"/>
      <c r="L103" s="46"/>
      <c r="M103" s="46"/>
      <c r="N103" s="46"/>
      <c r="X103" s="47"/>
      <c r="Z103" s="27"/>
      <c r="AA103" s="103"/>
      <c r="AB103" s="103"/>
      <c r="AC103" s="103"/>
      <c r="AE103" s="27"/>
      <c r="AF103" s="84" t="s">
        <v>188</v>
      </c>
      <c r="AG103" s="95">
        <v>3121.2</v>
      </c>
    </row>
    <row r="104" spans="1:33" s="94" customFormat="1" ht="28">
      <c r="A104" s="89" t="s">
        <v>4</v>
      </c>
      <c r="B104" s="90" t="s">
        <v>5</v>
      </c>
      <c r="C104" s="90" t="s">
        <v>24</v>
      </c>
      <c r="D104" s="90" t="s">
        <v>46</v>
      </c>
      <c r="E104" s="90" t="s">
        <v>47</v>
      </c>
      <c r="F104" s="90" t="s">
        <v>6</v>
      </c>
      <c r="G104" s="90" t="s">
        <v>7</v>
      </c>
      <c r="H104" s="91" t="s">
        <v>8</v>
      </c>
      <c r="I104" s="91" t="s">
        <v>48</v>
      </c>
      <c r="J104" s="91" t="s">
        <v>9</v>
      </c>
      <c r="K104" s="92" t="s">
        <v>14</v>
      </c>
      <c r="L104" s="92" t="s">
        <v>20</v>
      </c>
      <c r="M104" s="92" t="s">
        <v>23</v>
      </c>
      <c r="N104" s="92" t="s">
        <v>21</v>
      </c>
      <c r="O104" s="93" t="s">
        <v>10</v>
      </c>
      <c r="P104" s="93" t="s">
        <v>50</v>
      </c>
      <c r="Q104" s="110" t="s">
        <v>63</v>
      </c>
      <c r="R104" s="43" t="s">
        <v>51</v>
      </c>
      <c r="S104" s="43" t="s">
        <v>55</v>
      </c>
      <c r="T104" s="43" t="s">
        <v>70</v>
      </c>
      <c r="U104" s="43" t="s">
        <v>13</v>
      </c>
      <c r="V104" s="43" t="s">
        <v>53</v>
      </c>
      <c r="W104" s="43" t="s">
        <v>49</v>
      </c>
      <c r="X104" s="43" t="s">
        <v>15</v>
      </c>
      <c r="Y104" s="48" t="s">
        <v>12</v>
      </c>
      <c r="Z104" s="27"/>
      <c r="AA104" s="103"/>
      <c r="AB104" s="103"/>
      <c r="AC104" s="103"/>
      <c r="AE104" s="27"/>
      <c r="AG104" s="48" t="s">
        <v>22</v>
      </c>
    </row>
    <row r="105" spans="1:33" s="27" customFormat="1" ht="28">
      <c r="A105" s="97" t="s">
        <v>189</v>
      </c>
      <c r="B105" s="96" t="s">
        <v>190</v>
      </c>
      <c r="C105" s="96"/>
      <c r="D105" s="96" t="s">
        <v>191</v>
      </c>
      <c r="E105" s="96"/>
      <c r="F105" s="96" t="s">
        <v>77</v>
      </c>
      <c r="G105" s="98">
        <v>3</v>
      </c>
      <c r="H105" s="106">
        <v>49.53</v>
      </c>
      <c r="I105" s="106">
        <v>0</v>
      </c>
      <c r="J105" s="106">
        <v>6.48</v>
      </c>
      <c r="K105" s="107">
        <f>H105-I105-J105</f>
        <v>43.05</v>
      </c>
      <c r="L105" s="100" t="s">
        <v>192</v>
      </c>
      <c r="M105" s="100"/>
      <c r="N105" s="101" t="s">
        <v>193</v>
      </c>
      <c r="O105" s="109">
        <v>8.5</v>
      </c>
      <c r="P105" s="115"/>
      <c r="Q105" s="111">
        <f>K105*IF(LEFT(F105,3)="10K",0.417*1.07,IF(LEFT(F105,3)="14K",0.585*1.05,IF(LEFT(F105,3)="18K",0.75*1.05,0)))</f>
        <v>26.443462499999995</v>
      </c>
      <c r="R105" s="34"/>
      <c r="S105" s="34"/>
      <c r="T105" s="34"/>
      <c r="U105" s="34">
        <f>G105*5.75</f>
        <v>17.25</v>
      </c>
      <c r="V105" s="34"/>
      <c r="W105" s="34"/>
      <c r="X105" s="34"/>
      <c r="Y105" s="34">
        <f t="shared" ref="Y105:Y130" si="79">K105*O105</f>
        <v>365.92499999999995</v>
      </c>
      <c r="Z105" s="27">
        <f t="shared" si="67"/>
        <v>86.1</v>
      </c>
      <c r="AA105" s="103">
        <f t="shared" si="68"/>
        <v>297.07499999999993</v>
      </c>
      <c r="AB105" s="103">
        <f t="shared" si="69"/>
        <v>1930.3727624999997</v>
      </c>
      <c r="AC105" s="103">
        <f t="shared" si="70"/>
        <v>2227.4477624999995</v>
      </c>
      <c r="AE105" s="27">
        <f t="shared" si="71"/>
        <v>365.92499999999995</v>
      </c>
      <c r="AG105" s="113">
        <f t="shared" ref="AG105:AG118" si="80">$AG$14/31.1035*K105*IF(LEFT(F105,3)="10K",0.417*1.07,IF(LEFT(F105,3)="14K",0.585*1.05,IF(LEFT(F105,3)="18K",0.75*1.05,0)))</f>
        <v>2505.3653589342834</v>
      </c>
    </row>
    <row r="106" spans="1:33" s="27" customFormat="1" ht="28">
      <c r="A106" s="97">
        <v>2</v>
      </c>
      <c r="B106" s="99" t="s">
        <v>194</v>
      </c>
      <c r="C106" s="99"/>
      <c r="D106" s="99" t="s">
        <v>195</v>
      </c>
      <c r="E106" s="96"/>
      <c r="F106" s="96" t="s">
        <v>94</v>
      </c>
      <c r="G106" s="98">
        <v>3</v>
      </c>
      <c r="H106" s="106">
        <v>20.7</v>
      </c>
      <c r="I106" s="106">
        <v>0</v>
      </c>
      <c r="J106" s="106">
        <v>0</v>
      </c>
      <c r="K106" s="107">
        <f t="shared" ref="K106:K130" si="81">H106-I106-J106</f>
        <v>20.7</v>
      </c>
      <c r="L106" s="100">
        <v>1.6</v>
      </c>
      <c r="M106" s="100"/>
      <c r="N106" s="101">
        <v>75</v>
      </c>
      <c r="O106" s="109">
        <v>9</v>
      </c>
      <c r="P106" s="115"/>
      <c r="Q106" s="111">
        <f t="shared" ref="Q106:Q130" si="82">K106*IF(LEFT(F106,3)="10K",0.417*1.07,IF(LEFT(F106,3)="14K",0.585*1.05,IF(LEFT(F106,3)="18K",0.75*1.05,0)))</f>
        <v>12.714974999999999</v>
      </c>
      <c r="R106" s="34"/>
      <c r="S106" s="34"/>
      <c r="T106" s="34"/>
      <c r="U106" s="34"/>
      <c r="V106" s="34"/>
      <c r="W106" s="34"/>
      <c r="X106" s="34"/>
      <c r="Y106" s="34">
        <f t="shared" si="79"/>
        <v>186.29999999999998</v>
      </c>
      <c r="Z106" s="27">
        <f t="shared" si="67"/>
        <v>41.4</v>
      </c>
      <c r="AA106" s="103">
        <f t="shared" si="68"/>
        <v>144.89999999999998</v>
      </c>
      <c r="AB106" s="103">
        <f t="shared" si="69"/>
        <v>928.19317499999988</v>
      </c>
      <c r="AC106" s="103">
        <f t="shared" si="70"/>
        <v>1073.093175</v>
      </c>
      <c r="AE106" s="27">
        <f t="shared" si="71"/>
        <v>186.29999999999998</v>
      </c>
      <c r="AG106" s="113">
        <f t="shared" si="80"/>
        <v>1204.6704513342547</v>
      </c>
    </row>
    <row r="107" spans="1:33" s="27" customFormat="1" ht="112">
      <c r="A107" s="97">
        <v>3</v>
      </c>
      <c r="B107" s="99" t="s">
        <v>196</v>
      </c>
      <c r="C107" s="99"/>
      <c r="D107" s="96" t="s">
        <v>197</v>
      </c>
      <c r="E107" s="96"/>
      <c r="F107" s="96" t="s">
        <v>94</v>
      </c>
      <c r="G107" s="98">
        <v>1</v>
      </c>
      <c r="H107" s="106">
        <v>8.4</v>
      </c>
      <c r="I107" s="106">
        <v>0</v>
      </c>
      <c r="J107" s="106">
        <v>0.28000000000000003</v>
      </c>
      <c r="K107" s="107">
        <f t="shared" si="81"/>
        <v>8.120000000000001</v>
      </c>
      <c r="L107" s="100" t="s">
        <v>162</v>
      </c>
      <c r="M107" s="100"/>
      <c r="N107" s="101" t="s">
        <v>163</v>
      </c>
      <c r="O107" s="109">
        <v>8.5</v>
      </c>
      <c r="P107" s="115"/>
      <c r="Q107" s="111">
        <f t="shared" si="82"/>
        <v>4.9877099999999999</v>
      </c>
      <c r="R107" s="34"/>
      <c r="S107" s="34"/>
      <c r="T107" s="34"/>
      <c r="U107" s="34">
        <f>G107*2.3</f>
        <v>2.2999999999999998</v>
      </c>
      <c r="V107" s="34"/>
      <c r="W107" s="34"/>
      <c r="X107" s="34"/>
      <c r="Y107" s="34">
        <f t="shared" si="79"/>
        <v>69.02000000000001</v>
      </c>
      <c r="Z107" s="27">
        <f t="shared" si="67"/>
        <v>16.240000000000002</v>
      </c>
      <c r="AA107" s="103">
        <f t="shared" si="68"/>
        <v>55.080000000000005</v>
      </c>
      <c r="AB107" s="103">
        <f t="shared" si="69"/>
        <v>364.10282999999998</v>
      </c>
      <c r="AC107" s="103">
        <f t="shared" si="70"/>
        <v>419.18282999999997</v>
      </c>
      <c r="AE107" s="27">
        <f t="shared" si="71"/>
        <v>69.02000000000001</v>
      </c>
      <c r="AG107" s="113">
        <f t="shared" si="80"/>
        <v>472.55671810793001</v>
      </c>
    </row>
    <row r="108" spans="1:33" s="27" customFormat="1" ht="112">
      <c r="A108" s="97">
        <v>4</v>
      </c>
      <c r="B108" s="96" t="s">
        <v>198</v>
      </c>
      <c r="C108" s="96"/>
      <c r="D108" s="96" t="s">
        <v>115</v>
      </c>
      <c r="E108" s="96"/>
      <c r="F108" s="96" t="s">
        <v>94</v>
      </c>
      <c r="G108" s="98">
        <v>2</v>
      </c>
      <c r="H108" s="106">
        <v>17.34</v>
      </c>
      <c r="I108" s="106">
        <v>0</v>
      </c>
      <c r="J108" s="106">
        <v>0.64</v>
      </c>
      <c r="K108" s="107">
        <f t="shared" si="81"/>
        <v>16.7</v>
      </c>
      <c r="L108" s="100" t="s">
        <v>162</v>
      </c>
      <c r="M108" s="100"/>
      <c r="N108" s="101" t="s">
        <v>163</v>
      </c>
      <c r="O108" s="109">
        <v>8.5</v>
      </c>
      <c r="P108" s="115"/>
      <c r="Q108" s="111">
        <f t="shared" si="82"/>
        <v>10.257974999999998</v>
      </c>
      <c r="R108" s="34"/>
      <c r="S108" s="34"/>
      <c r="T108" s="34"/>
      <c r="U108" s="34">
        <f>G108*2.3</f>
        <v>4.5999999999999996</v>
      </c>
      <c r="V108" s="34"/>
      <c r="W108" s="34"/>
      <c r="X108" s="34"/>
      <c r="Y108" s="34">
        <f t="shared" si="79"/>
        <v>141.94999999999999</v>
      </c>
      <c r="Z108" s="27">
        <f t="shared" si="67"/>
        <v>33.4</v>
      </c>
      <c r="AA108" s="103">
        <f t="shared" si="68"/>
        <v>113.14999999999998</v>
      </c>
      <c r="AB108" s="103">
        <f t="shared" si="69"/>
        <v>748.83217499999989</v>
      </c>
      <c r="AC108" s="103">
        <f t="shared" si="70"/>
        <v>861.98217499999987</v>
      </c>
      <c r="AE108" s="27">
        <f t="shared" si="71"/>
        <v>141.94999999999999</v>
      </c>
      <c r="AG108" s="113">
        <f t="shared" si="80"/>
        <v>971.88389068995434</v>
      </c>
    </row>
    <row r="109" spans="1:33" s="27" customFormat="1" ht="28">
      <c r="A109" s="97">
        <v>5</v>
      </c>
      <c r="B109" s="99" t="s">
        <v>199</v>
      </c>
      <c r="C109" s="99"/>
      <c r="D109" s="96" t="s">
        <v>200</v>
      </c>
      <c r="E109" s="96"/>
      <c r="F109" s="96" t="s">
        <v>82</v>
      </c>
      <c r="G109" s="98">
        <v>3</v>
      </c>
      <c r="H109" s="106">
        <v>26.31</v>
      </c>
      <c r="I109" s="106">
        <v>0</v>
      </c>
      <c r="J109" s="106">
        <v>3.06</v>
      </c>
      <c r="K109" s="107">
        <f t="shared" si="81"/>
        <v>23.25</v>
      </c>
      <c r="L109" s="100" t="s">
        <v>201</v>
      </c>
      <c r="M109" s="100"/>
      <c r="N109" s="101" t="s">
        <v>202</v>
      </c>
      <c r="O109" s="109">
        <v>8.5</v>
      </c>
      <c r="P109" s="115"/>
      <c r="Q109" s="111">
        <f t="shared" si="82"/>
        <v>14.281312499999999</v>
      </c>
      <c r="R109" s="34"/>
      <c r="S109" s="34"/>
      <c r="T109" s="34"/>
      <c r="U109" s="34">
        <f>G109*2.3</f>
        <v>6.8999999999999995</v>
      </c>
      <c r="V109" s="34"/>
      <c r="W109" s="34"/>
      <c r="X109" s="34"/>
      <c r="Y109" s="34">
        <f t="shared" si="79"/>
        <v>197.625</v>
      </c>
      <c r="Z109" s="27">
        <f t="shared" si="67"/>
        <v>46.5</v>
      </c>
      <c r="AA109" s="103">
        <f t="shared" si="68"/>
        <v>158.02500000000001</v>
      </c>
      <c r="AB109" s="103">
        <f t="shared" si="69"/>
        <v>1042.5358124999998</v>
      </c>
      <c r="AC109" s="103">
        <f t="shared" si="70"/>
        <v>1200.5608124999999</v>
      </c>
      <c r="AE109" s="27">
        <f t="shared" si="71"/>
        <v>197.625</v>
      </c>
      <c r="AG109" s="113">
        <f t="shared" si="80"/>
        <v>1353.0718837449965</v>
      </c>
    </row>
    <row r="110" spans="1:33" s="27" customFormat="1" ht="28">
      <c r="A110" s="97">
        <v>6</v>
      </c>
      <c r="B110" s="99" t="s">
        <v>203</v>
      </c>
      <c r="C110" s="99"/>
      <c r="D110" s="96" t="s">
        <v>204</v>
      </c>
      <c r="E110" s="96"/>
      <c r="F110" s="96" t="s">
        <v>82</v>
      </c>
      <c r="G110" s="98">
        <v>3</v>
      </c>
      <c r="H110" s="106">
        <v>13.76</v>
      </c>
      <c r="I110" s="106">
        <v>0</v>
      </c>
      <c r="J110" s="106">
        <v>0.96</v>
      </c>
      <c r="K110" s="107">
        <f t="shared" si="81"/>
        <v>12.8</v>
      </c>
      <c r="L110" s="100" t="s">
        <v>205</v>
      </c>
      <c r="M110" s="100"/>
      <c r="N110" s="101" t="s">
        <v>166</v>
      </c>
      <c r="O110" s="109">
        <v>9.5</v>
      </c>
      <c r="P110" s="115"/>
      <c r="Q110" s="111">
        <f t="shared" si="82"/>
        <v>7.8624000000000001</v>
      </c>
      <c r="R110" s="34"/>
      <c r="S110" s="34"/>
      <c r="T110" s="34"/>
      <c r="U110" s="34">
        <f t="shared" ref="U110:U114" si="83">G110*2.3</f>
        <v>6.8999999999999995</v>
      </c>
      <c r="V110" s="34"/>
      <c r="W110" s="34"/>
      <c r="X110" s="34"/>
      <c r="Y110" s="34">
        <f t="shared" si="79"/>
        <v>121.60000000000001</v>
      </c>
      <c r="Z110" s="27">
        <f t="shared" si="67"/>
        <v>25.6</v>
      </c>
      <c r="AA110" s="103">
        <f t="shared" si="68"/>
        <v>102.9</v>
      </c>
      <c r="AB110" s="103">
        <f t="shared" si="69"/>
        <v>573.95519999999999</v>
      </c>
      <c r="AC110" s="103">
        <f t="shared" si="70"/>
        <v>676.85519999999997</v>
      </c>
      <c r="AE110" s="27">
        <f t="shared" si="71"/>
        <v>121.60000000000001</v>
      </c>
      <c r="AG110" s="113">
        <f t="shared" si="80"/>
        <v>744.91699406176144</v>
      </c>
    </row>
    <row r="111" spans="1:33" s="27" customFormat="1" ht="28">
      <c r="A111" s="97">
        <v>7</v>
      </c>
      <c r="B111" s="99" t="s">
        <v>206</v>
      </c>
      <c r="C111" s="96"/>
      <c r="D111" s="96" t="s">
        <v>207</v>
      </c>
      <c r="E111" s="96"/>
      <c r="F111" s="96" t="s">
        <v>77</v>
      </c>
      <c r="G111" s="98">
        <v>3</v>
      </c>
      <c r="H111" s="106">
        <v>13.67</v>
      </c>
      <c r="I111" s="106">
        <v>0</v>
      </c>
      <c r="J111" s="106">
        <v>0.96</v>
      </c>
      <c r="K111" s="107">
        <f t="shared" si="81"/>
        <v>12.71</v>
      </c>
      <c r="L111" s="156" t="s">
        <v>208</v>
      </c>
      <c r="M111" s="100"/>
      <c r="N111" s="101" t="s">
        <v>209</v>
      </c>
      <c r="O111" s="109">
        <v>9.5</v>
      </c>
      <c r="P111" s="115"/>
      <c r="Q111" s="111">
        <f t="shared" si="82"/>
        <v>7.8071175000000004</v>
      </c>
      <c r="R111" s="34"/>
      <c r="S111" s="34"/>
      <c r="T111" s="34"/>
      <c r="U111" s="34">
        <f t="shared" si="83"/>
        <v>6.8999999999999995</v>
      </c>
      <c r="V111" s="34"/>
      <c r="W111" s="34"/>
      <c r="X111" s="34"/>
      <c r="Y111" s="34">
        <f t="shared" si="79"/>
        <v>120.745</v>
      </c>
      <c r="Z111" s="27">
        <f t="shared" si="67"/>
        <v>25.42</v>
      </c>
      <c r="AA111" s="103">
        <f t="shared" si="68"/>
        <v>102.22500000000001</v>
      </c>
      <c r="AB111" s="103">
        <f t="shared" si="69"/>
        <v>569.91957750000006</v>
      </c>
      <c r="AC111" s="103">
        <f t="shared" si="70"/>
        <v>672.14457750000008</v>
      </c>
      <c r="AE111" s="27">
        <f t="shared" si="71"/>
        <v>120.745</v>
      </c>
      <c r="AG111" s="113">
        <f t="shared" si="80"/>
        <v>739.67929644726473</v>
      </c>
    </row>
    <row r="112" spans="1:33" s="27" customFormat="1" ht="28">
      <c r="A112" s="97">
        <v>8</v>
      </c>
      <c r="B112" s="99" t="s">
        <v>210</v>
      </c>
      <c r="C112" s="96"/>
      <c r="D112" s="96" t="s">
        <v>211</v>
      </c>
      <c r="E112" s="96"/>
      <c r="F112" s="96" t="s">
        <v>94</v>
      </c>
      <c r="G112" s="98">
        <v>2</v>
      </c>
      <c r="H112" s="106">
        <v>16.79</v>
      </c>
      <c r="I112" s="106">
        <v>0</v>
      </c>
      <c r="J112" s="106">
        <v>0.64</v>
      </c>
      <c r="K112" s="107">
        <f t="shared" si="81"/>
        <v>16.149999999999999</v>
      </c>
      <c r="L112" s="156">
        <v>2.35</v>
      </c>
      <c r="M112" s="100"/>
      <c r="N112" s="101">
        <v>63</v>
      </c>
      <c r="O112" s="109">
        <v>8.5</v>
      </c>
      <c r="P112" s="115"/>
      <c r="Q112" s="111">
        <f t="shared" si="82"/>
        <v>9.9201374999999992</v>
      </c>
      <c r="R112" s="34"/>
      <c r="S112" s="34"/>
      <c r="T112" s="34"/>
      <c r="U112" s="34">
        <f t="shared" si="83"/>
        <v>4.5999999999999996</v>
      </c>
      <c r="V112" s="34"/>
      <c r="W112" s="34"/>
      <c r="X112" s="34"/>
      <c r="Y112" s="34">
        <f t="shared" si="79"/>
        <v>137.27499999999998</v>
      </c>
      <c r="Z112" s="27">
        <f t="shared" si="67"/>
        <v>32.299999999999997</v>
      </c>
      <c r="AA112" s="103">
        <f t="shared" si="68"/>
        <v>109.57499999999997</v>
      </c>
      <c r="AB112" s="103">
        <f t="shared" si="69"/>
        <v>724.17003749999992</v>
      </c>
      <c r="AC112" s="103">
        <f t="shared" si="70"/>
        <v>833.74503749999985</v>
      </c>
      <c r="AE112" s="27">
        <f t="shared" si="71"/>
        <v>137.27499999999998</v>
      </c>
      <c r="AG112" s="113">
        <f t="shared" si="80"/>
        <v>939.87573860136308</v>
      </c>
    </row>
    <row r="113" spans="1:33" s="27" customFormat="1" ht="28">
      <c r="A113" s="97">
        <v>8</v>
      </c>
      <c r="B113" s="99" t="s">
        <v>210</v>
      </c>
      <c r="C113" s="96"/>
      <c r="D113" s="96" t="s">
        <v>212</v>
      </c>
      <c r="E113" s="96"/>
      <c r="F113" s="96" t="s">
        <v>77</v>
      </c>
      <c r="G113" s="98">
        <v>1</v>
      </c>
      <c r="H113" s="106">
        <v>8.1199999999999992</v>
      </c>
      <c r="I113" s="106">
        <v>0</v>
      </c>
      <c r="J113" s="106">
        <v>0.32</v>
      </c>
      <c r="K113" s="107">
        <f t="shared" si="81"/>
        <v>7.7999999999999989</v>
      </c>
      <c r="L113" s="156">
        <v>2.35</v>
      </c>
      <c r="M113" s="100"/>
      <c r="N113" s="101">
        <v>63</v>
      </c>
      <c r="O113" s="109">
        <v>8.5</v>
      </c>
      <c r="P113" s="115"/>
      <c r="Q113" s="111">
        <f t="shared" si="82"/>
        <v>4.7911499999999991</v>
      </c>
      <c r="R113" s="34"/>
      <c r="S113" s="34"/>
      <c r="T113" s="34"/>
      <c r="U113" s="34">
        <f t="shared" si="83"/>
        <v>2.2999999999999998</v>
      </c>
      <c r="V113" s="34"/>
      <c r="W113" s="34"/>
      <c r="X113" s="34"/>
      <c r="Y113" s="34">
        <f t="shared" si="79"/>
        <v>66.3</v>
      </c>
      <c r="Z113" s="27">
        <f t="shared" si="67"/>
        <v>15.599999999999998</v>
      </c>
      <c r="AA113" s="103">
        <f t="shared" si="68"/>
        <v>53</v>
      </c>
      <c r="AB113" s="103">
        <f t="shared" si="69"/>
        <v>349.75394999999992</v>
      </c>
      <c r="AC113" s="103">
        <f t="shared" si="70"/>
        <v>402.75394999999992</v>
      </c>
      <c r="AE113" s="27">
        <f t="shared" si="71"/>
        <v>66.3</v>
      </c>
      <c r="AG113" s="113">
        <f t="shared" si="80"/>
        <v>453.93379325638585</v>
      </c>
    </row>
    <row r="114" spans="1:33" s="27" customFormat="1" ht="28">
      <c r="A114" s="97">
        <v>9</v>
      </c>
      <c r="B114" s="99" t="s">
        <v>167</v>
      </c>
      <c r="C114" s="96"/>
      <c r="D114" s="96" t="s">
        <v>213</v>
      </c>
      <c r="E114" s="96"/>
      <c r="F114" s="96" t="s">
        <v>82</v>
      </c>
      <c r="G114" s="98">
        <v>3</v>
      </c>
      <c r="H114" s="106">
        <v>19.329999999999998</v>
      </c>
      <c r="I114" s="106">
        <v>0</v>
      </c>
      <c r="J114" s="106">
        <v>1.44</v>
      </c>
      <c r="K114" s="107">
        <f t="shared" si="81"/>
        <v>17.889999999999997</v>
      </c>
      <c r="L114" s="156" t="s">
        <v>165</v>
      </c>
      <c r="M114" s="100"/>
      <c r="N114" s="101" t="s">
        <v>166</v>
      </c>
      <c r="O114" s="109">
        <v>9</v>
      </c>
      <c r="P114" s="115"/>
      <c r="Q114" s="111">
        <f t="shared" si="82"/>
        <v>10.988932499999997</v>
      </c>
      <c r="R114" s="34"/>
      <c r="S114" s="34"/>
      <c r="T114" s="34"/>
      <c r="U114" s="34">
        <f t="shared" si="83"/>
        <v>6.8999999999999995</v>
      </c>
      <c r="V114" s="34"/>
      <c r="W114" s="34"/>
      <c r="X114" s="34"/>
      <c r="Y114" s="34">
        <f t="shared" si="79"/>
        <v>161.00999999999996</v>
      </c>
      <c r="Z114" s="27">
        <f t="shared" si="67"/>
        <v>35.779999999999994</v>
      </c>
      <c r="AA114" s="103">
        <f t="shared" si="68"/>
        <v>132.12999999999997</v>
      </c>
      <c r="AB114" s="103">
        <f t="shared" si="69"/>
        <v>802.19207249999977</v>
      </c>
      <c r="AC114" s="103">
        <f t="shared" si="70"/>
        <v>934.32207249999976</v>
      </c>
      <c r="AE114" s="27">
        <f t="shared" si="71"/>
        <v>161.00999999999996</v>
      </c>
      <c r="AG114" s="113">
        <f t="shared" si="80"/>
        <v>1041.1378924816336</v>
      </c>
    </row>
    <row r="115" spans="1:33" s="27" customFormat="1" ht="28">
      <c r="A115" s="97">
        <v>10</v>
      </c>
      <c r="B115" s="99" t="s">
        <v>214</v>
      </c>
      <c r="C115" s="96"/>
      <c r="D115" s="96" t="s">
        <v>215</v>
      </c>
      <c r="E115" s="96"/>
      <c r="F115" s="96" t="s">
        <v>77</v>
      </c>
      <c r="G115" s="98">
        <v>3</v>
      </c>
      <c r="H115" s="106">
        <v>13.91</v>
      </c>
      <c r="I115" s="106">
        <v>0</v>
      </c>
      <c r="J115" s="106">
        <v>0</v>
      </c>
      <c r="K115" s="107">
        <f t="shared" si="81"/>
        <v>13.91</v>
      </c>
      <c r="L115" s="156" t="s">
        <v>216</v>
      </c>
      <c r="M115" s="100"/>
      <c r="N115" s="101" t="s">
        <v>217</v>
      </c>
      <c r="O115" s="109">
        <v>5.5</v>
      </c>
      <c r="P115" s="115"/>
      <c r="Q115" s="111">
        <f t="shared" si="82"/>
        <v>8.5442175000000002</v>
      </c>
      <c r="R115" s="34"/>
      <c r="S115" s="34"/>
      <c r="T115" s="34"/>
      <c r="U115" s="34"/>
      <c r="V115" s="34"/>
      <c r="W115" s="34"/>
      <c r="X115" s="34"/>
      <c r="Y115" s="34">
        <f t="shared" si="79"/>
        <v>76.504999999999995</v>
      </c>
      <c r="Z115" s="27">
        <f t="shared" si="67"/>
        <v>27.82</v>
      </c>
      <c r="AA115" s="103">
        <f t="shared" si="68"/>
        <v>48.684999999999995</v>
      </c>
      <c r="AB115" s="103">
        <f t="shared" si="69"/>
        <v>623.72787749999998</v>
      </c>
      <c r="AC115" s="103">
        <f t="shared" si="70"/>
        <v>672.41287749999992</v>
      </c>
      <c r="AE115" s="27">
        <f t="shared" si="71"/>
        <v>76.504999999999995</v>
      </c>
      <c r="AG115" s="113">
        <f t="shared" si="80"/>
        <v>809.51526464055485</v>
      </c>
    </row>
    <row r="116" spans="1:33" s="27" customFormat="1" ht="28">
      <c r="A116" s="97">
        <v>13</v>
      </c>
      <c r="B116" s="99" t="s">
        <v>218</v>
      </c>
      <c r="C116" s="96"/>
      <c r="D116" s="99" t="s">
        <v>219</v>
      </c>
      <c r="E116" s="96"/>
      <c r="F116" s="96" t="s">
        <v>77</v>
      </c>
      <c r="G116" s="98">
        <v>3</v>
      </c>
      <c r="H116" s="106">
        <v>16.7</v>
      </c>
      <c r="I116" s="106">
        <v>0</v>
      </c>
      <c r="J116" s="106">
        <v>0.96</v>
      </c>
      <c r="K116" s="107">
        <f t="shared" si="81"/>
        <v>15.739999999999998</v>
      </c>
      <c r="L116" s="156">
        <v>1.5</v>
      </c>
      <c r="M116" s="100"/>
      <c r="N116" s="101">
        <v>41</v>
      </c>
      <c r="O116" s="109">
        <v>8.5</v>
      </c>
      <c r="P116" s="115"/>
      <c r="Q116" s="111">
        <f t="shared" si="82"/>
        <v>9.6682949999999988</v>
      </c>
      <c r="R116" s="34"/>
      <c r="S116" s="34"/>
      <c r="T116" s="34"/>
      <c r="U116" s="34">
        <f>G116*2.3</f>
        <v>6.8999999999999995</v>
      </c>
      <c r="V116" s="34"/>
      <c r="W116" s="34"/>
      <c r="X116" s="34"/>
      <c r="Y116" s="34">
        <f t="shared" si="79"/>
        <v>133.79</v>
      </c>
      <c r="Z116" s="27">
        <f t="shared" si="67"/>
        <v>31.479999999999997</v>
      </c>
      <c r="AA116" s="103">
        <f t="shared" si="68"/>
        <v>109.21000000000001</v>
      </c>
      <c r="AB116" s="103">
        <f t="shared" si="69"/>
        <v>705.78553499999987</v>
      </c>
      <c r="AC116" s="103">
        <f t="shared" si="70"/>
        <v>814.9955349999999</v>
      </c>
      <c r="AE116" s="27">
        <f t="shared" si="71"/>
        <v>133.79</v>
      </c>
      <c r="AG116" s="113">
        <f t="shared" si="80"/>
        <v>916.01511613532227</v>
      </c>
    </row>
    <row r="117" spans="1:33" s="27" customFormat="1" ht="28">
      <c r="A117" s="97">
        <v>14</v>
      </c>
      <c r="B117" s="99" t="s">
        <v>220</v>
      </c>
      <c r="C117" s="96"/>
      <c r="D117" s="96" t="s">
        <v>221</v>
      </c>
      <c r="E117" s="96"/>
      <c r="F117" s="96" t="s">
        <v>77</v>
      </c>
      <c r="G117" s="98">
        <v>3</v>
      </c>
      <c r="H117" s="106">
        <v>18.68</v>
      </c>
      <c r="I117" s="106">
        <v>0</v>
      </c>
      <c r="J117" s="106">
        <v>0.96</v>
      </c>
      <c r="K117" s="107">
        <f t="shared" si="81"/>
        <v>17.72</v>
      </c>
      <c r="L117" s="100" t="s">
        <v>222</v>
      </c>
      <c r="M117" s="100"/>
      <c r="N117" s="101" t="s">
        <v>223</v>
      </c>
      <c r="O117" s="109">
        <v>8.5</v>
      </c>
      <c r="P117" s="115"/>
      <c r="Q117" s="111">
        <f t="shared" si="82"/>
        <v>10.884509999999999</v>
      </c>
      <c r="R117" s="34"/>
      <c r="S117" s="34"/>
      <c r="T117" s="34"/>
      <c r="U117" s="34">
        <f t="shared" ref="U117:U119" si="84">G117*2.3</f>
        <v>6.8999999999999995</v>
      </c>
      <c r="V117" s="34"/>
      <c r="W117" s="34"/>
      <c r="X117" s="34"/>
      <c r="Y117" s="34">
        <f t="shared" si="79"/>
        <v>150.62</v>
      </c>
      <c r="Z117" s="27">
        <f t="shared" si="67"/>
        <v>35.44</v>
      </c>
      <c r="AA117" s="103">
        <f t="shared" si="68"/>
        <v>122.08000000000001</v>
      </c>
      <c r="AB117" s="103">
        <f t="shared" si="69"/>
        <v>794.56922999999995</v>
      </c>
      <c r="AC117" s="103">
        <f t="shared" si="70"/>
        <v>916.64922999999999</v>
      </c>
      <c r="AE117" s="27">
        <f t="shared" si="71"/>
        <v>150.62</v>
      </c>
      <c r="AG117" s="113">
        <f t="shared" si="80"/>
        <v>1031.2444636542509</v>
      </c>
    </row>
    <row r="118" spans="1:33" s="27" customFormat="1" ht="28">
      <c r="A118" s="97">
        <v>15</v>
      </c>
      <c r="B118" s="99" t="s">
        <v>224</v>
      </c>
      <c r="C118" s="96"/>
      <c r="D118" s="96" t="s">
        <v>225</v>
      </c>
      <c r="E118" s="96"/>
      <c r="F118" s="96" t="s">
        <v>77</v>
      </c>
      <c r="G118" s="98">
        <v>3</v>
      </c>
      <c r="H118" s="106">
        <v>28.09</v>
      </c>
      <c r="I118" s="106">
        <v>0</v>
      </c>
      <c r="J118" s="106">
        <v>0.96</v>
      </c>
      <c r="K118" s="107">
        <f t="shared" si="81"/>
        <v>27.13</v>
      </c>
      <c r="L118" s="100" t="s">
        <v>226</v>
      </c>
      <c r="M118" s="100"/>
      <c r="N118" s="101" t="s">
        <v>227</v>
      </c>
      <c r="O118" s="109">
        <v>8.5</v>
      </c>
      <c r="P118" s="115"/>
      <c r="Q118" s="111">
        <f t="shared" si="82"/>
        <v>16.664602499999997</v>
      </c>
      <c r="R118" s="34"/>
      <c r="S118" s="34"/>
      <c r="T118" s="34"/>
      <c r="U118" s="34">
        <f t="shared" si="84"/>
        <v>6.8999999999999995</v>
      </c>
      <c r="V118" s="34"/>
      <c r="W118" s="34"/>
      <c r="X118" s="34"/>
      <c r="Y118" s="34">
        <f t="shared" si="79"/>
        <v>230.60499999999999</v>
      </c>
      <c r="Z118" s="27">
        <f t="shared" si="67"/>
        <v>54.26</v>
      </c>
      <c r="AA118" s="103">
        <f t="shared" si="68"/>
        <v>183.245</v>
      </c>
      <c r="AB118" s="103">
        <f t="shared" si="69"/>
        <v>1216.5159824999998</v>
      </c>
      <c r="AC118" s="103">
        <f t="shared" si="70"/>
        <v>1399.7609825</v>
      </c>
      <c r="AE118" s="27">
        <f t="shared" si="71"/>
        <v>230.60499999999999</v>
      </c>
      <c r="AG118" s="113">
        <f t="shared" si="80"/>
        <v>1578.8748475699676</v>
      </c>
    </row>
    <row r="119" spans="1:33" s="27" customFormat="1" ht="28">
      <c r="A119" s="97">
        <v>16</v>
      </c>
      <c r="B119" s="99" t="s">
        <v>228</v>
      </c>
      <c r="C119" s="99"/>
      <c r="D119" s="96" t="s">
        <v>229</v>
      </c>
      <c r="E119" s="96"/>
      <c r="F119" s="96" t="s">
        <v>82</v>
      </c>
      <c r="G119" s="98">
        <v>1</v>
      </c>
      <c r="H119" s="106">
        <v>5.04</v>
      </c>
      <c r="I119" s="106">
        <v>0</v>
      </c>
      <c r="J119" s="106">
        <v>0.44</v>
      </c>
      <c r="K119" s="107">
        <f t="shared" si="81"/>
        <v>4.5999999999999996</v>
      </c>
      <c r="L119" s="100">
        <v>2.2999999999999998</v>
      </c>
      <c r="M119" s="100"/>
      <c r="N119" s="101">
        <v>7</v>
      </c>
      <c r="O119" s="109">
        <v>9</v>
      </c>
      <c r="P119" s="115"/>
      <c r="Q119" s="111">
        <f t="shared" si="82"/>
        <v>2.8255499999999998</v>
      </c>
      <c r="R119" s="34"/>
      <c r="S119" s="34"/>
      <c r="T119" s="34"/>
      <c r="U119" s="34">
        <f t="shared" si="84"/>
        <v>2.2999999999999998</v>
      </c>
      <c r="V119" s="34"/>
      <c r="W119" s="34"/>
      <c r="X119" s="34"/>
      <c r="Y119" s="34">
        <f t="shared" si="79"/>
        <v>41.4</v>
      </c>
      <c r="Z119" s="27">
        <f t="shared" si="67"/>
        <v>9.1999999999999993</v>
      </c>
      <c r="AA119" s="103">
        <f t="shared" si="68"/>
        <v>34.5</v>
      </c>
      <c r="AB119" s="103">
        <f t="shared" si="69"/>
        <v>206.26514999999998</v>
      </c>
      <c r="AC119" s="103">
        <f t="shared" si="70"/>
        <v>240.76514999999998</v>
      </c>
      <c r="AE119" s="27">
        <f t="shared" si="71"/>
        <v>41.4</v>
      </c>
      <c r="AG119" s="113">
        <f t="shared" ref="AG119:AG128" si="85">$AG$14/31.1035*K119*IF(LEFT(F119,3)="10K",0.417*1.07,IF(LEFT(F119,3)="14K",0.585*1.05,IF(LEFT(F119,3)="18K",0.75*1.05,0)))</f>
        <v>267.70454474094549</v>
      </c>
    </row>
    <row r="120" spans="1:33" s="27" customFormat="1" ht="28">
      <c r="A120" s="97">
        <v>17</v>
      </c>
      <c r="B120" s="99" t="s">
        <v>230</v>
      </c>
      <c r="C120" s="99"/>
      <c r="D120" s="96" t="s">
        <v>170</v>
      </c>
      <c r="E120" s="96"/>
      <c r="F120" s="96" t="s">
        <v>82</v>
      </c>
      <c r="G120" s="98">
        <v>2</v>
      </c>
      <c r="H120" s="106">
        <v>10.8</v>
      </c>
      <c r="I120" s="106">
        <v>0</v>
      </c>
      <c r="J120" s="106">
        <v>0.96</v>
      </c>
      <c r="K120" s="107">
        <f t="shared" si="81"/>
        <v>9.84</v>
      </c>
      <c r="L120" s="100">
        <v>2.2999999999999998</v>
      </c>
      <c r="M120" s="100"/>
      <c r="N120" s="101">
        <v>7</v>
      </c>
      <c r="O120" s="109">
        <v>9</v>
      </c>
      <c r="P120" s="115"/>
      <c r="Q120" s="111">
        <f t="shared" si="82"/>
        <v>6.0442199999999993</v>
      </c>
      <c r="R120" s="34"/>
      <c r="S120" s="34"/>
      <c r="T120" s="34"/>
      <c r="U120" s="34">
        <f>G120*2.3</f>
        <v>4.5999999999999996</v>
      </c>
      <c r="V120" s="34"/>
      <c r="W120" s="34"/>
      <c r="X120" s="34"/>
      <c r="Y120" s="34">
        <f t="shared" si="79"/>
        <v>88.56</v>
      </c>
      <c r="Z120" s="27">
        <f t="shared" si="67"/>
        <v>19.68</v>
      </c>
      <c r="AA120" s="103">
        <f t="shared" si="68"/>
        <v>73.47999999999999</v>
      </c>
      <c r="AB120" s="103">
        <f t="shared" si="69"/>
        <v>441.22805999999997</v>
      </c>
      <c r="AC120" s="103">
        <f t="shared" si="70"/>
        <v>514.70805999999993</v>
      </c>
      <c r="AE120" s="27">
        <f t="shared" si="71"/>
        <v>88.56</v>
      </c>
      <c r="AG120" s="113">
        <f t="shared" si="85"/>
        <v>572.65493918497907</v>
      </c>
    </row>
    <row r="121" spans="1:33" s="27" customFormat="1" ht="28">
      <c r="A121" s="97">
        <v>18</v>
      </c>
      <c r="B121" s="99" t="s">
        <v>231</v>
      </c>
      <c r="C121" s="96"/>
      <c r="D121" s="96" t="s">
        <v>232</v>
      </c>
      <c r="E121" s="96"/>
      <c r="F121" s="96" t="s">
        <v>94</v>
      </c>
      <c r="G121" s="98">
        <v>1</v>
      </c>
      <c r="H121" s="106">
        <v>5.48</v>
      </c>
      <c r="I121" s="106">
        <v>0</v>
      </c>
      <c r="J121" s="106">
        <v>0.3</v>
      </c>
      <c r="K121" s="107">
        <f t="shared" si="81"/>
        <v>5.1800000000000006</v>
      </c>
      <c r="L121" s="156">
        <v>1.8</v>
      </c>
      <c r="M121" s="100"/>
      <c r="N121" s="101">
        <v>41</v>
      </c>
      <c r="O121" s="109">
        <v>8.5</v>
      </c>
      <c r="P121" s="115"/>
      <c r="Q121" s="111">
        <f t="shared" si="82"/>
        <v>3.1818150000000003</v>
      </c>
      <c r="R121" s="34"/>
      <c r="S121" s="34"/>
      <c r="T121" s="34"/>
      <c r="U121" s="34">
        <f t="shared" ref="U121:U125" si="86">G121*2.3</f>
        <v>2.2999999999999998</v>
      </c>
      <c r="V121" s="34"/>
      <c r="W121" s="34"/>
      <c r="X121" s="34"/>
      <c r="Y121" s="34">
        <f t="shared" si="79"/>
        <v>44.030000000000008</v>
      </c>
      <c r="Z121" s="27">
        <f t="shared" si="67"/>
        <v>10.360000000000001</v>
      </c>
      <c r="AA121" s="103">
        <f t="shared" si="68"/>
        <v>35.970000000000006</v>
      </c>
      <c r="AB121" s="103">
        <f t="shared" si="69"/>
        <v>232.27249500000002</v>
      </c>
      <c r="AC121" s="103">
        <f t="shared" si="70"/>
        <v>268.24249500000002</v>
      </c>
      <c r="AE121" s="27">
        <f t="shared" si="71"/>
        <v>44.030000000000008</v>
      </c>
      <c r="AG121" s="113">
        <f t="shared" si="85"/>
        <v>301.45859603436912</v>
      </c>
    </row>
    <row r="122" spans="1:33" s="27" customFormat="1" ht="28">
      <c r="A122" s="97">
        <v>18</v>
      </c>
      <c r="B122" s="99" t="s">
        <v>231</v>
      </c>
      <c r="C122" s="96"/>
      <c r="D122" s="96" t="s">
        <v>233</v>
      </c>
      <c r="E122" s="96"/>
      <c r="F122" s="96" t="s">
        <v>77</v>
      </c>
      <c r="G122" s="98">
        <v>1</v>
      </c>
      <c r="H122" s="106">
        <v>5.44</v>
      </c>
      <c r="I122" s="106">
        <v>0</v>
      </c>
      <c r="J122" s="106">
        <v>0.3</v>
      </c>
      <c r="K122" s="107">
        <f t="shared" si="81"/>
        <v>5.1400000000000006</v>
      </c>
      <c r="L122" s="156">
        <v>1.8</v>
      </c>
      <c r="M122" s="100"/>
      <c r="N122" s="101">
        <v>41</v>
      </c>
      <c r="O122" s="109">
        <v>8.5</v>
      </c>
      <c r="P122" s="115"/>
      <c r="Q122" s="111">
        <f t="shared" si="82"/>
        <v>3.1572450000000001</v>
      </c>
      <c r="R122" s="34"/>
      <c r="S122" s="34"/>
      <c r="T122" s="34"/>
      <c r="U122" s="34">
        <f t="shared" si="86"/>
        <v>2.2999999999999998</v>
      </c>
      <c r="V122" s="34"/>
      <c r="W122" s="34"/>
      <c r="X122" s="34"/>
      <c r="Y122" s="34">
        <f t="shared" si="79"/>
        <v>43.690000000000005</v>
      </c>
      <c r="Z122" s="27">
        <f t="shared" si="67"/>
        <v>10.280000000000001</v>
      </c>
      <c r="AA122" s="103">
        <f t="shared" si="68"/>
        <v>35.71</v>
      </c>
      <c r="AB122" s="103">
        <f t="shared" si="69"/>
        <v>230.47888500000002</v>
      </c>
      <c r="AC122" s="103">
        <f t="shared" si="70"/>
        <v>266.18888500000003</v>
      </c>
      <c r="AE122" s="27">
        <f t="shared" si="71"/>
        <v>43.690000000000005</v>
      </c>
      <c r="AG122" s="113">
        <f t="shared" si="85"/>
        <v>299.1307304279261</v>
      </c>
    </row>
    <row r="123" spans="1:33" s="27" customFormat="1" ht="28">
      <c r="A123" s="97">
        <v>19</v>
      </c>
      <c r="B123" s="99" t="s">
        <v>234</v>
      </c>
      <c r="C123" s="96"/>
      <c r="D123" s="96" t="s">
        <v>235</v>
      </c>
      <c r="E123" s="96"/>
      <c r="F123" s="96" t="s">
        <v>77</v>
      </c>
      <c r="G123" s="98">
        <v>1</v>
      </c>
      <c r="H123" s="106">
        <v>6.74</v>
      </c>
      <c r="I123" s="106">
        <v>0</v>
      </c>
      <c r="J123" s="106">
        <v>0.38</v>
      </c>
      <c r="K123" s="107">
        <f t="shared" si="81"/>
        <v>6.36</v>
      </c>
      <c r="L123" s="156">
        <v>1.8</v>
      </c>
      <c r="M123" s="100"/>
      <c r="N123" s="101">
        <v>41</v>
      </c>
      <c r="O123" s="109">
        <v>8.5</v>
      </c>
      <c r="P123" s="115"/>
      <c r="Q123" s="111">
        <f t="shared" si="82"/>
        <v>3.9066299999999998</v>
      </c>
      <c r="R123" s="34"/>
      <c r="S123" s="34"/>
      <c r="T123" s="34"/>
      <c r="U123" s="34">
        <f t="shared" si="86"/>
        <v>2.2999999999999998</v>
      </c>
      <c r="V123" s="34"/>
      <c r="W123" s="34"/>
      <c r="X123" s="34"/>
      <c r="Y123" s="34">
        <f t="shared" si="79"/>
        <v>54.06</v>
      </c>
      <c r="Z123" s="27">
        <f t="shared" si="67"/>
        <v>12.72</v>
      </c>
      <c r="AA123" s="103">
        <f t="shared" si="68"/>
        <v>43.64</v>
      </c>
      <c r="AB123" s="103">
        <f t="shared" si="69"/>
        <v>285.18398999999999</v>
      </c>
      <c r="AC123" s="103">
        <f t="shared" si="70"/>
        <v>328.82398999999998</v>
      </c>
      <c r="AE123" s="27">
        <f t="shared" si="71"/>
        <v>54.06</v>
      </c>
      <c r="AG123" s="113">
        <f t="shared" si="85"/>
        <v>370.13063142443775</v>
      </c>
    </row>
    <row r="124" spans="1:33" s="27" customFormat="1" ht="28">
      <c r="A124" s="97">
        <v>20</v>
      </c>
      <c r="B124" s="99" t="s">
        <v>236</v>
      </c>
      <c r="C124" s="96"/>
      <c r="D124" s="96" t="s">
        <v>237</v>
      </c>
      <c r="E124" s="96"/>
      <c r="F124" s="96" t="s">
        <v>82</v>
      </c>
      <c r="G124" s="98">
        <v>3</v>
      </c>
      <c r="H124" s="106">
        <v>20.97</v>
      </c>
      <c r="I124" s="106">
        <v>0</v>
      </c>
      <c r="J124" s="106">
        <v>0.96</v>
      </c>
      <c r="K124" s="107">
        <f t="shared" si="81"/>
        <v>20.009999999999998</v>
      </c>
      <c r="L124" s="156">
        <v>2.1</v>
      </c>
      <c r="M124" s="100"/>
      <c r="N124" s="101">
        <v>37</v>
      </c>
      <c r="O124" s="109">
        <v>8.5</v>
      </c>
      <c r="P124" s="115"/>
      <c r="Q124" s="111">
        <f t="shared" si="82"/>
        <v>12.291142499999998</v>
      </c>
      <c r="R124" s="34"/>
      <c r="S124" s="34"/>
      <c r="T124" s="34"/>
      <c r="U124" s="34">
        <f t="shared" si="86"/>
        <v>6.8999999999999995</v>
      </c>
      <c r="V124" s="34"/>
      <c r="W124" s="34"/>
      <c r="X124" s="34"/>
      <c r="Y124" s="34">
        <f t="shared" si="79"/>
        <v>170.08499999999998</v>
      </c>
      <c r="Z124" s="27">
        <f t="shared" si="67"/>
        <v>40.019999999999996</v>
      </c>
      <c r="AA124" s="103">
        <f t="shared" si="68"/>
        <v>136.96499999999997</v>
      </c>
      <c r="AB124" s="103">
        <f t="shared" si="69"/>
        <v>897.25340249999988</v>
      </c>
      <c r="AC124" s="103">
        <f t="shared" si="70"/>
        <v>1034.2184024999999</v>
      </c>
      <c r="AE124" s="27">
        <f t="shared" si="71"/>
        <v>170.08499999999998</v>
      </c>
      <c r="AG124" s="113">
        <f t="shared" si="85"/>
        <v>1164.5147696231129</v>
      </c>
    </row>
    <row r="125" spans="1:33" s="27" customFormat="1" ht="28">
      <c r="A125" s="97">
        <v>21</v>
      </c>
      <c r="B125" s="99" t="s">
        <v>238</v>
      </c>
      <c r="C125" s="96"/>
      <c r="D125" s="96" t="s">
        <v>239</v>
      </c>
      <c r="E125" s="96"/>
      <c r="F125" s="96" t="s">
        <v>82</v>
      </c>
      <c r="G125" s="98">
        <v>3</v>
      </c>
      <c r="H125" s="106">
        <v>20.02</v>
      </c>
      <c r="I125" s="106">
        <v>0</v>
      </c>
      <c r="J125" s="106">
        <v>0.96</v>
      </c>
      <c r="K125" s="107">
        <f t="shared" si="81"/>
        <v>19.059999999999999</v>
      </c>
      <c r="L125" s="156" t="s">
        <v>240</v>
      </c>
      <c r="M125" s="100"/>
      <c r="N125" s="101" t="s">
        <v>241</v>
      </c>
      <c r="O125" s="109">
        <v>8.5</v>
      </c>
      <c r="P125" s="115"/>
      <c r="Q125" s="111">
        <f t="shared" si="82"/>
        <v>11.707604999999999</v>
      </c>
      <c r="R125" s="34"/>
      <c r="S125" s="34"/>
      <c r="T125" s="34"/>
      <c r="U125" s="34">
        <f t="shared" si="86"/>
        <v>6.8999999999999995</v>
      </c>
      <c r="V125" s="34"/>
      <c r="W125" s="34"/>
      <c r="X125" s="34"/>
      <c r="Y125" s="34">
        <f t="shared" si="79"/>
        <v>162.01</v>
      </c>
      <c r="Z125" s="27">
        <f t="shared" si="67"/>
        <v>38.119999999999997</v>
      </c>
      <c r="AA125" s="103">
        <f t="shared" si="68"/>
        <v>130.79</v>
      </c>
      <c r="AB125" s="103">
        <f t="shared" si="69"/>
        <v>854.6551649999999</v>
      </c>
      <c r="AC125" s="103">
        <f t="shared" si="70"/>
        <v>985.44516499999986</v>
      </c>
      <c r="AE125" s="27">
        <f t="shared" si="71"/>
        <v>162.01</v>
      </c>
      <c r="AG125" s="113">
        <f t="shared" si="85"/>
        <v>1109.2279614700915</v>
      </c>
    </row>
    <row r="126" spans="1:33" s="27" customFormat="1" ht="28">
      <c r="A126" s="97">
        <v>22</v>
      </c>
      <c r="B126" s="99" t="s">
        <v>242</v>
      </c>
      <c r="C126" s="96"/>
      <c r="D126" s="99" t="s">
        <v>243</v>
      </c>
      <c r="E126" s="96"/>
      <c r="F126" s="96" t="s">
        <v>77</v>
      </c>
      <c r="G126" s="98">
        <v>3</v>
      </c>
      <c r="H126" s="106">
        <v>23.36</v>
      </c>
      <c r="I126" s="106">
        <v>0</v>
      </c>
      <c r="J126" s="106">
        <v>0</v>
      </c>
      <c r="K126" s="107">
        <f t="shared" si="81"/>
        <v>23.36</v>
      </c>
      <c r="L126" s="156" t="s">
        <v>244</v>
      </c>
      <c r="M126" s="100"/>
      <c r="N126" s="101" t="s">
        <v>245</v>
      </c>
      <c r="O126" s="109">
        <v>8.5</v>
      </c>
      <c r="P126" s="115"/>
      <c r="Q126" s="111">
        <f t="shared" si="82"/>
        <v>14.348879999999999</v>
      </c>
      <c r="R126" s="34"/>
      <c r="S126" s="34"/>
      <c r="T126" s="34"/>
      <c r="U126" s="34"/>
      <c r="V126" s="34"/>
      <c r="W126" s="34"/>
      <c r="X126" s="34"/>
      <c r="Y126" s="34">
        <f t="shared" si="79"/>
        <v>198.56</v>
      </c>
      <c r="Z126" s="27">
        <f t="shared" si="67"/>
        <v>46.72</v>
      </c>
      <c r="AA126" s="103">
        <f t="shared" si="68"/>
        <v>151.84</v>
      </c>
      <c r="AB126" s="103">
        <f t="shared" si="69"/>
        <v>1047.4682399999999</v>
      </c>
      <c r="AC126" s="103">
        <f t="shared" si="70"/>
        <v>1199.3082399999998</v>
      </c>
      <c r="AE126" s="27">
        <f t="shared" si="71"/>
        <v>198.56</v>
      </c>
      <c r="AG126" s="113">
        <f t="shared" si="85"/>
        <v>1359.4735141627145</v>
      </c>
    </row>
    <row r="127" spans="1:33" s="27" customFormat="1" ht="28">
      <c r="A127" s="97">
        <v>24</v>
      </c>
      <c r="B127" s="99" t="s">
        <v>246</v>
      </c>
      <c r="C127" s="96"/>
      <c r="D127" s="96" t="s">
        <v>186</v>
      </c>
      <c r="E127" s="96"/>
      <c r="F127" s="96" t="s">
        <v>77</v>
      </c>
      <c r="G127" s="98">
        <v>2</v>
      </c>
      <c r="H127" s="106">
        <v>28.66</v>
      </c>
      <c r="I127" s="106">
        <v>0</v>
      </c>
      <c r="J127" s="106">
        <v>0.88</v>
      </c>
      <c r="K127" s="107">
        <f t="shared" si="81"/>
        <v>27.78</v>
      </c>
      <c r="L127" s="100">
        <v>4.8</v>
      </c>
      <c r="M127" s="100"/>
      <c r="N127" s="101">
        <v>25</v>
      </c>
      <c r="O127" s="109">
        <v>8.5</v>
      </c>
      <c r="P127" s="115"/>
      <c r="Q127" s="111">
        <f t="shared" si="82"/>
        <v>17.063865</v>
      </c>
      <c r="R127" s="34"/>
      <c r="S127" s="34"/>
      <c r="T127" s="34"/>
      <c r="U127" s="34">
        <f>G127*2.3</f>
        <v>4.5999999999999996</v>
      </c>
      <c r="V127" s="34"/>
      <c r="W127" s="34"/>
      <c r="X127" s="34"/>
      <c r="Y127" s="34">
        <f t="shared" si="79"/>
        <v>236.13</v>
      </c>
      <c r="Z127" s="27">
        <f t="shared" si="67"/>
        <v>55.56</v>
      </c>
      <c r="AA127" s="103">
        <f t="shared" si="68"/>
        <v>185.17</v>
      </c>
      <c r="AB127" s="103">
        <f t="shared" si="69"/>
        <v>1245.662145</v>
      </c>
      <c r="AC127" s="103">
        <f t="shared" si="70"/>
        <v>1430.8321450000001</v>
      </c>
      <c r="AE127" s="27">
        <f t="shared" si="71"/>
        <v>236.13</v>
      </c>
      <c r="AG127" s="113">
        <f t="shared" si="85"/>
        <v>1616.7026636746668</v>
      </c>
    </row>
    <row r="128" spans="1:33" s="27" customFormat="1" ht="28">
      <c r="A128" s="97">
        <v>25</v>
      </c>
      <c r="B128" s="99" t="s">
        <v>247</v>
      </c>
      <c r="C128" s="96"/>
      <c r="D128" s="96" t="s">
        <v>248</v>
      </c>
      <c r="E128" s="96"/>
      <c r="F128" s="96" t="s">
        <v>94</v>
      </c>
      <c r="G128" s="98">
        <v>1</v>
      </c>
      <c r="H128" s="106">
        <v>6.48</v>
      </c>
      <c r="I128" s="106">
        <v>0</v>
      </c>
      <c r="J128" s="106">
        <v>0.57999999999999996</v>
      </c>
      <c r="K128" s="107">
        <f t="shared" si="81"/>
        <v>5.9</v>
      </c>
      <c r="L128" s="100">
        <v>2.7</v>
      </c>
      <c r="M128" s="100"/>
      <c r="N128" s="101">
        <v>11</v>
      </c>
      <c r="O128" s="109">
        <v>9</v>
      </c>
      <c r="P128" s="115"/>
      <c r="Q128" s="111">
        <f t="shared" si="82"/>
        <v>3.6240749999999999</v>
      </c>
      <c r="R128" s="34"/>
      <c r="S128" s="34"/>
      <c r="T128" s="34"/>
      <c r="U128" s="34">
        <f>G128*2.3</f>
        <v>2.2999999999999998</v>
      </c>
      <c r="V128" s="34"/>
      <c r="W128" s="34"/>
      <c r="X128" s="34"/>
      <c r="Y128" s="34">
        <f t="shared" si="79"/>
        <v>53.1</v>
      </c>
      <c r="Z128" s="27">
        <f t="shared" si="67"/>
        <v>11.8</v>
      </c>
      <c r="AA128" s="103">
        <f t="shared" si="68"/>
        <v>43.599999999999994</v>
      </c>
      <c r="AB128" s="103">
        <f t="shared" si="69"/>
        <v>264.55747500000001</v>
      </c>
      <c r="AC128" s="103">
        <f t="shared" si="70"/>
        <v>308.15747499999998</v>
      </c>
      <c r="AE128" s="27">
        <f t="shared" si="71"/>
        <v>53.1</v>
      </c>
      <c r="AG128" s="113">
        <f t="shared" si="85"/>
        <v>343.36017695034315</v>
      </c>
    </row>
    <row r="129" spans="1:33" s="27" customFormat="1" ht="28">
      <c r="A129" s="97">
        <v>26</v>
      </c>
      <c r="B129" s="99" t="s">
        <v>249</v>
      </c>
      <c r="C129" s="96"/>
      <c r="D129" s="96" t="s">
        <v>115</v>
      </c>
      <c r="E129" s="96"/>
      <c r="F129" s="96" t="s">
        <v>94</v>
      </c>
      <c r="G129" s="98">
        <v>2</v>
      </c>
      <c r="H129" s="106">
        <v>13.11</v>
      </c>
      <c r="I129" s="106">
        <v>0</v>
      </c>
      <c r="J129" s="106">
        <v>1.2</v>
      </c>
      <c r="K129" s="107">
        <f t="shared" si="81"/>
        <v>11.91</v>
      </c>
      <c r="L129" s="100">
        <v>2.7</v>
      </c>
      <c r="M129" s="100"/>
      <c r="N129" s="101">
        <v>11</v>
      </c>
      <c r="O129" s="109">
        <v>9</v>
      </c>
      <c r="P129" s="115"/>
      <c r="Q129" s="111">
        <f t="shared" si="82"/>
        <v>7.3157174999999999</v>
      </c>
      <c r="R129" s="34"/>
      <c r="S129" s="34"/>
      <c r="T129" s="34"/>
      <c r="U129" s="34">
        <f>G129*2.3</f>
        <v>4.5999999999999996</v>
      </c>
      <c r="V129" s="34"/>
      <c r="W129" s="34"/>
      <c r="X129" s="34"/>
      <c r="Y129" s="34">
        <f t="shared" si="79"/>
        <v>107.19</v>
      </c>
      <c r="Z129" s="27">
        <f t="shared" si="67"/>
        <v>23.82</v>
      </c>
      <c r="AA129" s="103">
        <f t="shared" si="68"/>
        <v>87.97</v>
      </c>
      <c r="AB129" s="103">
        <f t="shared" si="69"/>
        <v>534.04737750000004</v>
      </c>
      <c r="AC129" s="103">
        <f t="shared" si="70"/>
        <v>622.01737750000007</v>
      </c>
      <c r="AE129" s="27">
        <f t="shared" si="71"/>
        <v>107.19</v>
      </c>
      <c r="AG129" s="113">
        <f>$AG$14/31.1035*K129*IF(LEFT(F129,3)="10K",0.417*1.07,IF(LEFT(F129,3)="14K",0.585*1.05,IF(LEFT(F129,3)="18K",0.75*1.05,0)))</f>
        <v>693.12198431840466</v>
      </c>
    </row>
    <row r="130" spans="1:33" s="27" customFormat="1" ht="140.5" thickBot="1">
      <c r="A130" s="97">
        <v>29</v>
      </c>
      <c r="B130" s="96" t="s">
        <v>250</v>
      </c>
      <c r="C130" s="96"/>
      <c r="D130" s="96" t="s">
        <v>127</v>
      </c>
      <c r="E130" s="96"/>
      <c r="F130" s="96" t="s">
        <v>94</v>
      </c>
      <c r="G130" s="98">
        <v>1</v>
      </c>
      <c r="H130" s="106">
        <v>31.56</v>
      </c>
      <c r="I130" s="106">
        <v>0</v>
      </c>
      <c r="J130" s="106">
        <v>0</v>
      </c>
      <c r="K130" s="107">
        <f t="shared" si="81"/>
        <v>31.56</v>
      </c>
      <c r="L130" s="100" t="s">
        <v>251</v>
      </c>
      <c r="M130" s="100"/>
      <c r="N130" s="101" t="s">
        <v>252</v>
      </c>
      <c r="O130" s="109">
        <v>7.5</v>
      </c>
      <c r="P130" s="115"/>
      <c r="Q130" s="111">
        <f t="shared" si="82"/>
        <v>19.385729999999999</v>
      </c>
      <c r="R130" s="34"/>
      <c r="S130" s="34"/>
      <c r="T130" s="34"/>
      <c r="U130" s="34"/>
      <c r="V130" s="34"/>
      <c r="W130" s="34"/>
      <c r="X130" s="34"/>
      <c r="Y130" s="34">
        <f t="shared" si="79"/>
        <v>236.7</v>
      </c>
      <c r="Z130" s="27">
        <f t="shared" si="67"/>
        <v>63.12</v>
      </c>
      <c r="AA130" s="103">
        <f t="shared" si="68"/>
        <v>173.57999999999998</v>
      </c>
      <c r="AB130" s="103">
        <f t="shared" si="69"/>
        <v>1415.1582899999999</v>
      </c>
      <c r="AC130" s="103">
        <f t="shared" si="70"/>
        <v>1588.7382899999998</v>
      </c>
      <c r="AE130" s="27">
        <f t="shared" si="71"/>
        <v>236.7</v>
      </c>
      <c r="AG130" s="113">
        <f>$AG$14/31.1035*K130*IF(LEFT(F130,3)="10K",0.417*1.07,IF(LEFT(F130,3)="14K",0.585*1.05,IF(LEFT(F130,3)="18K",0.75*1.05,0)))</f>
        <v>1836.6859634835305</v>
      </c>
    </row>
    <row r="131" spans="1:33" s="28" customFormat="1" ht="15.9" customHeight="1">
      <c r="A131" s="88" t="s">
        <v>71</v>
      </c>
      <c r="B131" s="65"/>
      <c r="C131" s="65"/>
      <c r="D131" s="65"/>
      <c r="E131" s="65"/>
      <c r="F131" s="65"/>
      <c r="G131" s="66">
        <f>SUM(G105:G130)</f>
        <v>57</v>
      </c>
      <c r="H131" s="108"/>
      <c r="I131" s="108"/>
      <c r="J131" s="108"/>
      <c r="K131" s="108">
        <f>SUM(K105:K130)</f>
        <v>424.37</v>
      </c>
      <c r="L131" s="67"/>
      <c r="M131" s="67"/>
      <c r="N131" s="67"/>
      <c r="O131" s="68"/>
      <c r="P131" s="116">
        <f t="shared" ref="P131:Y131" si="87">SUM(P105:P130)</f>
        <v>0</v>
      </c>
      <c r="Q131" s="112">
        <f t="shared" si="87"/>
        <v>260.66927249999998</v>
      </c>
      <c r="R131" s="69">
        <f t="shared" si="87"/>
        <v>0</v>
      </c>
      <c r="S131" s="69">
        <f t="shared" si="87"/>
        <v>0</v>
      </c>
      <c r="T131" s="69">
        <f t="shared" si="87"/>
        <v>0</v>
      </c>
      <c r="U131" s="69">
        <f t="shared" si="87"/>
        <v>118.44999999999999</v>
      </c>
      <c r="V131" s="69">
        <f t="shared" si="87"/>
        <v>0</v>
      </c>
      <c r="W131" s="69">
        <f t="shared" si="87"/>
        <v>0</v>
      </c>
      <c r="X131" s="69">
        <f t="shared" si="87"/>
        <v>0</v>
      </c>
      <c r="Y131" s="69">
        <f t="shared" si="87"/>
        <v>3594.7850000000003</v>
      </c>
      <c r="Z131" s="27"/>
      <c r="AA131" s="103"/>
      <c r="AB131" s="103"/>
      <c r="AC131" s="103"/>
      <c r="AD131" s="104"/>
      <c r="AE131" s="27"/>
      <c r="AG131" s="114">
        <f>SUM(AG105:AG130)</f>
        <v>24696.908185155451</v>
      </c>
    </row>
    <row r="132" spans="1:33" ht="15.9" customHeight="1">
      <c r="A132" s="51" t="s">
        <v>83</v>
      </c>
      <c r="K132" s="46"/>
      <c r="L132" s="46"/>
      <c r="M132" s="46"/>
      <c r="N132" s="46"/>
      <c r="X132" s="47"/>
      <c r="Z132" s="27"/>
      <c r="AA132" s="103"/>
      <c r="AB132" s="103"/>
      <c r="AC132" s="103"/>
      <c r="AE132" s="27"/>
      <c r="AF132" s="84" t="s">
        <v>253</v>
      </c>
      <c r="AG132" s="95">
        <f>3025.1*1.01</f>
        <v>3055.3510000000001</v>
      </c>
    </row>
    <row r="133" spans="1:33" s="94" customFormat="1" ht="28">
      <c r="A133" s="89" t="s">
        <v>4</v>
      </c>
      <c r="B133" s="90" t="s">
        <v>5</v>
      </c>
      <c r="C133" s="90" t="s">
        <v>24</v>
      </c>
      <c r="D133" s="90" t="s">
        <v>46</v>
      </c>
      <c r="E133" s="90" t="s">
        <v>47</v>
      </c>
      <c r="F133" s="90" t="s">
        <v>6</v>
      </c>
      <c r="G133" s="90" t="s">
        <v>7</v>
      </c>
      <c r="H133" s="91" t="s">
        <v>8</v>
      </c>
      <c r="I133" s="91" t="s">
        <v>48</v>
      </c>
      <c r="J133" s="91" t="s">
        <v>9</v>
      </c>
      <c r="K133" s="92" t="s">
        <v>14</v>
      </c>
      <c r="L133" s="92" t="s">
        <v>20</v>
      </c>
      <c r="M133" s="92" t="s">
        <v>23</v>
      </c>
      <c r="N133" s="92" t="s">
        <v>21</v>
      </c>
      <c r="O133" s="93" t="s">
        <v>10</v>
      </c>
      <c r="P133" s="93" t="s">
        <v>50</v>
      </c>
      <c r="Q133" s="110" t="s">
        <v>63</v>
      </c>
      <c r="R133" s="43" t="s">
        <v>51</v>
      </c>
      <c r="S133" s="43" t="s">
        <v>55</v>
      </c>
      <c r="T133" s="43" t="s">
        <v>70</v>
      </c>
      <c r="U133" s="43" t="s">
        <v>13</v>
      </c>
      <c r="V133" s="43" t="s">
        <v>53</v>
      </c>
      <c r="W133" s="43" t="s">
        <v>49</v>
      </c>
      <c r="X133" s="43" t="s">
        <v>15</v>
      </c>
      <c r="Y133" s="48" t="s">
        <v>12</v>
      </c>
      <c r="Z133" s="27"/>
      <c r="AA133" s="103"/>
      <c r="AB133" s="103"/>
      <c r="AC133" s="103"/>
      <c r="AE133" s="27"/>
      <c r="AG133" s="48" t="s">
        <v>22</v>
      </c>
    </row>
    <row r="134" spans="1:33" s="27" customFormat="1" ht="28">
      <c r="A134" s="97" t="s">
        <v>254</v>
      </c>
      <c r="B134" s="96" t="s">
        <v>255</v>
      </c>
      <c r="C134" s="96"/>
      <c r="D134" s="96" t="s">
        <v>256</v>
      </c>
      <c r="E134" s="96"/>
      <c r="F134" s="96" t="s">
        <v>82</v>
      </c>
      <c r="G134" s="98">
        <v>1</v>
      </c>
      <c r="H134" s="106">
        <v>4.96</v>
      </c>
      <c r="I134" s="106">
        <v>0</v>
      </c>
      <c r="J134" s="106">
        <v>0.28000000000000003</v>
      </c>
      <c r="K134" s="107">
        <f>H134-I134-J134</f>
        <v>4.68</v>
      </c>
      <c r="L134" s="100">
        <v>2.5</v>
      </c>
      <c r="M134" s="100"/>
      <c r="N134" s="101">
        <v>5</v>
      </c>
      <c r="O134" s="109">
        <v>9.5</v>
      </c>
      <c r="P134" s="115"/>
      <c r="Q134" s="111">
        <f>K134*IF(LEFT(F134,3)="10K",0.417*1.07,IF(LEFT(F134,3)="14K",0.585*1.05,IF(LEFT(F134,3)="18K",0.75*1.05,0)))</f>
        <v>2.8746899999999997</v>
      </c>
      <c r="R134" s="34"/>
      <c r="S134" s="34"/>
      <c r="T134" s="34"/>
      <c r="U134" s="34">
        <f>G134*2.3</f>
        <v>2.2999999999999998</v>
      </c>
      <c r="V134" s="34"/>
      <c r="W134" s="34"/>
      <c r="X134" s="34"/>
      <c r="Y134" s="34">
        <f t="shared" ref="Y134:Y150" si="88">K134*O134</f>
        <v>44.459999999999994</v>
      </c>
      <c r="Z134" s="27">
        <f t="shared" si="67"/>
        <v>9.36</v>
      </c>
      <c r="AA134" s="103">
        <f t="shared" si="68"/>
        <v>37.399999999999991</v>
      </c>
      <c r="AB134" s="103">
        <f t="shared" si="69"/>
        <v>209.85236999999998</v>
      </c>
      <c r="AC134" s="103">
        <f t="shared" si="70"/>
        <v>247.25236999999998</v>
      </c>
      <c r="AE134" s="27">
        <f t="shared" si="71"/>
        <v>44.459999999999994</v>
      </c>
      <c r="AG134" s="113">
        <f t="shared" ref="AG134:AG150" si="89">$AG$14/31.1035*K134*IF(LEFT(F134,3)="10K",0.417*1.07,IF(LEFT(F134,3)="14K",0.585*1.05,IF(LEFT(F134,3)="18K",0.75*1.05,0)))</f>
        <v>272.36027595383155</v>
      </c>
    </row>
    <row r="135" spans="1:33" s="27" customFormat="1" ht="28">
      <c r="A135" s="97">
        <v>2</v>
      </c>
      <c r="B135" s="99" t="s">
        <v>180</v>
      </c>
      <c r="C135" s="99"/>
      <c r="D135" s="99" t="s">
        <v>170</v>
      </c>
      <c r="E135" s="96"/>
      <c r="F135" s="96" t="s">
        <v>82</v>
      </c>
      <c r="G135" s="98">
        <v>2</v>
      </c>
      <c r="H135" s="106">
        <v>10.73</v>
      </c>
      <c r="I135" s="106">
        <v>0</v>
      </c>
      <c r="J135" s="106">
        <v>0.64</v>
      </c>
      <c r="K135" s="107">
        <f t="shared" ref="K135:K150" si="90">H135-I135-J135</f>
        <v>10.09</v>
      </c>
      <c r="L135" s="100">
        <v>2.5</v>
      </c>
      <c r="M135" s="100"/>
      <c r="N135" s="101">
        <v>5</v>
      </c>
      <c r="O135" s="109">
        <v>9.5</v>
      </c>
      <c r="P135" s="115"/>
      <c r="Q135" s="111">
        <f t="shared" ref="Q135:Q150" si="91">K135*IF(LEFT(F135,3)="10K",0.417*1.07,IF(LEFT(F135,3)="14K",0.585*1.05,IF(LEFT(F135,3)="18K",0.75*1.05,0)))</f>
        <v>6.1977824999999998</v>
      </c>
      <c r="R135" s="34"/>
      <c r="S135" s="34"/>
      <c r="T135" s="34"/>
      <c r="U135" s="34">
        <f t="shared" ref="U135:U138" si="92">G135*2.3</f>
        <v>4.5999999999999996</v>
      </c>
      <c r="V135" s="34"/>
      <c r="W135" s="34"/>
      <c r="X135" s="34"/>
      <c r="Y135" s="34">
        <f t="shared" si="88"/>
        <v>95.855000000000004</v>
      </c>
      <c r="Z135" s="27">
        <f t="shared" si="67"/>
        <v>20.18</v>
      </c>
      <c r="AA135" s="103">
        <f t="shared" si="68"/>
        <v>80.275000000000006</v>
      </c>
      <c r="AB135" s="103">
        <f t="shared" si="69"/>
        <v>452.43812249999996</v>
      </c>
      <c r="AC135" s="103">
        <f t="shared" si="70"/>
        <v>532.71312249999994</v>
      </c>
      <c r="AE135" s="27">
        <f t="shared" si="71"/>
        <v>95.855000000000004</v>
      </c>
      <c r="AG135" s="113">
        <f t="shared" si="89"/>
        <v>587.20409922524789</v>
      </c>
    </row>
    <row r="136" spans="1:33" s="27" customFormat="1" ht="28">
      <c r="A136" s="97">
        <v>4</v>
      </c>
      <c r="B136" s="99" t="s">
        <v>257</v>
      </c>
      <c r="C136" s="99"/>
      <c r="D136" s="96" t="s">
        <v>186</v>
      </c>
      <c r="E136" s="96"/>
      <c r="F136" s="96" t="s">
        <v>77</v>
      </c>
      <c r="G136" s="98">
        <v>2</v>
      </c>
      <c r="H136" s="106">
        <v>21.58</v>
      </c>
      <c r="I136" s="106">
        <v>0</v>
      </c>
      <c r="J136" s="106">
        <v>0.64</v>
      </c>
      <c r="K136" s="107">
        <f t="shared" si="90"/>
        <v>20.939999999999998</v>
      </c>
      <c r="L136" s="100">
        <v>2.95</v>
      </c>
      <c r="M136" s="100"/>
      <c r="N136" s="101">
        <v>46</v>
      </c>
      <c r="O136" s="109">
        <v>8.5</v>
      </c>
      <c r="P136" s="115"/>
      <c r="Q136" s="111">
        <f t="shared" si="91"/>
        <v>12.862394999999998</v>
      </c>
      <c r="R136" s="34"/>
      <c r="S136" s="34"/>
      <c r="T136" s="34"/>
      <c r="U136" s="34">
        <f t="shared" si="92"/>
        <v>4.5999999999999996</v>
      </c>
      <c r="V136" s="34"/>
      <c r="W136" s="34"/>
      <c r="X136" s="34"/>
      <c r="Y136" s="34">
        <f t="shared" si="88"/>
        <v>177.98999999999998</v>
      </c>
      <c r="Z136" s="27">
        <f t="shared" si="67"/>
        <v>41.879999999999995</v>
      </c>
      <c r="AA136" s="103">
        <f t="shared" si="68"/>
        <v>140.70999999999998</v>
      </c>
      <c r="AB136" s="103">
        <f t="shared" si="69"/>
        <v>938.95483499999978</v>
      </c>
      <c r="AC136" s="103">
        <f t="shared" si="70"/>
        <v>1079.6648349999998</v>
      </c>
      <c r="AE136" s="27">
        <f t="shared" si="71"/>
        <v>177.98999999999998</v>
      </c>
      <c r="AG136" s="113">
        <f t="shared" si="89"/>
        <v>1218.6376449729128</v>
      </c>
    </row>
    <row r="137" spans="1:33" s="27" customFormat="1" ht="28">
      <c r="A137" s="97">
        <v>5</v>
      </c>
      <c r="B137" s="96" t="s">
        <v>258</v>
      </c>
      <c r="C137" s="96"/>
      <c r="D137" s="96" t="s">
        <v>259</v>
      </c>
      <c r="E137" s="96"/>
      <c r="F137" s="96" t="s">
        <v>77</v>
      </c>
      <c r="G137" s="98">
        <v>1</v>
      </c>
      <c r="H137" s="106">
        <v>5.79</v>
      </c>
      <c r="I137" s="106">
        <v>0</v>
      </c>
      <c r="J137" s="106">
        <v>0.31</v>
      </c>
      <c r="K137" s="107">
        <f t="shared" si="90"/>
        <v>5.48</v>
      </c>
      <c r="L137" s="100">
        <v>1.8</v>
      </c>
      <c r="M137" s="100"/>
      <c r="N137" s="101">
        <v>41</v>
      </c>
      <c r="O137" s="109">
        <v>8.5</v>
      </c>
      <c r="P137" s="115"/>
      <c r="Q137" s="111">
        <f t="shared" si="91"/>
        <v>3.3660900000000002</v>
      </c>
      <c r="R137" s="34"/>
      <c r="S137" s="34"/>
      <c r="T137" s="34"/>
      <c r="U137" s="34">
        <f t="shared" si="92"/>
        <v>2.2999999999999998</v>
      </c>
      <c r="V137" s="34"/>
      <c r="W137" s="34"/>
      <c r="X137" s="34"/>
      <c r="Y137" s="34">
        <f t="shared" si="88"/>
        <v>46.580000000000005</v>
      </c>
      <c r="Z137" s="27">
        <f t="shared" si="67"/>
        <v>10.96</v>
      </c>
      <c r="AA137" s="103">
        <f t="shared" si="68"/>
        <v>37.92</v>
      </c>
      <c r="AB137" s="103">
        <f t="shared" si="69"/>
        <v>245.72457000000003</v>
      </c>
      <c r="AC137" s="103">
        <f t="shared" si="70"/>
        <v>283.64457000000004</v>
      </c>
      <c r="AE137" s="27">
        <f t="shared" si="71"/>
        <v>46.580000000000005</v>
      </c>
      <c r="AG137" s="113">
        <f t="shared" si="89"/>
        <v>318.91758808269162</v>
      </c>
    </row>
    <row r="138" spans="1:33" s="27" customFormat="1" ht="28">
      <c r="A138" s="97">
        <v>6</v>
      </c>
      <c r="B138" s="99" t="s">
        <v>260</v>
      </c>
      <c r="C138" s="99"/>
      <c r="D138" s="96" t="s">
        <v>261</v>
      </c>
      <c r="E138" s="96"/>
      <c r="F138" s="96" t="s">
        <v>94</v>
      </c>
      <c r="G138" s="98">
        <v>1</v>
      </c>
      <c r="H138" s="106">
        <v>5.39</v>
      </c>
      <c r="I138" s="106">
        <v>0</v>
      </c>
      <c r="J138" s="106">
        <v>0.28000000000000003</v>
      </c>
      <c r="K138" s="107">
        <f t="shared" si="90"/>
        <v>5.1099999999999994</v>
      </c>
      <c r="L138" s="100">
        <v>1.8</v>
      </c>
      <c r="M138" s="100"/>
      <c r="N138" s="101">
        <v>41</v>
      </c>
      <c r="O138" s="109">
        <v>8.5</v>
      </c>
      <c r="P138" s="115"/>
      <c r="Q138" s="111">
        <f t="shared" si="91"/>
        <v>3.1388174999999996</v>
      </c>
      <c r="R138" s="34"/>
      <c r="S138" s="34"/>
      <c r="T138" s="34"/>
      <c r="U138" s="34">
        <f t="shared" si="92"/>
        <v>2.2999999999999998</v>
      </c>
      <c r="V138" s="34"/>
      <c r="W138" s="34"/>
      <c r="X138" s="34"/>
      <c r="Y138" s="34">
        <f t="shared" si="88"/>
        <v>43.434999999999995</v>
      </c>
      <c r="Z138" s="27">
        <f t="shared" si="67"/>
        <v>10.219999999999999</v>
      </c>
      <c r="AA138" s="103">
        <f t="shared" si="68"/>
        <v>35.514999999999993</v>
      </c>
      <c r="AB138" s="103">
        <f t="shared" si="69"/>
        <v>229.13367749999998</v>
      </c>
      <c r="AC138" s="103">
        <f t="shared" si="70"/>
        <v>264.64867749999996</v>
      </c>
      <c r="AE138" s="27">
        <f t="shared" si="71"/>
        <v>43.434999999999995</v>
      </c>
      <c r="AG138" s="113">
        <f t="shared" si="89"/>
        <v>297.38483122309378</v>
      </c>
    </row>
    <row r="139" spans="1:33" s="27" customFormat="1" ht="28">
      <c r="A139" s="97">
        <v>7</v>
      </c>
      <c r="B139" s="99" t="s">
        <v>262</v>
      </c>
      <c r="C139" s="99"/>
      <c r="D139" s="96" t="s">
        <v>263</v>
      </c>
      <c r="E139" s="96"/>
      <c r="F139" s="96" t="s">
        <v>77</v>
      </c>
      <c r="G139" s="98">
        <v>2</v>
      </c>
      <c r="H139" s="106">
        <v>11.59</v>
      </c>
      <c r="I139" s="106">
        <v>0</v>
      </c>
      <c r="J139" s="106">
        <v>0.64</v>
      </c>
      <c r="K139" s="107">
        <f t="shared" si="90"/>
        <v>10.95</v>
      </c>
      <c r="L139" s="100">
        <v>1.8</v>
      </c>
      <c r="M139" s="100"/>
      <c r="N139" s="101">
        <v>41</v>
      </c>
      <c r="O139" s="109">
        <v>8.5</v>
      </c>
      <c r="P139" s="115"/>
      <c r="Q139" s="111">
        <f t="shared" si="91"/>
        <v>6.7260374999999994</v>
      </c>
      <c r="R139" s="34"/>
      <c r="S139" s="34"/>
      <c r="T139" s="34"/>
      <c r="U139" s="34">
        <f>G139*2.3</f>
        <v>4.5999999999999996</v>
      </c>
      <c r="V139" s="34"/>
      <c r="W139" s="34"/>
      <c r="X139" s="34"/>
      <c r="Y139" s="34">
        <f t="shared" si="88"/>
        <v>93.074999999999989</v>
      </c>
      <c r="Z139" s="27">
        <f t="shared" ref="Z139:Z185" si="93">2*K139</f>
        <v>21.9</v>
      </c>
      <c r="AA139" s="103">
        <f t="shared" ref="AA139:AA185" si="94">(SUM(R139:X139)+AE139)-Z139</f>
        <v>75.774999999999977</v>
      </c>
      <c r="AB139" s="103">
        <f t="shared" ref="AB139:AB185" si="95">Q139*$AB$13+P139*$AB$14</f>
        <v>491.00073749999996</v>
      </c>
      <c r="AC139" s="103">
        <f t="shared" ref="AC139:AC185" si="96">SUM(AA139:AB139)</f>
        <v>566.77573749999988</v>
      </c>
      <c r="AE139" s="27">
        <f t="shared" ref="AE139:AE185" si="97">IF(AD139&gt;0,AD139*K139,Y139)</f>
        <v>93.074999999999989</v>
      </c>
      <c r="AG139" s="113">
        <f t="shared" si="89"/>
        <v>637.25320976377247</v>
      </c>
    </row>
    <row r="140" spans="1:33" s="27" customFormat="1" ht="28">
      <c r="A140" s="97">
        <v>8</v>
      </c>
      <c r="B140" s="99" t="s">
        <v>264</v>
      </c>
      <c r="C140" s="96"/>
      <c r="D140" s="96" t="s">
        <v>265</v>
      </c>
      <c r="E140" s="96"/>
      <c r="F140" s="96" t="s">
        <v>77</v>
      </c>
      <c r="G140" s="98">
        <v>1</v>
      </c>
      <c r="H140" s="106">
        <v>5.31</v>
      </c>
      <c r="I140" s="106">
        <v>0</v>
      </c>
      <c r="J140" s="106">
        <v>0.28000000000000003</v>
      </c>
      <c r="K140" s="107">
        <f t="shared" si="90"/>
        <v>5.0299999999999994</v>
      </c>
      <c r="L140" s="156" t="s">
        <v>222</v>
      </c>
      <c r="M140" s="100"/>
      <c r="N140" s="101" t="s">
        <v>223</v>
      </c>
      <c r="O140" s="109">
        <v>8.5</v>
      </c>
      <c r="P140" s="115"/>
      <c r="Q140" s="111">
        <f t="shared" si="91"/>
        <v>3.0896774999999996</v>
      </c>
      <c r="R140" s="34"/>
      <c r="S140" s="34"/>
      <c r="T140" s="34"/>
      <c r="U140" s="34">
        <f t="shared" ref="U140:U142" si="98">G140*2.3</f>
        <v>2.2999999999999998</v>
      </c>
      <c r="V140" s="34"/>
      <c r="W140" s="34"/>
      <c r="X140" s="34"/>
      <c r="Y140" s="34">
        <f t="shared" si="88"/>
        <v>42.754999999999995</v>
      </c>
      <c r="Z140" s="27">
        <f t="shared" si="93"/>
        <v>10.059999999999999</v>
      </c>
      <c r="AA140" s="103">
        <f t="shared" si="94"/>
        <v>34.99499999999999</v>
      </c>
      <c r="AB140" s="103">
        <f t="shared" si="95"/>
        <v>225.54645749999997</v>
      </c>
      <c r="AC140" s="103">
        <f t="shared" si="96"/>
        <v>260.54145749999998</v>
      </c>
      <c r="AE140" s="27">
        <f t="shared" si="97"/>
        <v>42.754999999999995</v>
      </c>
      <c r="AG140" s="113">
        <f t="shared" si="89"/>
        <v>292.72910001020779</v>
      </c>
    </row>
    <row r="141" spans="1:33" s="27" customFormat="1" ht="28">
      <c r="A141" s="97">
        <v>9</v>
      </c>
      <c r="B141" s="99" t="s">
        <v>220</v>
      </c>
      <c r="C141" s="96"/>
      <c r="D141" s="96" t="s">
        <v>186</v>
      </c>
      <c r="E141" s="96"/>
      <c r="F141" s="96" t="s">
        <v>77</v>
      </c>
      <c r="G141" s="98">
        <v>2</v>
      </c>
      <c r="H141" s="106">
        <v>11.5</v>
      </c>
      <c r="I141" s="106">
        <v>0</v>
      </c>
      <c r="J141" s="106">
        <v>0.64</v>
      </c>
      <c r="K141" s="107">
        <f t="shared" si="90"/>
        <v>10.86</v>
      </c>
      <c r="L141" s="156" t="s">
        <v>222</v>
      </c>
      <c r="M141" s="100"/>
      <c r="N141" s="101" t="s">
        <v>223</v>
      </c>
      <c r="O141" s="109">
        <v>8.5</v>
      </c>
      <c r="P141" s="115"/>
      <c r="Q141" s="111">
        <f t="shared" si="91"/>
        <v>6.6707549999999989</v>
      </c>
      <c r="R141" s="34"/>
      <c r="S141" s="34"/>
      <c r="T141" s="34"/>
      <c r="U141" s="34">
        <f t="shared" si="98"/>
        <v>4.5999999999999996</v>
      </c>
      <c r="V141" s="34"/>
      <c r="W141" s="34"/>
      <c r="X141" s="34"/>
      <c r="Y141" s="34">
        <f t="shared" si="88"/>
        <v>92.31</v>
      </c>
      <c r="Z141" s="27">
        <f t="shared" si="93"/>
        <v>21.72</v>
      </c>
      <c r="AA141" s="103">
        <f t="shared" si="94"/>
        <v>75.19</v>
      </c>
      <c r="AB141" s="103">
        <f t="shared" si="95"/>
        <v>486.96511499999991</v>
      </c>
      <c r="AC141" s="103">
        <f t="shared" si="96"/>
        <v>562.15511499999991</v>
      </c>
      <c r="AE141" s="27">
        <f t="shared" si="97"/>
        <v>92.31</v>
      </c>
      <c r="AG141" s="113">
        <f t="shared" si="89"/>
        <v>632.01551214927576</v>
      </c>
    </row>
    <row r="142" spans="1:33" s="27" customFormat="1" ht="28">
      <c r="A142" s="97">
        <v>10</v>
      </c>
      <c r="B142" s="99" t="s">
        <v>266</v>
      </c>
      <c r="C142" s="96"/>
      <c r="D142" s="96" t="s">
        <v>267</v>
      </c>
      <c r="E142" s="96"/>
      <c r="F142" s="96" t="s">
        <v>82</v>
      </c>
      <c r="G142" s="98">
        <v>3</v>
      </c>
      <c r="H142" s="106">
        <v>22.71</v>
      </c>
      <c r="I142" s="106">
        <v>0</v>
      </c>
      <c r="J142" s="106">
        <v>0.96</v>
      </c>
      <c r="K142" s="107">
        <f t="shared" si="90"/>
        <v>21.75</v>
      </c>
      <c r="L142" s="156" t="s">
        <v>165</v>
      </c>
      <c r="M142" s="100"/>
      <c r="N142" s="101" t="s">
        <v>268</v>
      </c>
      <c r="O142" s="109">
        <v>8.5</v>
      </c>
      <c r="P142" s="115"/>
      <c r="Q142" s="111">
        <f t="shared" si="91"/>
        <v>13.359937499999999</v>
      </c>
      <c r="R142" s="34"/>
      <c r="S142" s="34"/>
      <c r="T142" s="34"/>
      <c r="U142" s="34">
        <f t="shared" si="98"/>
        <v>6.8999999999999995</v>
      </c>
      <c r="V142" s="34"/>
      <c r="W142" s="34"/>
      <c r="X142" s="34"/>
      <c r="Y142" s="34">
        <f t="shared" si="88"/>
        <v>184.875</v>
      </c>
      <c r="Z142" s="27">
        <f t="shared" si="93"/>
        <v>43.5</v>
      </c>
      <c r="AA142" s="103">
        <f t="shared" si="94"/>
        <v>148.27500000000001</v>
      </c>
      <c r="AB142" s="103">
        <f t="shared" si="95"/>
        <v>975.27543749999995</v>
      </c>
      <c r="AC142" s="103">
        <f t="shared" si="96"/>
        <v>1123.5504375</v>
      </c>
      <c r="AE142" s="27">
        <f t="shared" si="97"/>
        <v>184.875</v>
      </c>
      <c r="AG142" s="113">
        <f t="shared" si="89"/>
        <v>1265.7769235033838</v>
      </c>
    </row>
    <row r="143" spans="1:33" s="27" customFormat="1" ht="28">
      <c r="A143" s="97">
        <v>11</v>
      </c>
      <c r="B143" s="99" t="s">
        <v>269</v>
      </c>
      <c r="C143" s="96"/>
      <c r="D143" s="96" t="s">
        <v>270</v>
      </c>
      <c r="E143" s="96"/>
      <c r="F143" s="96" t="s">
        <v>77</v>
      </c>
      <c r="G143" s="98">
        <v>3</v>
      </c>
      <c r="H143" s="106">
        <v>39.68</v>
      </c>
      <c r="I143" s="106">
        <v>0</v>
      </c>
      <c r="J143" s="106">
        <v>0</v>
      </c>
      <c r="K143" s="107">
        <f t="shared" si="90"/>
        <v>39.68</v>
      </c>
      <c r="L143" s="156">
        <v>3.65</v>
      </c>
      <c r="M143" s="100"/>
      <c r="N143" s="101">
        <v>34</v>
      </c>
      <c r="O143" s="109">
        <v>6.5</v>
      </c>
      <c r="P143" s="115"/>
      <c r="Q143" s="111">
        <f t="shared" si="91"/>
        <v>24.373439999999999</v>
      </c>
      <c r="R143" s="34"/>
      <c r="S143" s="34"/>
      <c r="T143" s="34"/>
      <c r="U143" s="34"/>
      <c r="V143" s="34"/>
      <c r="W143" s="34"/>
      <c r="X143" s="34"/>
      <c r="Y143" s="34">
        <f t="shared" si="88"/>
        <v>257.92</v>
      </c>
      <c r="Z143" s="27">
        <f t="shared" si="93"/>
        <v>79.36</v>
      </c>
      <c r="AA143" s="103">
        <f t="shared" si="94"/>
        <v>178.56</v>
      </c>
      <c r="AB143" s="103">
        <f t="shared" si="95"/>
        <v>1779.2611199999999</v>
      </c>
      <c r="AC143" s="103">
        <f t="shared" si="96"/>
        <v>1957.8211199999998</v>
      </c>
      <c r="AE143" s="27">
        <f t="shared" si="97"/>
        <v>257.92</v>
      </c>
      <c r="AG143" s="113">
        <f t="shared" si="89"/>
        <v>2309.2426815914605</v>
      </c>
    </row>
    <row r="144" spans="1:33" s="27" customFormat="1" ht="28">
      <c r="A144" s="97">
        <v>12</v>
      </c>
      <c r="B144" s="99" t="s">
        <v>271</v>
      </c>
      <c r="C144" s="96"/>
      <c r="D144" s="96" t="s">
        <v>272</v>
      </c>
      <c r="E144" s="96"/>
      <c r="F144" s="96" t="s">
        <v>77</v>
      </c>
      <c r="G144" s="98">
        <v>1</v>
      </c>
      <c r="H144" s="106">
        <v>6.28</v>
      </c>
      <c r="I144" s="106">
        <v>0</v>
      </c>
      <c r="J144" s="106">
        <v>0.3</v>
      </c>
      <c r="K144" s="107">
        <f t="shared" si="90"/>
        <v>5.98</v>
      </c>
      <c r="L144" s="156">
        <v>2.1</v>
      </c>
      <c r="M144" s="100"/>
      <c r="N144" s="101">
        <v>37</v>
      </c>
      <c r="O144" s="109">
        <v>8.5</v>
      </c>
      <c r="P144" s="115"/>
      <c r="Q144" s="111">
        <f t="shared" si="91"/>
        <v>3.6732149999999999</v>
      </c>
      <c r="R144" s="34"/>
      <c r="S144" s="34"/>
      <c r="T144" s="34"/>
      <c r="U144" s="34">
        <f>G144*2.3</f>
        <v>2.2999999999999998</v>
      </c>
      <c r="V144" s="34"/>
      <c r="W144" s="34"/>
      <c r="X144" s="34"/>
      <c r="Y144" s="34">
        <f t="shared" si="88"/>
        <v>50.830000000000005</v>
      </c>
      <c r="Z144" s="27">
        <f t="shared" si="93"/>
        <v>11.96</v>
      </c>
      <c r="AA144" s="103">
        <f t="shared" si="94"/>
        <v>41.17</v>
      </c>
      <c r="AB144" s="103">
        <f t="shared" si="95"/>
        <v>268.14469500000001</v>
      </c>
      <c r="AC144" s="103">
        <f t="shared" si="96"/>
        <v>309.31469500000003</v>
      </c>
      <c r="AE144" s="27">
        <f t="shared" si="97"/>
        <v>50.830000000000005</v>
      </c>
      <c r="AG144" s="113">
        <f t="shared" si="89"/>
        <v>348.0159081632292</v>
      </c>
    </row>
    <row r="145" spans="1:33" s="27" customFormat="1" ht="28">
      <c r="A145" s="97">
        <v>13</v>
      </c>
      <c r="B145" s="99" t="s">
        <v>236</v>
      </c>
      <c r="C145" s="96"/>
      <c r="D145" s="99" t="s">
        <v>186</v>
      </c>
      <c r="E145" s="96"/>
      <c r="F145" s="96" t="s">
        <v>77</v>
      </c>
      <c r="G145" s="98">
        <v>2</v>
      </c>
      <c r="H145" s="106">
        <v>13.21</v>
      </c>
      <c r="I145" s="106">
        <v>0</v>
      </c>
      <c r="J145" s="106">
        <v>0.64</v>
      </c>
      <c r="K145" s="107">
        <f t="shared" si="90"/>
        <v>12.57</v>
      </c>
      <c r="L145" s="156">
        <v>2.1</v>
      </c>
      <c r="M145" s="100"/>
      <c r="N145" s="101">
        <v>37</v>
      </c>
      <c r="O145" s="109">
        <v>8.5</v>
      </c>
      <c r="P145" s="115"/>
      <c r="Q145" s="111">
        <f t="shared" si="91"/>
        <v>7.7211224999999999</v>
      </c>
      <c r="R145" s="34"/>
      <c r="S145" s="34"/>
      <c r="T145" s="34"/>
      <c r="U145" s="34">
        <f>G145*2.3</f>
        <v>4.5999999999999996</v>
      </c>
      <c r="V145" s="34"/>
      <c r="W145" s="34"/>
      <c r="X145" s="34"/>
      <c r="Y145" s="34">
        <f t="shared" si="88"/>
        <v>106.845</v>
      </c>
      <c r="Z145" s="27">
        <f t="shared" si="93"/>
        <v>25.14</v>
      </c>
      <c r="AA145" s="103">
        <f t="shared" si="94"/>
        <v>86.304999999999993</v>
      </c>
      <c r="AB145" s="103">
        <f t="shared" si="95"/>
        <v>563.64194250000003</v>
      </c>
      <c r="AC145" s="103">
        <f t="shared" si="96"/>
        <v>649.94694249999998</v>
      </c>
      <c r="AE145" s="27">
        <f t="shared" si="97"/>
        <v>106.845</v>
      </c>
      <c r="AG145" s="113">
        <f t="shared" si="89"/>
        <v>731.53176682471417</v>
      </c>
    </row>
    <row r="146" spans="1:33" s="27" customFormat="1" ht="28">
      <c r="A146" s="97">
        <v>14</v>
      </c>
      <c r="B146" s="99" t="s">
        <v>273</v>
      </c>
      <c r="C146" s="96"/>
      <c r="D146" s="96" t="s">
        <v>274</v>
      </c>
      <c r="E146" s="96"/>
      <c r="F146" s="96" t="s">
        <v>94</v>
      </c>
      <c r="G146" s="98">
        <v>3</v>
      </c>
      <c r="H146" s="106">
        <v>39.93</v>
      </c>
      <c r="I146" s="106">
        <v>0</v>
      </c>
      <c r="J146" s="106">
        <v>0</v>
      </c>
      <c r="K146" s="107">
        <f t="shared" si="90"/>
        <v>39.93</v>
      </c>
      <c r="L146" s="100">
        <v>2.5</v>
      </c>
      <c r="M146" s="100"/>
      <c r="N146" s="101">
        <v>58</v>
      </c>
      <c r="O146" s="109">
        <v>7.5</v>
      </c>
      <c r="P146" s="115"/>
      <c r="Q146" s="111">
        <f t="shared" si="91"/>
        <v>24.527002499999998</v>
      </c>
      <c r="R146" s="34"/>
      <c r="S146" s="34"/>
      <c r="T146" s="34"/>
      <c r="U146" s="34"/>
      <c r="V146" s="34"/>
      <c r="W146" s="34"/>
      <c r="X146" s="34"/>
      <c r="Y146" s="34">
        <f t="shared" si="88"/>
        <v>299.47500000000002</v>
      </c>
      <c r="Z146" s="27">
        <f t="shared" si="93"/>
        <v>79.86</v>
      </c>
      <c r="AA146" s="103">
        <f t="shared" si="94"/>
        <v>219.61500000000001</v>
      </c>
      <c r="AB146" s="103">
        <f t="shared" si="95"/>
        <v>1790.4711824999999</v>
      </c>
      <c r="AC146" s="103">
        <f t="shared" si="96"/>
        <v>2010.0861824999999</v>
      </c>
      <c r="AE146" s="27">
        <f t="shared" si="97"/>
        <v>299.47500000000002</v>
      </c>
      <c r="AG146" s="113">
        <f t="shared" si="89"/>
        <v>2323.7918416317293</v>
      </c>
    </row>
    <row r="147" spans="1:33" s="27" customFormat="1" ht="28">
      <c r="A147" s="97">
        <v>15</v>
      </c>
      <c r="B147" s="99" t="s">
        <v>275</v>
      </c>
      <c r="C147" s="96"/>
      <c r="D147" s="96" t="s">
        <v>276</v>
      </c>
      <c r="E147" s="96"/>
      <c r="F147" s="96" t="s">
        <v>94</v>
      </c>
      <c r="G147" s="98">
        <v>3</v>
      </c>
      <c r="H147" s="106">
        <v>36.14</v>
      </c>
      <c r="I147" s="106">
        <v>0</v>
      </c>
      <c r="J147" s="106">
        <v>0</v>
      </c>
      <c r="K147" s="107">
        <f t="shared" si="90"/>
        <v>36.14</v>
      </c>
      <c r="L147" s="100">
        <v>2.25</v>
      </c>
      <c r="M147" s="100"/>
      <c r="N147" s="101">
        <v>60</v>
      </c>
      <c r="O147" s="109">
        <v>7.5</v>
      </c>
      <c r="P147" s="115"/>
      <c r="Q147" s="111">
        <f t="shared" si="91"/>
        <v>22.198995</v>
      </c>
      <c r="R147" s="34"/>
      <c r="S147" s="34"/>
      <c r="T147" s="34"/>
      <c r="U147" s="34"/>
      <c r="V147" s="34"/>
      <c r="W147" s="34"/>
      <c r="X147" s="34"/>
      <c r="Y147" s="34">
        <f t="shared" si="88"/>
        <v>271.05</v>
      </c>
      <c r="Z147" s="27">
        <f t="shared" si="93"/>
        <v>72.28</v>
      </c>
      <c r="AA147" s="103">
        <f t="shared" si="94"/>
        <v>198.77</v>
      </c>
      <c r="AB147" s="103">
        <f t="shared" si="95"/>
        <v>1620.5266349999999</v>
      </c>
      <c r="AC147" s="103">
        <f t="shared" si="96"/>
        <v>1819.2966349999999</v>
      </c>
      <c r="AE147" s="27">
        <f t="shared" si="97"/>
        <v>271.05</v>
      </c>
      <c r="AG147" s="113">
        <f t="shared" si="89"/>
        <v>2103.2265754212549</v>
      </c>
    </row>
    <row r="148" spans="1:33" s="27" customFormat="1" ht="28">
      <c r="A148" s="97">
        <v>16</v>
      </c>
      <c r="B148" s="99" t="s">
        <v>277</v>
      </c>
      <c r="C148" s="96"/>
      <c r="D148" s="96" t="s">
        <v>278</v>
      </c>
      <c r="E148" s="96"/>
      <c r="F148" s="96" t="s">
        <v>94</v>
      </c>
      <c r="G148" s="98">
        <v>1</v>
      </c>
      <c r="H148" s="106">
        <v>11.2</v>
      </c>
      <c r="I148" s="106">
        <v>0</v>
      </c>
      <c r="J148" s="106">
        <v>0</v>
      </c>
      <c r="K148" s="107">
        <f t="shared" si="90"/>
        <v>11.2</v>
      </c>
      <c r="L148" s="100">
        <v>2.25</v>
      </c>
      <c r="M148" s="100"/>
      <c r="N148" s="101">
        <v>64</v>
      </c>
      <c r="O148" s="109">
        <v>7.5</v>
      </c>
      <c r="P148" s="115"/>
      <c r="Q148" s="111">
        <f t="shared" si="91"/>
        <v>6.879599999999999</v>
      </c>
      <c r="R148" s="34"/>
      <c r="S148" s="34"/>
      <c r="T148" s="34"/>
      <c r="U148" s="34"/>
      <c r="V148" s="34"/>
      <c r="W148" s="34"/>
      <c r="X148" s="34"/>
      <c r="Y148" s="34">
        <f t="shared" si="88"/>
        <v>84</v>
      </c>
      <c r="Z148" s="27">
        <f t="shared" si="93"/>
        <v>22.4</v>
      </c>
      <c r="AA148" s="103">
        <f t="shared" si="94"/>
        <v>61.6</v>
      </c>
      <c r="AB148" s="103">
        <f t="shared" si="95"/>
        <v>502.21079999999995</v>
      </c>
      <c r="AC148" s="103">
        <f t="shared" si="96"/>
        <v>563.81079999999997</v>
      </c>
      <c r="AE148" s="27">
        <f t="shared" si="97"/>
        <v>84</v>
      </c>
      <c r="AG148" s="113">
        <f t="shared" si="89"/>
        <v>651.80236980404129</v>
      </c>
    </row>
    <row r="149" spans="1:33" s="27" customFormat="1" ht="28">
      <c r="A149" s="97">
        <v>17</v>
      </c>
      <c r="B149" s="96" t="s">
        <v>279</v>
      </c>
      <c r="C149" s="96"/>
      <c r="D149" s="96" t="s">
        <v>115</v>
      </c>
      <c r="E149" s="96"/>
      <c r="F149" s="96" t="s">
        <v>94</v>
      </c>
      <c r="G149" s="98">
        <v>2</v>
      </c>
      <c r="H149" s="106">
        <v>21.13</v>
      </c>
      <c r="I149" s="106">
        <v>0</v>
      </c>
      <c r="J149" s="106">
        <v>0</v>
      </c>
      <c r="K149" s="107">
        <f t="shared" si="90"/>
        <v>21.13</v>
      </c>
      <c r="L149" s="100">
        <v>2.25</v>
      </c>
      <c r="M149" s="100"/>
      <c r="N149" s="101">
        <v>60</v>
      </c>
      <c r="O149" s="109">
        <v>7.5</v>
      </c>
      <c r="P149" s="115"/>
      <c r="Q149" s="111">
        <f t="shared" si="91"/>
        <v>12.979102499999998</v>
      </c>
      <c r="R149" s="34"/>
      <c r="S149" s="34"/>
      <c r="T149" s="34"/>
      <c r="U149" s="34"/>
      <c r="V149" s="34"/>
      <c r="W149" s="34"/>
      <c r="X149" s="34"/>
      <c r="Y149" s="34">
        <f t="shared" si="88"/>
        <v>158.47499999999999</v>
      </c>
      <c r="Z149" s="27">
        <f t="shared" si="93"/>
        <v>42.26</v>
      </c>
      <c r="AA149" s="103">
        <f t="shared" si="94"/>
        <v>116.215</v>
      </c>
      <c r="AB149" s="103">
        <f t="shared" si="95"/>
        <v>947.47448249999991</v>
      </c>
      <c r="AC149" s="103">
        <f t="shared" si="96"/>
        <v>1063.6894824999999</v>
      </c>
      <c r="AE149" s="27">
        <f t="shared" si="97"/>
        <v>158.47499999999999</v>
      </c>
      <c r="AG149" s="113">
        <f t="shared" si="89"/>
        <v>1229.6950066035172</v>
      </c>
    </row>
    <row r="150" spans="1:33" s="27" customFormat="1" ht="28.5" thickBot="1">
      <c r="A150" s="97">
        <v>18</v>
      </c>
      <c r="B150" s="99" t="s">
        <v>280</v>
      </c>
      <c r="C150" s="96"/>
      <c r="D150" s="96" t="s">
        <v>281</v>
      </c>
      <c r="E150" s="96"/>
      <c r="F150" s="96" t="s">
        <v>77</v>
      </c>
      <c r="G150" s="98">
        <v>3</v>
      </c>
      <c r="H150" s="106">
        <v>62.56</v>
      </c>
      <c r="I150" s="106">
        <v>0</v>
      </c>
      <c r="J150" s="106">
        <v>0</v>
      </c>
      <c r="K150" s="107">
        <f t="shared" si="90"/>
        <v>62.56</v>
      </c>
      <c r="L150" s="156">
        <v>4.3</v>
      </c>
      <c r="M150" s="100"/>
      <c r="N150" s="101">
        <v>32</v>
      </c>
      <c r="O150" s="109">
        <v>6.5</v>
      </c>
      <c r="P150" s="115"/>
      <c r="Q150" s="111">
        <f t="shared" si="91"/>
        <v>38.427479999999996</v>
      </c>
      <c r="R150" s="34"/>
      <c r="S150" s="34"/>
      <c r="T150" s="34"/>
      <c r="U150" s="34"/>
      <c r="V150" s="34"/>
      <c r="W150" s="34"/>
      <c r="X150" s="34"/>
      <c r="Y150" s="34">
        <f t="shared" si="88"/>
        <v>406.64</v>
      </c>
      <c r="Z150" s="27">
        <f t="shared" si="93"/>
        <v>125.12</v>
      </c>
      <c r="AA150" s="103">
        <f t="shared" si="94"/>
        <v>281.52</v>
      </c>
      <c r="AB150" s="103">
        <f t="shared" si="95"/>
        <v>2805.2060399999996</v>
      </c>
      <c r="AC150" s="103">
        <f t="shared" si="96"/>
        <v>3086.7260399999996</v>
      </c>
      <c r="AE150" s="27">
        <f t="shared" si="97"/>
        <v>406.64</v>
      </c>
      <c r="AG150" s="113">
        <f t="shared" si="89"/>
        <v>3640.7818084768596</v>
      </c>
    </row>
    <row r="151" spans="1:33" s="28" customFormat="1" ht="15.9" customHeight="1">
      <c r="A151" s="88" t="s">
        <v>71</v>
      </c>
      <c r="B151" s="65"/>
      <c r="C151" s="65"/>
      <c r="D151" s="65"/>
      <c r="E151" s="65"/>
      <c r="F151" s="65"/>
      <c r="G151" s="66">
        <f>SUM(G134:G150)</f>
        <v>33</v>
      </c>
      <c r="H151" s="108"/>
      <c r="I151" s="108"/>
      <c r="J151" s="108"/>
      <c r="K151" s="108">
        <f>SUM(K134:K150)</f>
        <v>324.08</v>
      </c>
      <c r="L151" s="67"/>
      <c r="M151" s="67"/>
      <c r="N151" s="67"/>
      <c r="O151" s="68"/>
      <c r="P151" s="116">
        <f t="shared" ref="P151:Y151" si="99">SUM(P134:P150)</f>
        <v>0</v>
      </c>
      <c r="Q151" s="112">
        <f t="shared" si="99"/>
        <v>199.06614000000002</v>
      </c>
      <c r="R151" s="69">
        <f t="shared" si="99"/>
        <v>0</v>
      </c>
      <c r="S151" s="69">
        <f t="shared" si="99"/>
        <v>0</v>
      </c>
      <c r="T151" s="69">
        <f t="shared" si="99"/>
        <v>0</v>
      </c>
      <c r="U151" s="69">
        <f t="shared" si="99"/>
        <v>41.4</v>
      </c>
      <c r="V151" s="69">
        <f t="shared" si="99"/>
        <v>0</v>
      </c>
      <c r="W151" s="69">
        <f t="shared" si="99"/>
        <v>0</v>
      </c>
      <c r="X151" s="69">
        <f t="shared" si="99"/>
        <v>0</v>
      </c>
      <c r="Y151" s="69">
        <f t="shared" si="99"/>
        <v>2456.5699999999997</v>
      </c>
      <c r="Z151" s="27"/>
      <c r="AA151" s="103"/>
      <c r="AB151" s="103"/>
      <c r="AC151" s="103"/>
      <c r="AD151" s="104"/>
      <c r="AE151" s="27"/>
      <c r="AG151" s="114">
        <f>SUM(AG134:AG150)</f>
        <v>18860.367143401225</v>
      </c>
    </row>
    <row r="152" spans="1:33" ht="15.9" customHeight="1">
      <c r="A152" s="51" t="s">
        <v>83</v>
      </c>
      <c r="K152" s="46"/>
      <c r="L152" s="46"/>
      <c r="M152" s="46"/>
      <c r="N152" s="46"/>
      <c r="X152" s="47"/>
      <c r="Z152" s="27"/>
      <c r="AA152" s="103"/>
      <c r="AB152" s="103"/>
      <c r="AC152" s="103"/>
      <c r="AE152" s="27"/>
      <c r="AF152" s="84"/>
      <c r="AG152" s="95">
        <f>3002.7*1.01</f>
        <v>3032.7269999999999</v>
      </c>
    </row>
    <row r="153" spans="1:33" s="94" customFormat="1" ht="28">
      <c r="A153" s="89" t="s">
        <v>4</v>
      </c>
      <c r="B153" s="90" t="s">
        <v>5</v>
      </c>
      <c r="C153" s="90" t="s">
        <v>24</v>
      </c>
      <c r="D153" s="90" t="s">
        <v>46</v>
      </c>
      <c r="E153" s="90" t="s">
        <v>47</v>
      </c>
      <c r="F153" s="90" t="s">
        <v>6</v>
      </c>
      <c r="G153" s="90" t="s">
        <v>7</v>
      </c>
      <c r="H153" s="91" t="s">
        <v>8</v>
      </c>
      <c r="I153" s="91" t="s">
        <v>48</v>
      </c>
      <c r="J153" s="91" t="s">
        <v>9</v>
      </c>
      <c r="K153" s="92" t="s">
        <v>14</v>
      </c>
      <c r="L153" s="92" t="s">
        <v>20</v>
      </c>
      <c r="M153" s="92" t="s">
        <v>23</v>
      </c>
      <c r="N153" s="92" t="s">
        <v>21</v>
      </c>
      <c r="O153" s="93" t="s">
        <v>10</v>
      </c>
      <c r="P153" s="93" t="s">
        <v>50</v>
      </c>
      <c r="Q153" s="110" t="s">
        <v>63</v>
      </c>
      <c r="R153" s="43" t="s">
        <v>51</v>
      </c>
      <c r="S153" s="43" t="s">
        <v>55</v>
      </c>
      <c r="T153" s="43" t="s">
        <v>70</v>
      </c>
      <c r="U153" s="43" t="s">
        <v>13</v>
      </c>
      <c r="V153" s="43" t="s">
        <v>53</v>
      </c>
      <c r="W153" s="43" t="s">
        <v>49</v>
      </c>
      <c r="X153" s="43" t="s">
        <v>15</v>
      </c>
      <c r="Y153" s="48" t="s">
        <v>12</v>
      </c>
      <c r="Z153" s="27"/>
      <c r="AA153" s="103"/>
      <c r="AB153" s="103"/>
      <c r="AC153" s="103"/>
      <c r="AE153" s="27"/>
      <c r="AG153" s="48" t="s">
        <v>22</v>
      </c>
    </row>
    <row r="154" spans="1:33" s="27" customFormat="1" ht="28">
      <c r="A154" s="97" t="s">
        <v>282</v>
      </c>
      <c r="B154" s="96" t="s">
        <v>283</v>
      </c>
      <c r="C154" s="96"/>
      <c r="D154" s="96" t="s">
        <v>284</v>
      </c>
      <c r="E154" s="96"/>
      <c r="F154" s="96" t="s">
        <v>94</v>
      </c>
      <c r="G154" s="98">
        <v>3</v>
      </c>
      <c r="H154" s="106">
        <v>16.420000000000002</v>
      </c>
      <c r="I154" s="106">
        <v>0</v>
      </c>
      <c r="J154" s="106">
        <v>0.96</v>
      </c>
      <c r="K154" s="107">
        <f>H154-I154-J154</f>
        <v>15.46</v>
      </c>
      <c r="L154" s="100">
        <v>4.3</v>
      </c>
      <c r="M154" s="100"/>
      <c r="N154" s="101">
        <v>1</v>
      </c>
      <c r="O154" s="109">
        <v>9.5</v>
      </c>
      <c r="P154" s="115"/>
      <c r="Q154" s="111">
        <f>K154*IF(LEFT(F154,3)="10K",0.417*1.07,IF(LEFT(F154,3)="14K",0.585*1.05,IF(LEFT(F154,3)="18K",0.75*1.05,0)))</f>
        <v>9.4963049999999996</v>
      </c>
      <c r="R154" s="34"/>
      <c r="S154" s="34"/>
      <c r="T154" s="34"/>
      <c r="U154" s="34">
        <f>G154*2.3</f>
        <v>6.8999999999999995</v>
      </c>
      <c r="V154" s="34"/>
      <c r="W154" s="34"/>
      <c r="X154" s="34"/>
      <c r="Y154" s="34">
        <f t="shared" ref="Y154:Y158" si="100">K154*O154</f>
        <v>146.87</v>
      </c>
      <c r="Z154" s="27">
        <f t="shared" si="93"/>
        <v>30.92</v>
      </c>
      <c r="AA154" s="103">
        <f t="shared" si="94"/>
        <v>122.85000000000001</v>
      </c>
      <c r="AB154" s="103">
        <f t="shared" si="95"/>
        <v>693.23026499999992</v>
      </c>
      <c r="AC154" s="103">
        <f t="shared" si="96"/>
        <v>816.08026499999994</v>
      </c>
      <c r="AE154" s="27">
        <f t="shared" si="97"/>
        <v>146.87</v>
      </c>
      <c r="AG154" s="113">
        <f t="shared" ref="AG154:AG160" si="101">$AG$14/31.1035*K154*IF(LEFT(F154,3)="10K",0.417*1.07,IF(LEFT(F154,3)="14K",0.585*1.05,IF(LEFT(F154,3)="18K",0.75*1.05,0)))</f>
        <v>899.72005689022137</v>
      </c>
    </row>
    <row r="155" spans="1:33" s="27" customFormat="1" ht="28">
      <c r="A155" s="97">
        <v>2</v>
      </c>
      <c r="B155" s="99" t="s">
        <v>285</v>
      </c>
      <c r="C155" s="99"/>
      <c r="D155" s="99" t="s">
        <v>286</v>
      </c>
      <c r="E155" s="96"/>
      <c r="F155" s="96" t="s">
        <v>77</v>
      </c>
      <c r="G155" s="98">
        <v>1</v>
      </c>
      <c r="H155" s="106">
        <v>3.11</v>
      </c>
      <c r="I155" s="106">
        <v>0</v>
      </c>
      <c r="J155" s="106">
        <v>0</v>
      </c>
      <c r="K155" s="107">
        <f t="shared" ref="K155:K160" si="102">H155-I155-J155</f>
        <v>3.11</v>
      </c>
      <c r="L155" s="100" t="s">
        <v>287</v>
      </c>
      <c r="M155" s="100"/>
      <c r="N155" s="101" t="s">
        <v>138</v>
      </c>
      <c r="O155" s="109" t="s">
        <v>288</v>
      </c>
      <c r="P155" s="115"/>
      <c r="Q155" s="111">
        <f t="shared" ref="Q155:Q160" si="103">K155*IF(LEFT(F155,3)="10K",0.417*1.07,IF(LEFT(F155,3)="14K",0.585*1.05,IF(LEFT(F155,3)="18K",0.75*1.05,0)))</f>
        <v>1.9103174999999999</v>
      </c>
      <c r="R155" s="34"/>
      <c r="S155" s="34"/>
      <c r="T155" s="34"/>
      <c r="U155" s="34"/>
      <c r="V155" s="34"/>
      <c r="W155" s="34"/>
      <c r="X155" s="34"/>
      <c r="Y155" s="34">
        <f>K155*6.5+2*7*G155</f>
        <v>34.215000000000003</v>
      </c>
      <c r="Z155" s="27">
        <f t="shared" si="93"/>
        <v>6.22</v>
      </c>
      <c r="AA155" s="103">
        <f t="shared" si="94"/>
        <v>27.995000000000005</v>
      </c>
      <c r="AB155" s="103">
        <f t="shared" si="95"/>
        <v>139.45317749999998</v>
      </c>
      <c r="AC155" s="103">
        <f t="shared" si="96"/>
        <v>167.44817749999999</v>
      </c>
      <c r="AE155" s="27">
        <f t="shared" si="97"/>
        <v>34.215000000000003</v>
      </c>
      <c r="AG155" s="113">
        <f t="shared" si="101"/>
        <v>180.99155090094359</v>
      </c>
    </row>
    <row r="156" spans="1:33" s="27" customFormat="1" ht="28">
      <c r="A156" s="97">
        <v>3</v>
      </c>
      <c r="B156" s="99" t="s">
        <v>289</v>
      </c>
      <c r="C156" s="99"/>
      <c r="D156" s="96" t="s">
        <v>186</v>
      </c>
      <c r="E156" s="96"/>
      <c r="F156" s="96" t="s">
        <v>77</v>
      </c>
      <c r="G156" s="98">
        <v>2</v>
      </c>
      <c r="H156" s="106">
        <v>6.33</v>
      </c>
      <c r="I156" s="106">
        <v>0</v>
      </c>
      <c r="J156" s="106">
        <v>0</v>
      </c>
      <c r="K156" s="107">
        <f t="shared" si="102"/>
        <v>6.33</v>
      </c>
      <c r="L156" s="100" t="s">
        <v>287</v>
      </c>
      <c r="M156" s="100"/>
      <c r="N156" s="101" t="s">
        <v>138</v>
      </c>
      <c r="O156" s="109" t="s">
        <v>288</v>
      </c>
      <c r="P156" s="115"/>
      <c r="Q156" s="111">
        <f t="shared" si="103"/>
        <v>3.8882024999999998</v>
      </c>
      <c r="R156" s="34"/>
      <c r="S156" s="34"/>
      <c r="T156" s="34"/>
      <c r="U156" s="34"/>
      <c r="V156" s="34"/>
      <c r="W156" s="34"/>
      <c r="X156" s="34"/>
      <c r="Y156" s="34">
        <f>K156*6.5+2*7*G156</f>
        <v>69.14500000000001</v>
      </c>
      <c r="Z156" s="27">
        <f t="shared" si="93"/>
        <v>12.66</v>
      </c>
      <c r="AA156" s="103">
        <f t="shared" si="94"/>
        <v>56.485000000000014</v>
      </c>
      <c r="AB156" s="103">
        <f t="shared" si="95"/>
        <v>283.83878249999998</v>
      </c>
      <c r="AC156" s="103">
        <f t="shared" si="96"/>
        <v>340.32378249999999</v>
      </c>
      <c r="AE156" s="27">
        <f t="shared" si="97"/>
        <v>69.14500000000001</v>
      </c>
      <c r="AG156" s="113">
        <f t="shared" si="101"/>
        <v>368.38473221960544</v>
      </c>
    </row>
    <row r="157" spans="1:33" s="27" customFormat="1" ht="28">
      <c r="A157" s="97">
        <v>4</v>
      </c>
      <c r="B157" s="96" t="s">
        <v>290</v>
      </c>
      <c r="C157" s="96"/>
      <c r="D157" s="96" t="s">
        <v>115</v>
      </c>
      <c r="E157" s="96"/>
      <c r="F157" s="96" t="s">
        <v>94</v>
      </c>
      <c r="G157" s="98">
        <v>2</v>
      </c>
      <c r="H157" s="106">
        <v>4.37</v>
      </c>
      <c r="I157" s="106">
        <v>0</v>
      </c>
      <c r="J157" s="106">
        <v>0</v>
      </c>
      <c r="K157" s="107">
        <f t="shared" si="102"/>
        <v>4.37</v>
      </c>
      <c r="L157" s="100">
        <v>2.8</v>
      </c>
      <c r="M157" s="100"/>
      <c r="N157" s="101">
        <v>10</v>
      </c>
      <c r="O157" s="109">
        <v>9.5</v>
      </c>
      <c r="P157" s="115"/>
      <c r="Q157" s="111">
        <f t="shared" si="103"/>
        <v>2.6842725000000001</v>
      </c>
      <c r="R157" s="34"/>
      <c r="S157" s="34"/>
      <c r="T157" s="34"/>
      <c r="U157" s="34"/>
      <c r="V157" s="34"/>
      <c r="W157" s="34"/>
      <c r="X157" s="34"/>
      <c r="Y157" s="34">
        <f t="shared" si="100"/>
        <v>41.515000000000001</v>
      </c>
      <c r="Z157" s="27">
        <f t="shared" si="93"/>
        <v>8.74</v>
      </c>
      <c r="AA157" s="103">
        <f t="shared" si="94"/>
        <v>32.774999999999999</v>
      </c>
      <c r="AB157" s="103">
        <f t="shared" si="95"/>
        <v>195.95189250000001</v>
      </c>
      <c r="AC157" s="103">
        <f t="shared" si="96"/>
        <v>228.72689250000002</v>
      </c>
      <c r="AE157" s="27">
        <f t="shared" si="97"/>
        <v>41.515000000000001</v>
      </c>
      <c r="AG157" s="113">
        <f t="shared" si="101"/>
        <v>254.31931750389828</v>
      </c>
    </row>
    <row r="158" spans="1:33" s="27" customFormat="1" ht="28">
      <c r="A158" s="97">
        <v>4</v>
      </c>
      <c r="B158" s="96" t="s">
        <v>290</v>
      </c>
      <c r="C158" s="99"/>
      <c r="D158" s="96" t="s">
        <v>291</v>
      </c>
      <c r="E158" s="96"/>
      <c r="F158" s="96" t="s">
        <v>133</v>
      </c>
      <c r="G158" s="98">
        <v>1</v>
      </c>
      <c r="H158" s="106">
        <v>1.98</v>
      </c>
      <c r="I158" s="106">
        <v>0</v>
      </c>
      <c r="J158" s="106">
        <v>0</v>
      </c>
      <c r="K158" s="107">
        <f t="shared" si="102"/>
        <v>1.98</v>
      </c>
      <c r="L158" s="100">
        <v>2.8</v>
      </c>
      <c r="M158" s="100"/>
      <c r="N158" s="101">
        <v>10</v>
      </c>
      <c r="O158" s="109">
        <v>9.5</v>
      </c>
      <c r="P158" s="115"/>
      <c r="Q158" s="111">
        <f t="shared" si="103"/>
        <v>1.2162149999999998</v>
      </c>
      <c r="R158" s="34"/>
      <c r="S158" s="34"/>
      <c r="T158" s="34"/>
      <c r="U158" s="34"/>
      <c r="V158" s="34"/>
      <c r="W158" s="34"/>
      <c r="X158" s="34"/>
      <c r="Y158" s="34">
        <f t="shared" si="100"/>
        <v>18.809999999999999</v>
      </c>
      <c r="Z158" s="27">
        <f t="shared" si="93"/>
        <v>3.96</v>
      </c>
      <c r="AA158" s="103">
        <f t="shared" si="94"/>
        <v>14.849999999999998</v>
      </c>
      <c r="AB158" s="103">
        <f t="shared" si="95"/>
        <v>88.78369499999998</v>
      </c>
      <c r="AC158" s="103">
        <f t="shared" si="96"/>
        <v>103.63369499999997</v>
      </c>
      <c r="AE158" s="27">
        <f t="shared" si="97"/>
        <v>18.809999999999999</v>
      </c>
      <c r="AG158" s="113">
        <f t="shared" si="101"/>
        <v>115.22934751892872</v>
      </c>
    </row>
    <row r="159" spans="1:33" s="27" customFormat="1" ht="28">
      <c r="A159" s="97">
        <v>5</v>
      </c>
      <c r="B159" s="99" t="s">
        <v>292</v>
      </c>
      <c r="C159" s="99"/>
      <c r="D159" s="96" t="s">
        <v>293</v>
      </c>
      <c r="E159" s="96"/>
      <c r="F159" s="96" t="s">
        <v>94</v>
      </c>
      <c r="G159" s="98">
        <v>1</v>
      </c>
      <c r="H159" s="106">
        <v>2.62</v>
      </c>
      <c r="I159" s="106">
        <v>0</v>
      </c>
      <c r="J159" s="106">
        <v>0</v>
      </c>
      <c r="K159" s="107">
        <f t="shared" si="102"/>
        <v>2.62</v>
      </c>
      <c r="L159" s="100" t="s">
        <v>287</v>
      </c>
      <c r="M159" s="100"/>
      <c r="N159" s="101" t="s">
        <v>294</v>
      </c>
      <c r="O159" s="109" t="s">
        <v>288</v>
      </c>
      <c r="P159" s="115"/>
      <c r="Q159" s="111">
        <f t="shared" si="103"/>
        <v>1.609335</v>
      </c>
      <c r="R159" s="34"/>
      <c r="S159" s="34"/>
      <c r="T159" s="34"/>
      <c r="U159" s="34"/>
      <c r="V159" s="34"/>
      <c r="W159" s="34"/>
      <c r="X159" s="34"/>
      <c r="Y159" s="34">
        <f>K159*6.5+2*5*G159</f>
        <v>27.03</v>
      </c>
      <c r="Z159" s="27">
        <f t="shared" si="93"/>
        <v>5.24</v>
      </c>
      <c r="AA159" s="103">
        <f t="shared" si="94"/>
        <v>21.79</v>
      </c>
      <c r="AB159" s="103">
        <f t="shared" si="95"/>
        <v>117.481455</v>
      </c>
      <c r="AC159" s="103">
        <f t="shared" si="96"/>
        <v>139.271455</v>
      </c>
      <c r="AE159" s="27">
        <f t="shared" si="97"/>
        <v>27.03</v>
      </c>
      <c r="AG159" s="113">
        <f t="shared" si="101"/>
        <v>152.47519722201679</v>
      </c>
    </row>
    <row r="160" spans="1:33" s="27" customFormat="1" ht="28.5" thickBot="1">
      <c r="A160" s="97">
        <v>6</v>
      </c>
      <c r="B160" s="99" t="s">
        <v>295</v>
      </c>
      <c r="C160" s="96"/>
      <c r="D160" s="96" t="s">
        <v>115</v>
      </c>
      <c r="E160" s="96"/>
      <c r="F160" s="96" t="s">
        <v>94</v>
      </c>
      <c r="G160" s="98">
        <v>2</v>
      </c>
      <c r="H160" s="106">
        <v>5.37</v>
      </c>
      <c r="I160" s="106">
        <v>0</v>
      </c>
      <c r="J160" s="106">
        <v>0</v>
      </c>
      <c r="K160" s="107">
        <f t="shared" si="102"/>
        <v>5.37</v>
      </c>
      <c r="L160" s="156" t="s">
        <v>287</v>
      </c>
      <c r="M160" s="100"/>
      <c r="N160" s="101" t="s">
        <v>294</v>
      </c>
      <c r="O160" s="109" t="s">
        <v>288</v>
      </c>
      <c r="P160" s="115"/>
      <c r="Q160" s="111">
        <f t="shared" si="103"/>
        <v>3.2985224999999998</v>
      </c>
      <c r="R160" s="34"/>
      <c r="S160" s="34"/>
      <c r="T160" s="34"/>
      <c r="U160" s="34"/>
      <c r="V160" s="34"/>
      <c r="W160" s="34"/>
      <c r="X160" s="34"/>
      <c r="Y160" s="34">
        <f>K160*6.5+2*5*G160</f>
        <v>54.905000000000001</v>
      </c>
      <c r="Z160" s="27">
        <f t="shared" si="93"/>
        <v>10.74</v>
      </c>
      <c r="AA160" s="103">
        <f t="shared" si="94"/>
        <v>44.164999999999999</v>
      </c>
      <c r="AB160" s="103">
        <f t="shared" si="95"/>
        <v>240.79214249999998</v>
      </c>
      <c r="AC160" s="103">
        <f t="shared" si="96"/>
        <v>284.95714249999997</v>
      </c>
      <c r="AE160" s="27">
        <f t="shared" si="97"/>
        <v>54.905000000000001</v>
      </c>
      <c r="AG160" s="113">
        <f t="shared" si="101"/>
        <v>312.51595766497337</v>
      </c>
    </row>
    <row r="161" spans="1:33" s="28" customFormat="1" ht="15.9" customHeight="1">
      <c r="A161" s="88" t="s">
        <v>71</v>
      </c>
      <c r="B161" s="65"/>
      <c r="C161" s="65"/>
      <c r="D161" s="65"/>
      <c r="E161" s="65"/>
      <c r="F161" s="65"/>
      <c r="G161" s="66">
        <f>SUM(G154:G160)</f>
        <v>12</v>
      </c>
      <c r="H161" s="108"/>
      <c r="I161" s="108"/>
      <c r="J161" s="108"/>
      <c r="K161" s="108">
        <f>SUM(K154:K160)</f>
        <v>39.239999999999995</v>
      </c>
      <c r="L161" s="67"/>
      <c r="M161" s="67"/>
      <c r="N161" s="67"/>
      <c r="O161" s="68"/>
      <c r="P161" s="116">
        <f t="shared" ref="P161:Y161" si="104">SUM(P154:P160)</f>
        <v>0</v>
      </c>
      <c r="Q161" s="112">
        <f t="shared" si="104"/>
        <v>24.103169999999999</v>
      </c>
      <c r="R161" s="69">
        <f t="shared" si="104"/>
        <v>0</v>
      </c>
      <c r="S161" s="69">
        <f t="shared" si="104"/>
        <v>0</v>
      </c>
      <c r="T161" s="69">
        <f t="shared" si="104"/>
        <v>0</v>
      </c>
      <c r="U161" s="69">
        <f t="shared" si="104"/>
        <v>6.8999999999999995</v>
      </c>
      <c r="V161" s="69">
        <f t="shared" si="104"/>
        <v>0</v>
      </c>
      <c r="W161" s="69">
        <f t="shared" si="104"/>
        <v>0</v>
      </c>
      <c r="X161" s="69">
        <f t="shared" si="104"/>
        <v>0</v>
      </c>
      <c r="Y161" s="69">
        <f t="shared" si="104"/>
        <v>392.49</v>
      </c>
      <c r="Z161" s="27"/>
      <c r="AA161" s="103"/>
      <c r="AB161" s="103"/>
      <c r="AC161" s="103"/>
      <c r="AD161" s="104"/>
      <c r="AE161" s="27"/>
      <c r="AG161" s="114">
        <f>SUM(AG154:AG160)</f>
        <v>2283.6361599205875</v>
      </c>
    </row>
    <row r="162" spans="1:33" ht="15.9" customHeight="1">
      <c r="A162" s="51" t="s">
        <v>83</v>
      </c>
      <c r="K162" s="46"/>
      <c r="L162" s="46"/>
      <c r="M162" s="46"/>
      <c r="N162" s="46"/>
      <c r="X162" s="47"/>
      <c r="Z162" s="27"/>
      <c r="AA162" s="103"/>
      <c r="AB162" s="103"/>
      <c r="AC162" s="103"/>
      <c r="AE162" s="27"/>
      <c r="AF162" s="84" t="s">
        <v>296</v>
      </c>
      <c r="AG162" s="95">
        <f>3044.7*1.01</f>
        <v>3075.1469999999999</v>
      </c>
    </row>
    <row r="163" spans="1:33" s="94" customFormat="1" ht="28">
      <c r="A163" s="89" t="s">
        <v>4</v>
      </c>
      <c r="B163" s="90" t="s">
        <v>5</v>
      </c>
      <c r="C163" s="90" t="s">
        <v>24</v>
      </c>
      <c r="D163" s="90" t="s">
        <v>46</v>
      </c>
      <c r="E163" s="90" t="s">
        <v>47</v>
      </c>
      <c r="F163" s="90" t="s">
        <v>6</v>
      </c>
      <c r="G163" s="90" t="s">
        <v>7</v>
      </c>
      <c r="H163" s="91" t="s">
        <v>8</v>
      </c>
      <c r="I163" s="91" t="s">
        <v>48</v>
      </c>
      <c r="J163" s="91" t="s">
        <v>9</v>
      </c>
      <c r="K163" s="92" t="s">
        <v>14</v>
      </c>
      <c r="L163" s="92" t="s">
        <v>20</v>
      </c>
      <c r="M163" s="92" t="s">
        <v>23</v>
      </c>
      <c r="N163" s="92" t="s">
        <v>21</v>
      </c>
      <c r="O163" s="93" t="s">
        <v>10</v>
      </c>
      <c r="P163" s="93" t="s">
        <v>50</v>
      </c>
      <c r="Q163" s="110" t="s">
        <v>63</v>
      </c>
      <c r="R163" s="43" t="s">
        <v>51</v>
      </c>
      <c r="S163" s="43" t="s">
        <v>55</v>
      </c>
      <c r="T163" s="43" t="s">
        <v>70</v>
      </c>
      <c r="U163" s="43" t="s">
        <v>13</v>
      </c>
      <c r="V163" s="43" t="s">
        <v>53</v>
      </c>
      <c r="W163" s="43" t="s">
        <v>49</v>
      </c>
      <c r="X163" s="43" t="s">
        <v>15</v>
      </c>
      <c r="Y163" s="48" t="s">
        <v>12</v>
      </c>
      <c r="Z163" s="27"/>
      <c r="AA163" s="103"/>
      <c r="AB163" s="103"/>
      <c r="AC163" s="103"/>
      <c r="AE163" s="27"/>
      <c r="AG163" s="48" t="s">
        <v>22</v>
      </c>
    </row>
    <row r="164" spans="1:33" s="27" customFormat="1" ht="28">
      <c r="A164" s="97" t="s">
        <v>297</v>
      </c>
      <c r="B164" s="96" t="s">
        <v>298</v>
      </c>
      <c r="C164" s="96"/>
      <c r="D164" s="96" t="s">
        <v>299</v>
      </c>
      <c r="E164" s="96"/>
      <c r="F164" s="96" t="s">
        <v>77</v>
      </c>
      <c r="G164" s="98">
        <v>3</v>
      </c>
      <c r="H164" s="106">
        <v>55.73</v>
      </c>
      <c r="I164" s="106">
        <v>0</v>
      </c>
      <c r="J164" s="106">
        <v>0</v>
      </c>
      <c r="K164" s="107">
        <f>H164-I164-J164</f>
        <v>55.73</v>
      </c>
      <c r="L164" s="100" t="s">
        <v>300</v>
      </c>
      <c r="M164" s="100"/>
      <c r="N164" s="101" t="s">
        <v>301</v>
      </c>
      <c r="O164" s="109">
        <v>6.5</v>
      </c>
      <c r="P164" s="115"/>
      <c r="Q164" s="111">
        <f>K164*IF(LEFT(F164,3)="10K",0.417*1.07,IF(LEFT(F164,3)="14K",0.585*1.05,IF(LEFT(F164,3)="18K",0.75*1.05,0)))</f>
        <v>34.232152499999998</v>
      </c>
      <c r="R164" s="34"/>
      <c r="S164" s="34"/>
      <c r="T164" s="34"/>
      <c r="U164" s="34"/>
      <c r="V164" s="34"/>
      <c r="W164" s="34"/>
      <c r="X164" s="34"/>
      <c r="Y164" s="34">
        <f t="shared" ref="Y164:Y172" si="105">K164*O164</f>
        <v>362.245</v>
      </c>
      <c r="Z164" s="27">
        <f t="shared" si="93"/>
        <v>111.46</v>
      </c>
      <c r="AA164" s="103">
        <f t="shared" si="94"/>
        <v>250.78500000000003</v>
      </c>
      <c r="AB164" s="103">
        <f t="shared" si="95"/>
        <v>2498.9471325</v>
      </c>
      <c r="AC164" s="103">
        <f t="shared" si="96"/>
        <v>2749.7321324999998</v>
      </c>
      <c r="AE164" s="27">
        <f t="shared" si="97"/>
        <v>362.245</v>
      </c>
      <c r="AG164" s="113">
        <f t="shared" ref="AG164:AG172" si="106">$AG$14/31.1035*K164*IF(LEFT(F164,3)="10K",0.417*1.07,IF(LEFT(F164,3)="14K",0.585*1.05,IF(LEFT(F164,3)="18K",0.75*1.05,0)))</f>
        <v>3243.2987561767159</v>
      </c>
    </row>
    <row r="165" spans="1:33" s="27" customFormat="1" ht="42">
      <c r="A165" s="97">
        <v>2</v>
      </c>
      <c r="B165" s="99" t="s">
        <v>302</v>
      </c>
      <c r="C165" s="99"/>
      <c r="D165" s="99" t="s">
        <v>303</v>
      </c>
      <c r="E165" s="96"/>
      <c r="F165" s="96" t="s">
        <v>77</v>
      </c>
      <c r="G165" s="98">
        <v>1</v>
      </c>
      <c r="H165" s="106">
        <v>5.57</v>
      </c>
      <c r="I165" s="106">
        <v>0</v>
      </c>
      <c r="J165" s="106">
        <v>0.28000000000000003</v>
      </c>
      <c r="K165" s="107">
        <f t="shared" ref="K165:K172" si="107">H165-I165-J165</f>
        <v>5.29</v>
      </c>
      <c r="L165" s="100" t="s">
        <v>304</v>
      </c>
      <c r="M165" s="100"/>
      <c r="N165" s="101" t="s">
        <v>305</v>
      </c>
      <c r="O165" s="109">
        <v>9.5</v>
      </c>
      <c r="P165" s="115"/>
      <c r="Q165" s="111">
        <f t="shared" ref="Q165:Q172" si="108">K165*IF(LEFT(F165,3)="10K",0.417*1.07,IF(LEFT(F165,3)="14K",0.585*1.05,IF(LEFT(F165,3)="18K",0.75*1.05,0)))</f>
        <v>3.2493824999999998</v>
      </c>
      <c r="R165" s="34"/>
      <c r="S165" s="34"/>
      <c r="T165" s="34"/>
      <c r="U165" s="34">
        <f>G165*2.3</f>
        <v>2.2999999999999998</v>
      </c>
      <c r="V165" s="34"/>
      <c r="W165" s="34"/>
      <c r="X165" s="34"/>
      <c r="Y165" s="34">
        <f t="shared" si="105"/>
        <v>50.255000000000003</v>
      </c>
      <c r="Z165" s="27">
        <f t="shared" si="93"/>
        <v>10.58</v>
      </c>
      <c r="AA165" s="103">
        <f t="shared" si="94"/>
        <v>41.975000000000001</v>
      </c>
      <c r="AB165" s="103">
        <f t="shared" si="95"/>
        <v>237.20492249999998</v>
      </c>
      <c r="AC165" s="103">
        <f t="shared" si="96"/>
        <v>279.17992249999998</v>
      </c>
      <c r="AE165" s="27">
        <f t="shared" si="97"/>
        <v>50.255000000000003</v>
      </c>
      <c r="AG165" s="113">
        <f t="shared" si="106"/>
        <v>307.86022645208737</v>
      </c>
    </row>
    <row r="166" spans="1:33" s="27" customFormat="1" ht="42">
      <c r="A166" s="97">
        <v>3</v>
      </c>
      <c r="B166" s="99" t="s">
        <v>306</v>
      </c>
      <c r="C166" s="99"/>
      <c r="D166" s="96" t="s">
        <v>186</v>
      </c>
      <c r="E166" s="96"/>
      <c r="F166" s="96" t="s">
        <v>77</v>
      </c>
      <c r="G166" s="98">
        <v>2</v>
      </c>
      <c r="H166" s="106">
        <v>12.02</v>
      </c>
      <c r="I166" s="106">
        <v>0</v>
      </c>
      <c r="J166" s="106">
        <v>0.64</v>
      </c>
      <c r="K166" s="107">
        <f t="shared" si="107"/>
        <v>11.379999999999999</v>
      </c>
      <c r="L166" s="100" t="s">
        <v>304</v>
      </c>
      <c r="M166" s="100"/>
      <c r="N166" s="101" t="s">
        <v>305</v>
      </c>
      <c r="O166" s="109">
        <v>9.5</v>
      </c>
      <c r="P166" s="115"/>
      <c r="Q166" s="111">
        <f t="shared" si="108"/>
        <v>6.9901649999999993</v>
      </c>
      <c r="R166" s="34"/>
      <c r="S166" s="34"/>
      <c r="T166" s="34"/>
      <c r="U166" s="34">
        <f>G166*2.3</f>
        <v>4.5999999999999996</v>
      </c>
      <c r="V166" s="34"/>
      <c r="W166" s="34"/>
      <c r="X166" s="34"/>
      <c r="Y166" s="34">
        <f t="shared" si="105"/>
        <v>108.10999999999999</v>
      </c>
      <c r="Z166" s="27">
        <f t="shared" si="93"/>
        <v>22.759999999999998</v>
      </c>
      <c r="AA166" s="103">
        <f t="shared" si="94"/>
        <v>89.949999999999989</v>
      </c>
      <c r="AB166" s="103">
        <f t="shared" si="95"/>
        <v>510.28204499999993</v>
      </c>
      <c r="AC166" s="103">
        <f t="shared" si="96"/>
        <v>600.23204499999997</v>
      </c>
      <c r="AE166" s="27">
        <f t="shared" si="97"/>
        <v>108.10999999999999</v>
      </c>
      <c r="AG166" s="113">
        <f t="shared" si="106"/>
        <v>662.27776503303471</v>
      </c>
    </row>
    <row r="167" spans="1:33" s="27" customFormat="1" ht="28">
      <c r="A167" s="97">
        <v>4</v>
      </c>
      <c r="B167" s="96" t="s">
        <v>307</v>
      </c>
      <c r="C167" s="96"/>
      <c r="D167" s="96" t="s">
        <v>308</v>
      </c>
      <c r="E167" s="96"/>
      <c r="F167" s="96" t="s">
        <v>94</v>
      </c>
      <c r="G167" s="98">
        <v>3</v>
      </c>
      <c r="H167" s="106">
        <v>19.21</v>
      </c>
      <c r="I167" s="106">
        <v>0</v>
      </c>
      <c r="J167" s="106">
        <v>0.96</v>
      </c>
      <c r="K167" s="107">
        <f t="shared" si="107"/>
        <v>18.25</v>
      </c>
      <c r="L167" s="100">
        <v>1.9</v>
      </c>
      <c r="M167" s="100"/>
      <c r="N167" s="101">
        <v>36</v>
      </c>
      <c r="O167" s="109">
        <v>9.5</v>
      </c>
      <c r="P167" s="115"/>
      <c r="Q167" s="111">
        <f t="shared" si="108"/>
        <v>11.210062499999999</v>
      </c>
      <c r="R167" s="34"/>
      <c r="S167" s="34"/>
      <c r="T167" s="34"/>
      <c r="U167" s="34">
        <f>G167*2.3</f>
        <v>6.8999999999999995</v>
      </c>
      <c r="V167" s="34"/>
      <c r="W167" s="34"/>
      <c r="X167" s="34"/>
      <c r="Y167" s="34">
        <f t="shared" si="105"/>
        <v>173.375</v>
      </c>
      <c r="Z167" s="27">
        <f t="shared" si="93"/>
        <v>36.5</v>
      </c>
      <c r="AA167" s="103">
        <f t="shared" si="94"/>
        <v>143.77500000000001</v>
      </c>
      <c r="AB167" s="103">
        <f t="shared" si="95"/>
        <v>818.33456249999995</v>
      </c>
      <c r="AC167" s="103">
        <f t="shared" si="96"/>
        <v>962.10956249999992</v>
      </c>
      <c r="AE167" s="27">
        <f t="shared" si="97"/>
        <v>173.375</v>
      </c>
      <c r="AG167" s="113">
        <f t="shared" si="106"/>
        <v>1062.0886829396209</v>
      </c>
    </row>
    <row r="168" spans="1:33" s="27" customFormat="1" ht="28">
      <c r="A168" s="97">
        <v>5</v>
      </c>
      <c r="B168" s="99" t="s">
        <v>309</v>
      </c>
      <c r="C168" s="99"/>
      <c r="D168" s="96" t="s">
        <v>310</v>
      </c>
      <c r="E168" s="96"/>
      <c r="F168" s="96" t="s">
        <v>94</v>
      </c>
      <c r="G168" s="98">
        <v>3</v>
      </c>
      <c r="H168" s="106">
        <v>12.88</v>
      </c>
      <c r="I168" s="106">
        <v>0</v>
      </c>
      <c r="J168" s="106">
        <v>1.32</v>
      </c>
      <c r="K168" s="107">
        <f t="shared" si="107"/>
        <v>11.56</v>
      </c>
      <c r="L168" s="100" t="s">
        <v>311</v>
      </c>
      <c r="M168" s="100"/>
      <c r="N168" s="101" t="s">
        <v>312</v>
      </c>
      <c r="O168" s="109">
        <v>9</v>
      </c>
      <c r="P168" s="115"/>
      <c r="Q168" s="111">
        <f t="shared" si="108"/>
        <v>7.1007299999999995</v>
      </c>
      <c r="R168" s="34"/>
      <c r="S168" s="34"/>
      <c r="T168" s="34"/>
      <c r="U168" s="34">
        <f>G168*2.3</f>
        <v>6.8999999999999995</v>
      </c>
      <c r="V168" s="34"/>
      <c r="W168" s="34"/>
      <c r="X168" s="34"/>
      <c r="Y168" s="34">
        <f t="shared" si="105"/>
        <v>104.04</v>
      </c>
      <c r="Z168" s="27">
        <f t="shared" si="93"/>
        <v>23.12</v>
      </c>
      <c r="AA168" s="103">
        <f t="shared" si="94"/>
        <v>87.820000000000007</v>
      </c>
      <c r="AB168" s="103">
        <f t="shared" si="95"/>
        <v>518.35329000000002</v>
      </c>
      <c r="AC168" s="103">
        <f t="shared" si="96"/>
        <v>606.17329000000007</v>
      </c>
      <c r="AE168" s="27">
        <f t="shared" si="97"/>
        <v>104.04</v>
      </c>
      <c r="AG168" s="113">
        <f t="shared" si="106"/>
        <v>672.75316026202836</v>
      </c>
    </row>
    <row r="169" spans="1:33" s="27" customFormat="1" ht="28">
      <c r="A169" s="97">
        <v>6</v>
      </c>
      <c r="B169" s="99" t="s">
        <v>210</v>
      </c>
      <c r="C169" s="99"/>
      <c r="D169" s="96" t="s">
        <v>313</v>
      </c>
      <c r="E169" s="96"/>
      <c r="F169" s="96" t="s">
        <v>94</v>
      </c>
      <c r="G169" s="98">
        <v>3</v>
      </c>
      <c r="H169" s="106">
        <v>24.75</v>
      </c>
      <c r="I169" s="106">
        <v>0</v>
      </c>
      <c r="J169" s="106">
        <v>0.96</v>
      </c>
      <c r="K169" s="107">
        <f t="shared" si="107"/>
        <v>23.79</v>
      </c>
      <c r="L169" s="100">
        <v>2.35</v>
      </c>
      <c r="M169" s="100"/>
      <c r="N169" s="101">
        <v>63</v>
      </c>
      <c r="O169" s="109">
        <v>8.5</v>
      </c>
      <c r="P169" s="115"/>
      <c r="Q169" s="111">
        <f t="shared" si="108"/>
        <v>14.613007499999998</v>
      </c>
      <c r="R169" s="34"/>
      <c r="S169" s="34"/>
      <c r="T169" s="34"/>
      <c r="U169" s="34">
        <f t="shared" ref="U169:U171" si="109">G169*2.3</f>
        <v>6.8999999999999995</v>
      </c>
      <c r="V169" s="34"/>
      <c r="W169" s="34"/>
      <c r="X169" s="34"/>
      <c r="Y169" s="34">
        <f t="shared" si="105"/>
        <v>202.215</v>
      </c>
      <c r="Z169" s="27">
        <f t="shared" si="93"/>
        <v>47.58</v>
      </c>
      <c r="AA169" s="103">
        <f t="shared" si="94"/>
        <v>161.53500000000003</v>
      </c>
      <c r="AB169" s="103">
        <f t="shared" si="95"/>
        <v>1066.7495474999998</v>
      </c>
      <c r="AC169" s="103">
        <f t="shared" si="96"/>
        <v>1228.2845474999999</v>
      </c>
      <c r="AE169" s="27">
        <f t="shared" si="97"/>
        <v>202.215</v>
      </c>
      <c r="AG169" s="113">
        <f t="shared" si="106"/>
        <v>1384.498069431977</v>
      </c>
    </row>
    <row r="170" spans="1:33" s="27" customFormat="1" ht="28">
      <c r="A170" s="97">
        <v>7</v>
      </c>
      <c r="B170" s="99" t="s">
        <v>314</v>
      </c>
      <c r="C170" s="96"/>
      <c r="D170" s="96" t="s">
        <v>315</v>
      </c>
      <c r="E170" s="96"/>
      <c r="F170" s="96" t="s">
        <v>77</v>
      </c>
      <c r="G170" s="98">
        <v>1</v>
      </c>
      <c r="H170" s="106">
        <v>5.48</v>
      </c>
      <c r="I170" s="106">
        <v>0</v>
      </c>
      <c r="J170" s="106">
        <v>0.31</v>
      </c>
      <c r="K170" s="107">
        <f t="shared" si="107"/>
        <v>5.1700000000000008</v>
      </c>
      <c r="L170" s="156">
        <v>1.8</v>
      </c>
      <c r="M170" s="100"/>
      <c r="N170" s="101">
        <v>78</v>
      </c>
      <c r="O170" s="109">
        <v>8.5</v>
      </c>
      <c r="P170" s="115"/>
      <c r="Q170" s="111">
        <f t="shared" si="108"/>
        <v>3.1756725000000001</v>
      </c>
      <c r="R170" s="34"/>
      <c r="S170" s="34"/>
      <c r="T170" s="34"/>
      <c r="U170" s="34">
        <f t="shared" si="109"/>
        <v>2.2999999999999998</v>
      </c>
      <c r="V170" s="34"/>
      <c r="W170" s="34"/>
      <c r="X170" s="34"/>
      <c r="Y170" s="34">
        <f t="shared" si="105"/>
        <v>43.945000000000007</v>
      </c>
      <c r="Z170" s="27">
        <f t="shared" si="93"/>
        <v>10.340000000000002</v>
      </c>
      <c r="AA170" s="103">
        <f t="shared" si="94"/>
        <v>35.905000000000001</v>
      </c>
      <c r="AB170" s="103">
        <f t="shared" si="95"/>
        <v>231.82409250000001</v>
      </c>
      <c r="AC170" s="103">
        <f t="shared" si="96"/>
        <v>267.72909249999998</v>
      </c>
      <c r="AE170" s="27">
        <f t="shared" si="97"/>
        <v>43.945000000000007</v>
      </c>
      <c r="AG170" s="113">
        <f t="shared" si="106"/>
        <v>300.87662963275841</v>
      </c>
    </row>
    <row r="171" spans="1:33" s="27" customFormat="1" ht="28">
      <c r="A171" s="97">
        <v>8</v>
      </c>
      <c r="B171" s="99" t="s">
        <v>316</v>
      </c>
      <c r="C171" s="96"/>
      <c r="D171" s="96" t="s">
        <v>186</v>
      </c>
      <c r="E171" s="96"/>
      <c r="F171" s="96" t="s">
        <v>77</v>
      </c>
      <c r="G171" s="98">
        <v>2</v>
      </c>
      <c r="H171" s="106">
        <v>11.3</v>
      </c>
      <c r="I171" s="106">
        <v>0</v>
      </c>
      <c r="J171" s="106">
        <v>0.64</v>
      </c>
      <c r="K171" s="107">
        <f t="shared" si="107"/>
        <v>10.66</v>
      </c>
      <c r="L171" s="156">
        <v>1.8</v>
      </c>
      <c r="M171" s="100"/>
      <c r="N171" s="101">
        <v>81</v>
      </c>
      <c r="O171" s="109">
        <v>8.5</v>
      </c>
      <c r="P171" s="115"/>
      <c r="Q171" s="111">
        <f t="shared" si="108"/>
        <v>6.5479050000000001</v>
      </c>
      <c r="R171" s="34"/>
      <c r="S171" s="34"/>
      <c r="T171" s="34"/>
      <c r="U171" s="34">
        <f t="shared" si="109"/>
        <v>4.5999999999999996</v>
      </c>
      <c r="V171" s="34"/>
      <c r="W171" s="34"/>
      <c r="X171" s="34"/>
      <c r="Y171" s="34">
        <f t="shared" si="105"/>
        <v>90.61</v>
      </c>
      <c r="Z171" s="27">
        <f t="shared" si="93"/>
        <v>21.32</v>
      </c>
      <c r="AA171" s="103">
        <f t="shared" si="94"/>
        <v>73.889999999999986</v>
      </c>
      <c r="AB171" s="103">
        <f t="shared" si="95"/>
        <v>477.99706500000002</v>
      </c>
      <c r="AC171" s="103">
        <f t="shared" si="96"/>
        <v>551.88706500000001</v>
      </c>
      <c r="AE171" s="27">
        <f t="shared" si="97"/>
        <v>90.61</v>
      </c>
      <c r="AG171" s="113">
        <f t="shared" si="106"/>
        <v>620.37618411706069</v>
      </c>
    </row>
    <row r="172" spans="1:33" s="27" customFormat="1" ht="28.5" thickBot="1">
      <c r="A172" s="97">
        <v>9</v>
      </c>
      <c r="B172" s="99" t="s">
        <v>317</v>
      </c>
      <c r="C172" s="96"/>
      <c r="D172" s="96" t="s">
        <v>318</v>
      </c>
      <c r="E172" s="96"/>
      <c r="F172" s="96" t="s">
        <v>94</v>
      </c>
      <c r="G172" s="98">
        <v>3</v>
      </c>
      <c r="H172" s="106">
        <v>35.46</v>
      </c>
      <c r="I172" s="106">
        <v>0</v>
      </c>
      <c r="J172" s="106">
        <v>0</v>
      </c>
      <c r="K172" s="107">
        <f t="shared" si="107"/>
        <v>35.46</v>
      </c>
      <c r="L172" s="156">
        <v>4.3</v>
      </c>
      <c r="M172" s="100"/>
      <c r="N172" s="101">
        <v>20</v>
      </c>
      <c r="O172" s="109">
        <v>6.5</v>
      </c>
      <c r="P172" s="115"/>
      <c r="Q172" s="111">
        <f t="shared" si="108"/>
        <v>21.781305</v>
      </c>
      <c r="R172" s="34"/>
      <c r="S172" s="34"/>
      <c r="T172" s="34"/>
      <c r="U172" s="34"/>
      <c r="V172" s="34"/>
      <c r="W172" s="34"/>
      <c r="X172" s="34"/>
      <c r="Y172" s="34">
        <f t="shared" si="105"/>
        <v>230.49</v>
      </c>
      <c r="Z172" s="27">
        <f t="shared" si="93"/>
        <v>70.92</v>
      </c>
      <c r="AA172" s="103">
        <f t="shared" si="94"/>
        <v>159.57</v>
      </c>
      <c r="AB172" s="103">
        <f t="shared" si="95"/>
        <v>1590.035265</v>
      </c>
      <c r="AC172" s="103">
        <f t="shared" si="96"/>
        <v>1749.6052649999999</v>
      </c>
      <c r="AE172" s="27">
        <f t="shared" si="97"/>
        <v>230.49</v>
      </c>
      <c r="AG172" s="113">
        <f t="shared" si="106"/>
        <v>2063.6528601117234</v>
      </c>
    </row>
    <row r="173" spans="1:33" s="28" customFormat="1" ht="15.9" customHeight="1">
      <c r="A173" s="88" t="s">
        <v>71</v>
      </c>
      <c r="B173" s="65"/>
      <c r="C173" s="65"/>
      <c r="D173" s="65"/>
      <c r="E173" s="65"/>
      <c r="F173" s="65"/>
      <c r="G173" s="66">
        <f>SUM(G164:G172)</f>
        <v>21</v>
      </c>
      <c r="H173" s="108"/>
      <c r="I173" s="108"/>
      <c r="J173" s="108"/>
      <c r="K173" s="108">
        <f>SUM(K164:K172)</f>
        <v>177.29</v>
      </c>
      <c r="L173" s="67"/>
      <c r="M173" s="67"/>
      <c r="N173" s="67"/>
      <c r="O173" s="68"/>
      <c r="P173" s="116">
        <f t="shared" ref="P173:Y173" si="110">SUM(P164:P172)</f>
        <v>0</v>
      </c>
      <c r="Q173" s="112">
        <f t="shared" si="110"/>
        <v>108.90038250000001</v>
      </c>
      <c r="R173" s="69">
        <f t="shared" si="110"/>
        <v>0</v>
      </c>
      <c r="S173" s="69">
        <f t="shared" si="110"/>
        <v>0</v>
      </c>
      <c r="T173" s="69">
        <f t="shared" si="110"/>
        <v>0</v>
      </c>
      <c r="U173" s="69">
        <f t="shared" si="110"/>
        <v>34.5</v>
      </c>
      <c r="V173" s="69">
        <f t="shared" si="110"/>
        <v>0</v>
      </c>
      <c r="W173" s="69">
        <f t="shared" si="110"/>
        <v>0</v>
      </c>
      <c r="X173" s="69">
        <f t="shared" si="110"/>
        <v>0</v>
      </c>
      <c r="Y173" s="69">
        <f t="shared" si="110"/>
        <v>1365.2849999999999</v>
      </c>
      <c r="Z173" s="27"/>
      <c r="AA173" s="103"/>
      <c r="AB173" s="103"/>
      <c r="AC173" s="103"/>
      <c r="AD173" s="104"/>
      <c r="AE173" s="27"/>
      <c r="AG173" s="114">
        <f>SUM(AG164:AG172)</f>
        <v>10317.682334157009</v>
      </c>
    </row>
    <row r="174" spans="1:33" ht="15.9" customHeight="1">
      <c r="A174" s="51" t="s">
        <v>83</v>
      </c>
      <c r="K174" s="46"/>
      <c r="L174" s="46"/>
      <c r="M174" s="46"/>
      <c r="N174" s="46"/>
      <c r="X174" s="47"/>
      <c r="Z174" s="27"/>
      <c r="AA174" s="103"/>
      <c r="AB174" s="103"/>
      <c r="AC174" s="103"/>
      <c r="AE174" s="27"/>
      <c r="AF174" s="84" t="s">
        <v>319</v>
      </c>
      <c r="AG174" s="95">
        <f>3213.75*1.01</f>
        <v>3245.8874999999998</v>
      </c>
    </row>
    <row r="175" spans="1:33" s="94" customFormat="1" ht="28">
      <c r="A175" s="89" t="s">
        <v>4</v>
      </c>
      <c r="B175" s="90" t="s">
        <v>5</v>
      </c>
      <c r="C175" s="90" t="s">
        <v>24</v>
      </c>
      <c r="D175" s="90" t="s">
        <v>46</v>
      </c>
      <c r="E175" s="90" t="s">
        <v>47</v>
      </c>
      <c r="F175" s="90" t="s">
        <v>6</v>
      </c>
      <c r="G175" s="90" t="s">
        <v>7</v>
      </c>
      <c r="H175" s="91" t="s">
        <v>8</v>
      </c>
      <c r="I175" s="91" t="s">
        <v>48</v>
      </c>
      <c r="J175" s="91" t="s">
        <v>9</v>
      </c>
      <c r="K175" s="92" t="s">
        <v>14</v>
      </c>
      <c r="L175" s="92" t="s">
        <v>20</v>
      </c>
      <c r="M175" s="92" t="s">
        <v>23</v>
      </c>
      <c r="N175" s="92" t="s">
        <v>21</v>
      </c>
      <c r="O175" s="93" t="s">
        <v>10</v>
      </c>
      <c r="P175" s="93" t="s">
        <v>50</v>
      </c>
      <c r="Q175" s="110" t="s">
        <v>63</v>
      </c>
      <c r="R175" s="43" t="s">
        <v>51</v>
      </c>
      <c r="S175" s="43" t="s">
        <v>55</v>
      </c>
      <c r="T175" s="43" t="s">
        <v>70</v>
      </c>
      <c r="U175" s="43" t="s">
        <v>13</v>
      </c>
      <c r="V175" s="43" t="s">
        <v>53</v>
      </c>
      <c r="W175" s="43" t="s">
        <v>49</v>
      </c>
      <c r="X175" s="43" t="s">
        <v>15</v>
      </c>
      <c r="Y175" s="48" t="s">
        <v>12</v>
      </c>
      <c r="Z175" s="27"/>
      <c r="AA175" s="103"/>
      <c r="AB175" s="103"/>
      <c r="AC175" s="103"/>
      <c r="AE175" s="27"/>
      <c r="AG175" s="48" t="s">
        <v>22</v>
      </c>
    </row>
    <row r="176" spans="1:33" s="27" customFormat="1" ht="28">
      <c r="A176" s="97" t="s">
        <v>320</v>
      </c>
      <c r="B176" s="96" t="s">
        <v>321</v>
      </c>
      <c r="C176" s="96"/>
      <c r="D176" s="96" t="s">
        <v>322</v>
      </c>
      <c r="E176" s="96"/>
      <c r="F176" s="96" t="s">
        <v>77</v>
      </c>
      <c r="G176" s="98">
        <v>1</v>
      </c>
      <c r="H176" s="164">
        <v>6.49</v>
      </c>
      <c r="I176" s="164"/>
      <c r="J176" s="164">
        <v>0.31</v>
      </c>
      <c r="K176" s="165">
        <f>H176-I176-J176</f>
        <v>6.1800000000000006</v>
      </c>
      <c r="L176" s="100">
        <v>2</v>
      </c>
      <c r="M176" s="100"/>
      <c r="N176" s="101">
        <v>20</v>
      </c>
      <c r="O176" s="109">
        <v>9.5</v>
      </c>
      <c r="P176" s="115"/>
      <c r="Q176" s="111">
        <f>K176*IF(LEFT(F176,3)="10K",0.417*1.07,IF(LEFT(F176,3)="14K",0.585*1.05,IF(LEFT(F176,3)="18K",0.75*1.05,0)))</f>
        <v>3.796065</v>
      </c>
      <c r="R176" s="34"/>
      <c r="S176" s="34"/>
      <c r="T176" s="34"/>
      <c r="U176" s="34">
        <f>G176*2.3</f>
        <v>2.2999999999999998</v>
      </c>
      <c r="V176" s="34"/>
      <c r="W176" s="34"/>
      <c r="X176" s="34"/>
      <c r="Y176" s="34">
        <f t="shared" ref="Y176:Y181" si="111">K176*O176</f>
        <v>58.710000000000008</v>
      </c>
      <c r="Z176" s="27">
        <f t="shared" si="93"/>
        <v>12.360000000000001</v>
      </c>
      <c r="AA176" s="103">
        <f t="shared" si="94"/>
        <v>48.650000000000006</v>
      </c>
      <c r="AB176" s="103">
        <f t="shared" si="95"/>
        <v>277.11274500000002</v>
      </c>
      <c r="AC176" s="103">
        <f t="shared" si="96"/>
        <v>325.762745</v>
      </c>
      <c r="AE176" s="27">
        <f t="shared" si="97"/>
        <v>58.710000000000008</v>
      </c>
      <c r="AG176" s="113">
        <f t="shared" ref="AG176:AG181" si="112">$AG$14/31.1035*K176*IF(LEFT(F176,3)="10K",0.417*1.07,IF(LEFT(F176,3)="14K",0.585*1.05,IF(LEFT(F176,3)="18K",0.75*1.05,0)))</f>
        <v>359.65523619544422</v>
      </c>
    </row>
    <row r="177" spans="1:33" s="27" customFormat="1" ht="28">
      <c r="A177" s="97">
        <v>2</v>
      </c>
      <c r="B177" s="99" t="s">
        <v>323</v>
      </c>
      <c r="C177" s="99"/>
      <c r="D177" s="99" t="s">
        <v>324</v>
      </c>
      <c r="E177" s="96"/>
      <c r="F177" s="96" t="s">
        <v>77</v>
      </c>
      <c r="G177" s="98">
        <v>1</v>
      </c>
      <c r="H177" s="164">
        <v>5.98</v>
      </c>
      <c r="I177" s="164"/>
      <c r="J177" s="164">
        <v>0.3</v>
      </c>
      <c r="K177" s="165">
        <f t="shared" ref="K177:K181" si="113">H177-I177-J177</f>
        <v>5.6800000000000006</v>
      </c>
      <c r="L177" s="100">
        <v>2</v>
      </c>
      <c r="M177" s="100"/>
      <c r="N177" s="101">
        <v>20</v>
      </c>
      <c r="O177" s="109">
        <v>9.5</v>
      </c>
      <c r="P177" s="115"/>
      <c r="Q177" s="111">
        <f t="shared" ref="Q177:Q181" si="114">K177*IF(LEFT(F177,3)="10K",0.417*1.07,IF(LEFT(F177,3)="14K",0.585*1.05,IF(LEFT(F177,3)="18K",0.75*1.05,0)))</f>
        <v>3.4889400000000004</v>
      </c>
      <c r="R177" s="34"/>
      <c r="S177" s="34"/>
      <c r="T177" s="34"/>
      <c r="U177" s="34">
        <f>G177*2.3</f>
        <v>2.2999999999999998</v>
      </c>
      <c r="V177" s="34"/>
      <c r="W177" s="34"/>
      <c r="X177" s="34"/>
      <c r="Y177" s="34">
        <f t="shared" si="111"/>
        <v>53.960000000000008</v>
      </c>
      <c r="Z177" s="27">
        <f t="shared" si="93"/>
        <v>11.360000000000001</v>
      </c>
      <c r="AA177" s="103">
        <f t="shared" si="94"/>
        <v>44.900000000000006</v>
      </c>
      <c r="AB177" s="103">
        <f t="shared" si="95"/>
        <v>254.69262000000003</v>
      </c>
      <c r="AC177" s="103">
        <f t="shared" si="96"/>
        <v>299.59262000000001</v>
      </c>
      <c r="AE177" s="27">
        <f t="shared" si="97"/>
        <v>53.960000000000008</v>
      </c>
      <c r="AG177" s="113">
        <f t="shared" si="112"/>
        <v>330.5569161149067</v>
      </c>
    </row>
    <row r="178" spans="1:33" s="27" customFormat="1" ht="28">
      <c r="A178" s="97">
        <v>3</v>
      </c>
      <c r="B178" s="99" t="s">
        <v>325</v>
      </c>
      <c r="C178" s="99"/>
      <c r="D178" s="96" t="s">
        <v>326</v>
      </c>
      <c r="E178" s="96"/>
      <c r="F178" s="96" t="s">
        <v>77</v>
      </c>
      <c r="G178" s="98">
        <v>1</v>
      </c>
      <c r="H178" s="164">
        <v>6.55</v>
      </c>
      <c r="I178" s="164"/>
      <c r="J178" s="164">
        <v>0.32</v>
      </c>
      <c r="K178" s="165">
        <f t="shared" si="113"/>
        <v>6.2299999999999995</v>
      </c>
      <c r="L178" s="100">
        <v>2</v>
      </c>
      <c r="M178" s="100"/>
      <c r="N178" s="101">
        <v>20</v>
      </c>
      <c r="O178" s="109">
        <v>9.5</v>
      </c>
      <c r="P178" s="115"/>
      <c r="Q178" s="111">
        <f t="shared" si="114"/>
        <v>3.8267774999999995</v>
      </c>
      <c r="R178" s="34"/>
      <c r="S178" s="34"/>
      <c r="T178" s="34"/>
      <c r="U178" s="34">
        <f>G178*2.3</f>
        <v>2.2999999999999998</v>
      </c>
      <c r="V178" s="34"/>
      <c r="W178" s="34"/>
      <c r="X178" s="34"/>
      <c r="Y178" s="34">
        <f t="shared" si="111"/>
        <v>59.184999999999995</v>
      </c>
      <c r="Z178" s="27">
        <f t="shared" si="93"/>
        <v>12.459999999999999</v>
      </c>
      <c r="AA178" s="103">
        <f t="shared" si="94"/>
        <v>49.024999999999991</v>
      </c>
      <c r="AB178" s="103">
        <f t="shared" si="95"/>
        <v>279.35475749999995</v>
      </c>
      <c r="AC178" s="103">
        <f t="shared" si="96"/>
        <v>328.37975749999993</v>
      </c>
      <c r="AE178" s="27">
        <f t="shared" si="97"/>
        <v>59.184999999999995</v>
      </c>
      <c r="AG178" s="113">
        <f t="shared" si="112"/>
        <v>362.5650682034979</v>
      </c>
    </row>
    <row r="179" spans="1:33" s="27" customFormat="1" ht="28">
      <c r="A179" s="97">
        <v>5</v>
      </c>
      <c r="B179" s="96" t="s">
        <v>327</v>
      </c>
      <c r="C179" s="96"/>
      <c r="D179" s="96" t="s">
        <v>170</v>
      </c>
      <c r="E179" s="96"/>
      <c r="F179" s="96" t="s">
        <v>82</v>
      </c>
      <c r="G179" s="98">
        <v>2</v>
      </c>
      <c r="H179" s="164">
        <v>14.51</v>
      </c>
      <c r="I179" s="164"/>
      <c r="J179" s="164">
        <v>0</v>
      </c>
      <c r="K179" s="165">
        <f t="shared" si="113"/>
        <v>14.51</v>
      </c>
      <c r="L179" s="100" t="s">
        <v>104</v>
      </c>
      <c r="M179" s="100"/>
      <c r="N179" s="101" t="s">
        <v>328</v>
      </c>
      <c r="O179" s="109">
        <v>8</v>
      </c>
      <c r="P179" s="115"/>
      <c r="Q179" s="111">
        <f t="shared" si="114"/>
        <v>8.9127674999999993</v>
      </c>
      <c r="R179" s="34"/>
      <c r="S179" s="34"/>
      <c r="T179" s="34"/>
      <c r="U179" s="34"/>
      <c r="V179" s="34"/>
      <c r="W179" s="34"/>
      <c r="X179" s="34"/>
      <c r="Y179" s="34">
        <f t="shared" si="111"/>
        <v>116.08</v>
      </c>
      <c r="Z179" s="27">
        <f t="shared" si="93"/>
        <v>29.02</v>
      </c>
      <c r="AA179" s="103">
        <f t="shared" si="94"/>
        <v>87.06</v>
      </c>
      <c r="AB179" s="103">
        <f t="shared" si="95"/>
        <v>650.63202749999994</v>
      </c>
      <c r="AC179" s="103">
        <f t="shared" si="96"/>
        <v>737.69202749999999</v>
      </c>
      <c r="AE179" s="27">
        <f t="shared" si="97"/>
        <v>116.08</v>
      </c>
      <c r="AG179" s="113">
        <f t="shared" si="112"/>
        <v>844.43324873719985</v>
      </c>
    </row>
    <row r="180" spans="1:33" s="27" customFormat="1" ht="28">
      <c r="A180" s="97">
        <v>6</v>
      </c>
      <c r="B180" s="99" t="s">
        <v>329</v>
      </c>
      <c r="C180" s="99"/>
      <c r="D180" s="96" t="s">
        <v>330</v>
      </c>
      <c r="E180" s="96"/>
      <c r="F180" s="96" t="s">
        <v>133</v>
      </c>
      <c r="G180" s="98">
        <v>1</v>
      </c>
      <c r="H180" s="164">
        <v>6.3</v>
      </c>
      <c r="I180" s="164"/>
      <c r="J180" s="164">
        <v>0.34</v>
      </c>
      <c r="K180" s="165">
        <f t="shared" si="113"/>
        <v>5.96</v>
      </c>
      <c r="L180" s="100">
        <v>1.8</v>
      </c>
      <c r="M180" s="100"/>
      <c r="N180" s="101">
        <v>41</v>
      </c>
      <c r="O180" s="109">
        <v>8.5</v>
      </c>
      <c r="P180" s="115"/>
      <c r="Q180" s="111">
        <f t="shared" si="114"/>
        <v>3.6609299999999996</v>
      </c>
      <c r="R180" s="34"/>
      <c r="S180" s="34"/>
      <c r="T180" s="34"/>
      <c r="U180" s="34">
        <f>G180*2.3</f>
        <v>2.2999999999999998</v>
      </c>
      <c r="V180" s="34"/>
      <c r="W180" s="34"/>
      <c r="X180" s="34"/>
      <c r="Y180" s="34">
        <f t="shared" si="111"/>
        <v>50.66</v>
      </c>
      <c r="Z180" s="27">
        <f t="shared" si="93"/>
        <v>11.92</v>
      </c>
      <c r="AA180" s="103">
        <f t="shared" si="94"/>
        <v>41.039999999999992</v>
      </c>
      <c r="AB180" s="103">
        <f t="shared" si="95"/>
        <v>267.24788999999998</v>
      </c>
      <c r="AC180" s="103">
        <f t="shared" si="96"/>
        <v>308.28788999999995</v>
      </c>
      <c r="AE180" s="27">
        <f t="shared" si="97"/>
        <v>50.66</v>
      </c>
      <c r="AG180" s="113">
        <f t="shared" si="112"/>
        <v>346.85197536000766</v>
      </c>
    </row>
    <row r="181" spans="1:33" s="27" customFormat="1" ht="28.5" thickBot="1">
      <c r="A181" s="97">
        <v>8</v>
      </c>
      <c r="B181" s="99" t="s">
        <v>262</v>
      </c>
      <c r="C181" s="99"/>
      <c r="D181" s="96" t="s">
        <v>127</v>
      </c>
      <c r="E181" s="96"/>
      <c r="F181" s="96" t="s">
        <v>94</v>
      </c>
      <c r="G181" s="98">
        <v>1</v>
      </c>
      <c r="H181" s="164">
        <v>5.95</v>
      </c>
      <c r="I181" s="164"/>
      <c r="J181" s="164">
        <v>0.32</v>
      </c>
      <c r="K181" s="165">
        <f t="shared" si="113"/>
        <v>5.63</v>
      </c>
      <c r="L181" s="100">
        <v>1.8</v>
      </c>
      <c r="M181" s="100"/>
      <c r="N181" s="101">
        <v>41</v>
      </c>
      <c r="O181" s="109">
        <v>8.5</v>
      </c>
      <c r="P181" s="115"/>
      <c r="Q181" s="111">
        <f t="shared" si="114"/>
        <v>3.4582274999999996</v>
      </c>
      <c r="R181" s="34"/>
      <c r="S181" s="34"/>
      <c r="T181" s="34"/>
      <c r="U181" s="34">
        <f>G181*2.3</f>
        <v>2.2999999999999998</v>
      </c>
      <c r="V181" s="34"/>
      <c r="W181" s="34"/>
      <c r="X181" s="34"/>
      <c r="Y181" s="34">
        <f t="shared" si="111"/>
        <v>47.854999999999997</v>
      </c>
      <c r="Z181" s="27">
        <f t="shared" si="93"/>
        <v>11.26</v>
      </c>
      <c r="AA181" s="103">
        <f t="shared" si="94"/>
        <v>38.894999999999996</v>
      </c>
      <c r="AB181" s="103">
        <f t="shared" si="95"/>
        <v>252.45060749999996</v>
      </c>
      <c r="AC181" s="103">
        <f t="shared" si="96"/>
        <v>291.34560749999997</v>
      </c>
      <c r="AE181" s="27">
        <f t="shared" si="97"/>
        <v>47.854999999999997</v>
      </c>
      <c r="AG181" s="113">
        <f t="shared" si="112"/>
        <v>327.6470841068529</v>
      </c>
    </row>
    <row r="182" spans="1:33" s="28" customFormat="1" ht="15.9" customHeight="1">
      <c r="A182" s="88" t="s">
        <v>71</v>
      </c>
      <c r="B182" s="65"/>
      <c r="C182" s="65"/>
      <c r="D182" s="65"/>
      <c r="E182" s="65"/>
      <c r="F182" s="65"/>
      <c r="G182" s="66">
        <f>SUM(G176:G181)</f>
        <v>7</v>
      </c>
      <c r="H182" s="166"/>
      <c r="I182" s="166"/>
      <c r="J182" s="166"/>
      <c r="K182" s="166">
        <f>SUM(K176:K181)</f>
        <v>44.190000000000005</v>
      </c>
      <c r="L182" s="67"/>
      <c r="M182" s="67"/>
      <c r="N182" s="67"/>
      <c r="O182" s="68"/>
      <c r="P182" s="116">
        <f t="shared" ref="P182:Y182" si="115">SUM(P176:P181)</f>
        <v>0</v>
      </c>
      <c r="Q182" s="112">
        <f t="shared" si="115"/>
        <v>27.143707499999998</v>
      </c>
      <c r="R182" s="69">
        <f t="shared" si="115"/>
        <v>0</v>
      </c>
      <c r="S182" s="69">
        <f t="shared" si="115"/>
        <v>0</v>
      </c>
      <c r="T182" s="69">
        <f t="shared" si="115"/>
        <v>0</v>
      </c>
      <c r="U182" s="69">
        <f t="shared" si="115"/>
        <v>11.5</v>
      </c>
      <c r="V182" s="69">
        <f t="shared" si="115"/>
        <v>0</v>
      </c>
      <c r="W182" s="69">
        <f t="shared" si="115"/>
        <v>0</v>
      </c>
      <c r="X182" s="69">
        <f t="shared" si="115"/>
        <v>0</v>
      </c>
      <c r="Y182" s="69">
        <f t="shared" si="115"/>
        <v>386.45000000000005</v>
      </c>
      <c r="Z182" s="27"/>
      <c r="AA182" s="103"/>
      <c r="AB182" s="103"/>
      <c r="AC182" s="103"/>
      <c r="AD182" s="104"/>
      <c r="AE182" s="27"/>
      <c r="AG182" s="114">
        <f>SUM(AG176:AG181)</f>
        <v>2571.7095287179095</v>
      </c>
    </row>
    <row r="183" spans="1:33" ht="15.9" customHeight="1">
      <c r="A183" s="51" t="s">
        <v>83</v>
      </c>
      <c r="K183" s="46"/>
      <c r="L183" s="46"/>
      <c r="M183" s="46"/>
      <c r="N183" s="46"/>
      <c r="X183" s="47"/>
      <c r="Z183" s="27"/>
      <c r="AA183" s="103"/>
      <c r="AB183" s="103"/>
      <c r="AC183" s="103"/>
      <c r="AE183" s="27"/>
      <c r="AF183" s="84" t="s">
        <v>319</v>
      </c>
      <c r="AG183" s="95">
        <f>3213.75*1.01</f>
        <v>3245.8874999999998</v>
      </c>
    </row>
    <row r="184" spans="1:33" s="94" customFormat="1" ht="28">
      <c r="A184" s="89" t="s">
        <v>4</v>
      </c>
      <c r="B184" s="90" t="s">
        <v>5</v>
      </c>
      <c r="C184" s="90" t="s">
        <v>24</v>
      </c>
      <c r="D184" s="90" t="s">
        <v>46</v>
      </c>
      <c r="E184" s="90" t="s">
        <v>47</v>
      </c>
      <c r="F184" s="90" t="s">
        <v>6</v>
      </c>
      <c r="G184" s="90" t="s">
        <v>7</v>
      </c>
      <c r="H184" s="91" t="s">
        <v>8</v>
      </c>
      <c r="I184" s="91" t="s">
        <v>48</v>
      </c>
      <c r="J184" s="91" t="s">
        <v>9</v>
      </c>
      <c r="K184" s="92" t="s">
        <v>14</v>
      </c>
      <c r="L184" s="92" t="s">
        <v>20</v>
      </c>
      <c r="M184" s="92" t="s">
        <v>23</v>
      </c>
      <c r="N184" s="92" t="s">
        <v>21</v>
      </c>
      <c r="O184" s="93" t="s">
        <v>10</v>
      </c>
      <c r="P184" s="93" t="s">
        <v>50</v>
      </c>
      <c r="Q184" s="110" t="s">
        <v>63</v>
      </c>
      <c r="R184" s="43" t="s">
        <v>51</v>
      </c>
      <c r="S184" s="43" t="s">
        <v>55</v>
      </c>
      <c r="T184" s="43" t="s">
        <v>70</v>
      </c>
      <c r="U184" s="43" t="s">
        <v>13</v>
      </c>
      <c r="V184" s="43" t="s">
        <v>53</v>
      </c>
      <c r="W184" s="43" t="s">
        <v>49</v>
      </c>
      <c r="X184" s="43" t="s">
        <v>15</v>
      </c>
      <c r="Y184" s="48" t="s">
        <v>12</v>
      </c>
      <c r="Z184" s="27"/>
      <c r="AA184" s="103"/>
      <c r="AB184" s="103"/>
      <c r="AC184" s="103"/>
      <c r="AE184" s="27"/>
      <c r="AG184" s="48" t="s">
        <v>22</v>
      </c>
    </row>
    <row r="185" spans="1:33" s="27" customFormat="1" ht="28.5" thickBot="1">
      <c r="A185" s="97" t="s">
        <v>331</v>
      </c>
      <c r="B185" s="99" t="s">
        <v>231</v>
      </c>
      <c r="C185" s="99"/>
      <c r="D185" s="99" t="s">
        <v>332</v>
      </c>
      <c r="E185" s="96"/>
      <c r="F185" s="96" t="s">
        <v>77</v>
      </c>
      <c r="G185" s="98">
        <v>1</v>
      </c>
      <c r="H185" s="164">
        <v>5.46</v>
      </c>
      <c r="I185" s="164"/>
      <c r="J185" s="164">
        <v>0.3</v>
      </c>
      <c r="K185" s="165">
        <f t="shared" ref="K185" si="116">H185-I185-J185</f>
        <v>5.16</v>
      </c>
      <c r="L185" s="100">
        <v>1.8</v>
      </c>
      <c r="M185" s="100"/>
      <c r="N185" s="101">
        <v>41</v>
      </c>
      <c r="O185" s="109">
        <v>8.5</v>
      </c>
      <c r="P185" s="115"/>
      <c r="Q185" s="111">
        <f t="shared" ref="Q185" si="117">K185*IF(LEFT(F185,3)="10K",0.417*1.07,IF(LEFT(F185,3)="14K",0.585*1.05,IF(LEFT(F185,3)="18K",0.75*1.05,0)))</f>
        <v>3.16953</v>
      </c>
      <c r="R185" s="34"/>
      <c r="S185" s="34"/>
      <c r="T185" s="34"/>
      <c r="U185" s="34">
        <f>G185*2.3</f>
        <v>2.2999999999999998</v>
      </c>
      <c r="V185" s="34"/>
      <c r="W185" s="34"/>
      <c r="X185" s="34"/>
      <c r="Y185" s="34">
        <f t="shared" ref="Y185" si="118">K185*O185</f>
        <v>43.86</v>
      </c>
      <c r="Z185" s="27">
        <f t="shared" si="93"/>
        <v>10.32</v>
      </c>
      <c r="AA185" s="103">
        <f t="shared" si="94"/>
        <v>35.839999999999996</v>
      </c>
      <c r="AB185" s="103">
        <f t="shared" si="95"/>
        <v>231.37568999999999</v>
      </c>
      <c r="AC185" s="103">
        <f t="shared" si="96"/>
        <v>267.21569</v>
      </c>
      <c r="AE185" s="27">
        <f t="shared" si="97"/>
        <v>43.86</v>
      </c>
      <c r="AG185" s="113">
        <f>$AG$14/31.1035*K185*IF(LEFT(F185,3)="10K",0.417*1.07,IF(LEFT(F185,3)="14K",0.585*1.05,IF(LEFT(F185,3)="18K",0.75*1.05,0)))</f>
        <v>300.29466323114764</v>
      </c>
    </row>
    <row r="186" spans="1:33" s="28" customFormat="1" ht="15.9" customHeight="1">
      <c r="A186" s="88" t="s">
        <v>71</v>
      </c>
      <c r="B186" s="65"/>
      <c r="C186" s="65"/>
      <c r="D186" s="65"/>
      <c r="E186" s="65"/>
      <c r="F186" s="65"/>
      <c r="G186" s="66">
        <f>SUM(G185:G185)</f>
        <v>1</v>
      </c>
      <c r="H186" s="166"/>
      <c r="I186" s="166"/>
      <c r="J186" s="166"/>
      <c r="K186" s="166">
        <f>SUM(K185:K185)</f>
        <v>5.16</v>
      </c>
      <c r="L186" s="67"/>
      <c r="M186" s="67"/>
      <c r="N186" s="67"/>
      <c r="O186" s="68"/>
      <c r="P186" s="116">
        <f t="shared" ref="P186:Y186" si="119">SUM(P185:P185)</f>
        <v>0</v>
      </c>
      <c r="Q186" s="112">
        <f t="shared" si="119"/>
        <v>3.16953</v>
      </c>
      <c r="R186" s="69">
        <f t="shared" si="119"/>
        <v>0</v>
      </c>
      <c r="S186" s="69">
        <f t="shared" si="119"/>
        <v>0</v>
      </c>
      <c r="T186" s="69">
        <f t="shared" si="119"/>
        <v>0</v>
      </c>
      <c r="U186" s="69">
        <f t="shared" si="119"/>
        <v>2.2999999999999998</v>
      </c>
      <c r="V186" s="69">
        <f t="shared" si="119"/>
        <v>0</v>
      </c>
      <c r="W186" s="69">
        <f t="shared" si="119"/>
        <v>0</v>
      </c>
      <c r="X186" s="69">
        <f t="shared" si="119"/>
        <v>0</v>
      </c>
      <c r="Y186" s="69">
        <f t="shared" si="119"/>
        <v>43.86</v>
      </c>
      <c r="Z186" s="27"/>
      <c r="AA186" s="103"/>
      <c r="AB186" s="103"/>
      <c r="AC186" s="103"/>
      <c r="AD186" s="104"/>
      <c r="AE186" s="27"/>
      <c r="AG186" s="114">
        <f>SUM(AG185:AG185)</f>
        <v>300.29466323114764</v>
      </c>
    </row>
    <row r="187" spans="1:33" ht="15.9" customHeight="1">
      <c r="A187" s="51" t="s">
        <v>83</v>
      </c>
      <c r="H187" s="145"/>
      <c r="I187" s="145"/>
      <c r="J187" s="145"/>
      <c r="K187" s="146"/>
      <c r="L187" s="46"/>
      <c r="M187" s="46"/>
      <c r="N187" s="46"/>
      <c r="O187" s="147"/>
      <c r="Q187" s="145"/>
      <c r="X187" s="47"/>
      <c r="Y187" s="84" t="s">
        <v>333</v>
      </c>
      <c r="Z187" s="27"/>
      <c r="AA187" s="103"/>
      <c r="AB187" s="103"/>
      <c r="AC187" s="103"/>
      <c r="AD187" s="27"/>
      <c r="AE187" s="27"/>
      <c r="AG187" s="95">
        <f>1.01*3021.85</f>
        <v>3052.0684999999999</v>
      </c>
    </row>
    <row r="188" spans="1:33" s="94" customFormat="1" ht="28">
      <c r="A188" s="89" t="s">
        <v>4</v>
      </c>
      <c r="B188" s="90" t="s">
        <v>5</v>
      </c>
      <c r="C188" s="90" t="s">
        <v>24</v>
      </c>
      <c r="D188" s="90" t="s">
        <v>46</v>
      </c>
      <c r="E188" s="90" t="s">
        <v>47</v>
      </c>
      <c r="F188" s="90" t="s">
        <v>6</v>
      </c>
      <c r="G188" s="90" t="s">
        <v>7</v>
      </c>
      <c r="H188" s="148" t="s">
        <v>8</v>
      </c>
      <c r="I188" s="148" t="s">
        <v>48</v>
      </c>
      <c r="J188" s="148" t="s">
        <v>9</v>
      </c>
      <c r="K188" s="148" t="s">
        <v>14</v>
      </c>
      <c r="L188" s="92" t="s">
        <v>20</v>
      </c>
      <c r="M188" s="92" t="s">
        <v>23</v>
      </c>
      <c r="N188" s="92" t="s">
        <v>21</v>
      </c>
      <c r="O188" s="149" t="s">
        <v>10</v>
      </c>
      <c r="P188" s="93" t="s">
        <v>50</v>
      </c>
      <c r="Q188" s="150" t="s">
        <v>85</v>
      </c>
      <c r="R188" s="43" t="s">
        <v>51</v>
      </c>
      <c r="S188" s="43" t="s">
        <v>55</v>
      </c>
      <c r="T188" s="43" t="s">
        <v>70</v>
      </c>
      <c r="U188" s="43" t="s">
        <v>13</v>
      </c>
      <c r="V188" s="43" t="s">
        <v>53</v>
      </c>
      <c r="W188" s="43" t="s">
        <v>49</v>
      </c>
      <c r="X188" s="43" t="s">
        <v>15</v>
      </c>
      <c r="Y188" s="48" t="s">
        <v>12</v>
      </c>
      <c r="Z188" s="27"/>
      <c r="AA188" s="103"/>
      <c r="AB188" s="103"/>
      <c r="AC188" s="103"/>
      <c r="AD188" s="27"/>
      <c r="AE188" s="27"/>
      <c r="AG188" s="48" t="s">
        <v>22</v>
      </c>
    </row>
    <row r="189" spans="1:33" s="27" customFormat="1" ht="168.5" thickBot="1">
      <c r="A189" s="97" t="s">
        <v>334</v>
      </c>
      <c r="B189" s="99" t="s">
        <v>335</v>
      </c>
      <c r="C189" s="96"/>
      <c r="D189" s="99" t="s">
        <v>336</v>
      </c>
      <c r="E189" s="96"/>
      <c r="F189" s="96" t="s">
        <v>94</v>
      </c>
      <c r="G189" s="159">
        <v>3</v>
      </c>
      <c r="H189" s="160">
        <v>66.759999999999991</v>
      </c>
      <c r="I189" s="160"/>
      <c r="J189" s="160"/>
      <c r="K189" s="161">
        <f t="shared" ref="K189" si="120">H189-I189-J189</f>
        <v>66.759999999999991</v>
      </c>
      <c r="L189" s="100" t="s">
        <v>337</v>
      </c>
      <c r="M189" s="100"/>
      <c r="N189" s="101" t="s">
        <v>338</v>
      </c>
      <c r="O189" s="109">
        <v>8</v>
      </c>
      <c r="P189" s="115"/>
      <c r="Q189" s="151">
        <f t="shared" ref="Q189" si="121">IF(LEFT(F189,3)="10K",(0.417*1.07*K189),IF(LEFT(F189,3)="14K",(0.585*1.05*K189),IF(LEFT(F189,3)="18K",(0.75*1.05*K189),0)))</f>
        <v>41.007329999999989</v>
      </c>
      <c r="R189" s="34"/>
      <c r="S189" s="34"/>
      <c r="T189" s="34"/>
      <c r="U189" s="34"/>
      <c r="V189" s="34"/>
      <c r="W189" s="34"/>
      <c r="X189" s="34"/>
      <c r="Y189" s="34">
        <f t="shared" ref="Y189" si="122">K189*O189</f>
        <v>534.07999999999993</v>
      </c>
      <c r="Z189" s="27">
        <f t="shared" ref="Z189:Z193" si="123">2*K189</f>
        <v>133.51999999999998</v>
      </c>
      <c r="AA189" s="103">
        <f t="shared" ref="AA189:AA193" si="124">(SUM(R189:X189)+AE189)-Z189</f>
        <v>400.55999999999995</v>
      </c>
      <c r="AB189" s="103">
        <f t="shared" ref="AB189:AB193" si="125">Q189*$AB$13+P189*$AB$14</f>
        <v>2993.5350899999994</v>
      </c>
      <c r="AC189" s="103">
        <f t="shared" ref="AC189:AC193" si="126">SUM(AA189:AB189)</f>
        <v>3394.0950899999993</v>
      </c>
      <c r="AD189" s="27">
        <v>8</v>
      </c>
      <c r="AE189" s="27">
        <f t="shared" ref="AE189:AE193" si="127">IF(AD189&gt;0,AD189*K189,Y189)</f>
        <v>534.07999999999993</v>
      </c>
      <c r="AG189" s="152" t="e">
        <f>#REF!/31.1035*IF(LEFT(N189,3)="10K",(0.417*1.07*S189),IF(LEFT(N189,3)="14K",(0.585*1.05*S189),IF(LEFT(N189,3)="18K",(0.75*1.05*S189),0)))</f>
        <v>#REF!</v>
      </c>
    </row>
    <row r="190" spans="1:33" s="28" customFormat="1" ht="15.9" customHeight="1">
      <c r="A190" s="88" t="s">
        <v>71</v>
      </c>
      <c r="B190" s="65"/>
      <c r="C190" s="65"/>
      <c r="D190" s="65"/>
      <c r="E190" s="65"/>
      <c r="F190" s="65"/>
      <c r="G190" s="162">
        <f>SUM(G189:G189)</f>
        <v>3</v>
      </c>
      <c r="H190" s="163"/>
      <c r="I190" s="163"/>
      <c r="J190" s="163"/>
      <c r="K190" s="163">
        <f>SUM(K189:K189)</f>
        <v>66.759999999999991</v>
      </c>
      <c r="L190" s="67"/>
      <c r="M190" s="67"/>
      <c r="N190" s="67"/>
      <c r="O190" s="153"/>
      <c r="P190" s="116">
        <f t="shared" ref="P190:Y190" si="128">SUM(P189:P189)</f>
        <v>0</v>
      </c>
      <c r="Q190" s="154">
        <f t="shared" si="128"/>
        <v>41.007329999999989</v>
      </c>
      <c r="R190" s="69">
        <f t="shared" si="128"/>
        <v>0</v>
      </c>
      <c r="S190" s="69">
        <f t="shared" si="128"/>
        <v>0</v>
      </c>
      <c r="T190" s="69">
        <f t="shared" si="128"/>
        <v>0</v>
      </c>
      <c r="U190" s="69">
        <f t="shared" si="128"/>
        <v>0</v>
      </c>
      <c r="V190" s="69">
        <f t="shared" si="128"/>
        <v>0</v>
      </c>
      <c r="W190" s="69">
        <f t="shared" si="128"/>
        <v>0</v>
      </c>
      <c r="X190" s="69">
        <f t="shared" si="128"/>
        <v>0</v>
      </c>
      <c r="Y190" s="69">
        <f t="shared" si="128"/>
        <v>534.07999999999993</v>
      </c>
      <c r="Z190" s="27"/>
      <c r="AA190" s="103"/>
      <c r="AB190" s="103"/>
      <c r="AC190" s="103"/>
      <c r="AD190" s="27"/>
      <c r="AE190" s="27"/>
      <c r="AG190" s="155" t="e">
        <f>SUM(AG189:AG189)</f>
        <v>#REF!</v>
      </c>
    </row>
    <row r="191" spans="1:33" ht="15.9" customHeight="1">
      <c r="A191" s="51" t="s">
        <v>83</v>
      </c>
      <c r="K191" s="46"/>
      <c r="L191" s="46"/>
      <c r="M191" s="46"/>
      <c r="N191" s="46"/>
      <c r="X191" s="47"/>
      <c r="Z191" s="27"/>
      <c r="AA191" s="103"/>
      <c r="AB191" s="103"/>
      <c r="AC191" s="103"/>
      <c r="AE191" s="27"/>
      <c r="AF191" s="84" t="s">
        <v>339</v>
      </c>
      <c r="AG191" s="95">
        <f>1.01*3324.35</f>
        <v>3357.5934999999999</v>
      </c>
    </row>
    <row r="192" spans="1:33" s="94" customFormat="1" ht="28">
      <c r="A192" s="89" t="s">
        <v>4</v>
      </c>
      <c r="B192" s="90" t="s">
        <v>5</v>
      </c>
      <c r="C192" s="90" t="s">
        <v>24</v>
      </c>
      <c r="D192" s="90" t="s">
        <v>46</v>
      </c>
      <c r="E192" s="90" t="s">
        <v>47</v>
      </c>
      <c r="F192" s="90" t="s">
        <v>6</v>
      </c>
      <c r="G192" s="90" t="s">
        <v>7</v>
      </c>
      <c r="H192" s="91" t="s">
        <v>8</v>
      </c>
      <c r="I192" s="91" t="s">
        <v>48</v>
      </c>
      <c r="J192" s="91" t="s">
        <v>9</v>
      </c>
      <c r="K192" s="92" t="s">
        <v>14</v>
      </c>
      <c r="L192" s="92" t="s">
        <v>20</v>
      </c>
      <c r="M192" s="92" t="s">
        <v>23</v>
      </c>
      <c r="N192" s="92" t="s">
        <v>21</v>
      </c>
      <c r="O192" s="93" t="s">
        <v>10</v>
      </c>
      <c r="P192" s="93" t="s">
        <v>50</v>
      </c>
      <c r="Q192" s="110" t="s">
        <v>63</v>
      </c>
      <c r="R192" s="43" t="s">
        <v>51</v>
      </c>
      <c r="S192" s="43" t="s">
        <v>55</v>
      </c>
      <c r="T192" s="43" t="s">
        <v>70</v>
      </c>
      <c r="U192" s="43" t="s">
        <v>13</v>
      </c>
      <c r="V192" s="43" t="s">
        <v>53</v>
      </c>
      <c r="W192" s="43" t="s">
        <v>49</v>
      </c>
      <c r="X192" s="43" t="s">
        <v>15</v>
      </c>
      <c r="Y192" s="48" t="s">
        <v>12</v>
      </c>
      <c r="Z192" s="27"/>
      <c r="AA192" s="103"/>
      <c r="AB192" s="103"/>
      <c r="AC192" s="103"/>
      <c r="AE192" s="27"/>
      <c r="AG192" s="48" t="s">
        <v>22</v>
      </c>
    </row>
    <row r="193" spans="1:33" s="27" customFormat="1" ht="28.5" thickBot="1">
      <c r="A193" s="97" t="s">
        <v>340</v>
      </c>
      <c r="B193" s="96" t="s">
        <v>220</v>
      </c>
      <c r="C193" s="96"/>
      <c r="D193" s="96" t="s">
        <v>341</v>
      </c>
      <c r="E193" s="96"/>
      <c r="F193" s="96" t="s">
        <v>77</v>
      </c>
      <c r="G193" s="98">
        <v>1</v>
      </c>
      <c r="H193" s="106">
        <v>6</v>
      </c>
      <c r="I193" s="106">
        <v>0</v>
      </c>
      <c r="J193" s="106">
        <v>0.32</v>
      </c>
      <c r="K193" s="107">
        <f>H193-I193-J193</f>
        <v>5.68</v>
      </c>
      <c r="L193" s="100" t="s">
        <v>222</v>
      </c>
      <c r="M193" s="100"/>
      <c r="N193" s="101" t="s">
        <v>223</v>
      </c>
      <c r="O193" s="109">
        <v>8.5</v>
      </c>
      <c r="P193" s="115"/>
      <c r="Q193" s="111">
        <f>K193*IF(LEFT(F193,3)="10K",0.417*1.07,IF(LEFT(F193,3)="14K",0.585*1.05,IF(LEFT(F193,3)="18K",0.75*1.05,0)))</f>
        <v>3.4889399999999995</v>
      </c>
      <c r="R193" s="34"/>
      <c r="S193" s="34"/>
      <c r="T193" s="34"/>
      <c r="U193" s="34">
        <f>2.3*G193</f>
        <v>2.2999999999999998</v>
      </c>
      <c r="V193" s="34"/>
      <c r="W193" s="34"/>
      <c r="X193" s="34"/>
      <c r="Y193" s="34">
        <f t="shared" ref="Y193" si="129">K193*O193</f>
        <v>48.28</v>
      </c>
      <c r="Z193" s="27">
        <f t="shared" si="123"/>
        <v>11.36</v>
      </c>
      <c r="AA193" s="103">
        <f t="shared" si="124"/>
        <v>39.22</v>
      </c>
      <c r="AB193" s="103">
        <f t="shared" si="125"/>
        <v>254.69261999999998</v>
      </c>
      <c r="AC193" s="103">
        <f t="shared" si="126"/>
        <v>293.91261999999995</v>
      </c>
      <c r="AE193" s="27">
        <f t="shared" si="127"/>
        <v>48.28</v>
      </c>
      <c r="AG193" s="113">
        <f>$AG$14/31.1035*K193*IF(LEFT(F193,3)="10K",0.417*1.07,IF(LEFT(F193,3)="14K",0.585*1.05,IF(LEFT(F193,3)="18K",0.75*1.05,0)))</f>
        <v>330.55691611490658</v>
      </c>
    </row>
    <row r="194" spans="1:33" s="28" customFormat="1" ht="15.9" customHeight="1">
      <c r="A194" s="88" t="s">
        <v>71</v>
      </c>
      <c r="B194" s="65"/>
      <c r="C194" s="65"/>
      <c r="D194" s="65"/>
      <c r="E194" s="65"/>
      <c r="F194" s="65"/>
      <c r="G194" s="66">
        <f>SUM(G193:G193)</f>
        <v>1</v>
      </c>
      <c r="H194" s="108"/>
      <c r="I194" s="108"/>
      <c r="J194" s="108"/>
      <c r="K194" s="108">
        <f>SUM(K193:K193)</f>
        <v>5.68</v>
      </c>
      <c r="L194" s="67"/>
      <c r="M194" s="67"/>
      <c r="N194" s="67"/>
      <c r="O194" s="68"/>
      <c r="P194" s="116">
        <f t="shared" ref="P194:Y194" si="130">SUM(P193:P193)</f>
        <v>0</v>
      </c>
      <c r="Q194" s="112">
        <f t="shared" si="130"/>
        <v>3.4889399999999995</v>
      </c>
      <c r="R194" s="69">
        <f t="shared" si="130"/>
        <v>0</v>
      </c>
      <c r="S194" s="69">
        <f t="shared" si="130"/>
        <v>0</v>
      </c>
      <c r="T194" s="69">
        <f t="shared" si="130"/>
        <v>0</v>
      </c>
      <c r="U194" s="69">
        <f t="shared" si="130"/>
        <v>2.2999999999999998</v>
      </c>
      <c r="V194" s="69">
        <f t="shared" si="130"/>
        <v>0</v>
      </c>
      <c r="W194" s="69">
        <f t="shared" si="130"/>
        <v>0</v>
      </c>
      <c r="X194" s="69">
        <f t="shared" si="130"/>
        <v>0</v>
      </c>
      <c r="Y194" s="69">
        <f t="shared" si="130"/>
        <v>48.28</v>
      </c>
      <c r="AA194" s="104">
        <f>SUM(AA16:AA193)</f>
        <v>21918.556000000008</v>
      </c>
      <c r="AB194" s="104">
        <f>SUM(AB16:AB193)</f>
        <v>147650.93655499985</v>
      </c>
      <c r="AC194" s="104">
        <f>SUM(AC16:AC193)</f>
        <v>169569.492555</v>
      </c>
      <c r="AD194" s="104"/>
      <c r="AE194" s="104">
        <f>SUM(AE16:AE193)</f>
        <v>26502.249999999993</v>
      </c>
      <c r="AG194" s="114">
        <f>SUM(AG193:AG193)</f>
        <v>330.55691611490658</v>
      </c>
    </row>
    <row r="195" spans="1:33" s="28" customFormat="1" ht="15.9" customHeight="1">
      <c r="A195" s="135" t="s">
        <v>342</v>
      </c>
      <c r="B195" s="136"/>
      <c r="C195" s="136"/>
      <c r="D195" s="136"/>
      <c r="E195" s="136"/>
      <c r="F195" s="136"/>
      <c r="G195" s="137">
        <f>SUM(G194,G190,G186,G182,G173,G161,G151,G131,G102,G94,G70,G62,G58,G51,G33,G26,G22)</f>
        <v>408</v>
      </c>
      <c r="H195" s="138"/>
      <c r="I195" s="138"/>
      <c r="J195" s="138"/>
      <c r="K195" s="138">
        <f>SUM(K194,K190,K186,K182,K173,K161,K151,K131,K102,K94,K70,K62,K58,K51,K33,K26,K22)</f>
        <v>3032.02</v>
      </c>
      <c r="L195" s="139"/>
      <c r="M195" s="139"/>
      <c r="N195" s="139"/>
      <c r="O195" s="140"/>
      <c r="P195" s="141">
        <f t="shared" ref="P195:Y195" si="131">SUM(P194,P190,P186,P182,P173,P161,P151,P131,P102,P94,P70,P62,P58,P51,P33,P26,P22)</f>
        <v>79.075000000000003</v>
      </c>
      <c r="Q195" s="142">
        <f t="shared" si="131"/>
        <v>1862.4182849999997</v>
      </c>
      <c r="R195" s="143">
        <f t="shared" si="131"/>
        <v>0</v>
      </c>
      <c r="S195" s="143">
        <f t="shared" si="131"/>
        <v>1.8</v>
      </c>
      <c r="T195" s="143">
        <f t="shared" si="131"/>
        <v>46.800000000000004</v>
      </c>
      <c r="U195" s="143">
        <f t="shared" si="131"/>
        <v>694.05</v>
      </c>
      <c r="V195" s="143">
        <f t="shared" si="131"/>
        <v>69.695999999999998</v>
      </c>
      <c r="W195" s="143">
        <f t="shared" si="131"/>
        <v>0</v>
      </c>
      <c r="X195" s="143">
        <f t="shared" si="131"/>
        <v>668.00000000000011</v>
      </c>
      <c r="Y195" s="143">
        <f t="shared" si="131"/>
        <v>26502.249999999996</v>
      </c>
      <c r="AA195" s="104"/>
      <c r="AB195" s="104"/>
      <c r="AC195" s="104"/>
      <c r="AD195" s="104"/>
      <c r="AE195" s="104"/>
      <c r="AG195" s="144"/>
    </row>
    <row r="196" spans="1:33" s="28" customFormat="1" ht="15.9" customHeight="1" thickBot="1">
      <c r="A196" s="70"/>
      <c r="B196" s="71"/>
      <c r="C196" s="71"/>
      <c r="D196" s="71"/>
      <c r="E196" s="71"/>
      <c r="F196" s="71"/>
      <c r="G196" s="71"/>
      <c r="H196" s="71"/>
      <c r="I196" s="71"/>
      <c r="J196" s="60"/>
      <c r="K196" s="61"/>
      <c r="L196" s="61"/>
      <c r="M196" s="61"/>
      <c r="N196" s="61"/>
      <c r="O196" s="62"/>
      <c r="P196" s="62"/>
      <c r="Q196" s="62"/>
      <c r="R196" s="63"/>
      <c r="S196" s="63"/>
      <c r="T196" s="63"/>
      <c r="U196" s="63"/>
      <c r="V196" s="63"/>
      <c r="W196" s="64"/>
      <c r="X196" s="72" t="s">
        <v>26</v>
      </c>
      <c r="Y196" s="64"/>
      <c r="AG196" s="87"/>
    </row>
    <row r="197" spans="1:33" s="28" customFormat="1" ht="18.5" thickTop="1">
      <c r="A197" s="45"/>
      <c r="B197" s="130"/>
      <c r="C197" s="130"/>
      <c r="D197" s="130"/>
      <c r="E197" s="130"/>
      <c r="F197" s="130"/>
      <c r="G197" s="130"/>
      <c r="H197" s="130"/>
      <c r="I197" s="23"/>
      <c r="J197" s="49"/>
      <c r="K197" s="25"/>
      <c r="L197" s="25"/>
      <c r="M197" s="25"/>
      <c r="N197" s="25"/>
      <c r="O197" s="26"/>
      <c r="P197" s="26"/>
      <c r="Q197" s="26"/>
      <c r="R197" s="50"/>
      <c r="S197" s="50"/>
      <c r="T197" s="50"/>
      <c r="U197" s="50"/>
      <c r="V197" s="50"/>
      <c r="W197" s="73" t="s">
        <v>16</v>
      </c>
      <c r="X197" s="175">
        <f>SUM(R195:Y195)</f>
        <v>27982.595999999998</v>
      </c>
      <c r="Y197" s="175"/>
      <c r="AG197" s="131"/>
    </row>
    <row r="198" spans="1:33" s="28" customFormat="1" ht="18">
      <c r="A198" s="102" t="s">
        <v>54</v>
      </c>
      <c r="B198" s="82"/>
      <c r="C198" s="82"/>
      <c r="D198" s="82"/>
      <c r="E198" s="82"/>
      <c r="F198" s="83"/>
      <c r="G198" s="83"/>
      <c r="H198" s="83"/>
      <c r="I198" s="23"/>
      <c r="J198" s="49"/>
      <c r="K198" s="25"/>
      <c r="L198" s="25"/>
      <c r="M198" s="25"/>
      <c r="N198" s="25"/>
      <c r="O198" s="26"/>
      <c r="P198" s="26"/>
      <c r="Q198" s="26"/>
      <c r="R198" s="50"/>
      <c r="S198" s="50"/>
      <c r="T198" s="50"/>
      <c r="U198" s="50"/>
      <c r="V198" s="50"/>
      <c r="W198" s="73" t="s">
        <v>17</v>
      </c>
      <c r="X198" s="176"/>
      <c r="Y198" s="176"/>
      <c r="AG198" s="134"/>
    </row>
    <row r="199" spans="1:33" ht="15.5">
      <c r="A199" s="45"/>
      <c r="B199" s="36"/>
      <c r="C199" s="36"/>
      <c r="D199" s="36"/>
      <c r="E199" s="36"/>
      <c r="G199" s="22"/>
      <c r="H199" s="23"/>
      <c r="J199" s="49"/>
      <c r="K199" s="25"/>
      <c r="L199" s="25"/>
      <c r="M199" s="25"/>
      <c r="N199" s="25"/>
      <c r="O199" s="26"/>
      <c r="P199" s="26"/>
      <c r="Q199" s="26"/>
      <c r="W199" s="73" t="s">
        <v>18</v>
      </c>
      <c r="X199" s="168">
        <f>X197-Y198</f>
        <v>27982.595999999998</v>
      </c>
      <c r="Y199" s="168"/>
      <c r="AC199" s="105"/>
      <c r="AG199" s="134"/>
    </row>
    <row r="200" spans="1:33" ht="21" customHeight="1">
      <c r="A200" s="51" t="s">
        <v>65</v>
      </c>
      <c r="G200" s="22"/>
      <c r="H200" s="23"/>
      <c r="J200" s="49"/>
      <c r="K200" s="25"/>
      <c r="L200" s="25"/>
      <c r="M200" s="25"/>
      <c r="N200" s="25"/>
      <c r="O200" s="26"/>
      <c r="P200" s="26"/>
      <c r="Q200" s="26"/>
      <c r="W200" s="117"/>
      <c r="X200" s="117"/>
      <c r="Y200" s="119"/>
      <c r="AG200" s="129"/>
    </row>
    <row r="201" spans="1:33" ht="21" customHeight="1">
      <c r="A201" s="51" t="s">
        <v>64</v>
      </c>
      <c r="B201" s="118"/>
      <c r="C201" s="118"/>
      <c r="D201" s="118"/>
      <c r="E201" s="118"/>
      <c r="G201" s="22"/>
      <c r="H201" s="23"/>
      <c r="J201" s="49"/>
      <c r="K201" s="25"/>
      <c r="L201" s="25"/>
      <c r="M201" s="25"/>
      <c r="N201" s="25"/>
      <c r="O201" s="26"/>
      <c r="P201" s="26"/>
      <c r="Q201" s="26"/>
      <c r="W201" s="117"/>
      <c r="X201" s="117"/>
      <c r="Y201" s="119"/>
      <c r="AG201" s="52"/>
    </row>
    <row r="202" spans="1:33" ht="21" customHeight="1">
      <c r="A202" s="120" t="s">
        <v>66</v>
      </c>
      <c r="B202" s="118"/>
      <c r="C202" s="118"/>
      <c r="D202" s="118"/>
      <c r="E202" s="118"/>
      <c r="F202" s="121"/>
      <c r="G202" s="121"/>
      <c r="H202" s="121"/>
      <c r="I202" s="121"/>
      <c r="J202" s="122"/>
      <c r="K202" s="121"/>
      <c r="L202" s="121"/>
      <c r="M202" s="121"/>
      <c r="N202" s="121"/>
      <c r="O202" s="123"/>
      <c r="P202" s="123"/>
      <c r="Q202" s="123"/>
      <c r="R202" s="123"/>
      <c r="S202" s="123"/>
      <c r="T202" s="123"/>
      <c r="U202" s="123"/>
      <c r="V202" s="123"/>
      <c r="W202" s="22"/>
      <c r="X202" s="124"/>
      <c r="Y202" s="125"/>
      <c r="AG202" s="126"/>
    </row>
    <row r="203" spans="1:33" ht="21" customHeight="1">
      <c r="A203" s="120" t="s">
        <v>67</v>
      </c>
      <c r="B203" s="118"/>
      <c r="C203" s="118"/>
      <c r="D203" s="118"/>
      <c r="E203" s="118"/>
      <c r="F203" s="121"/>
      <c r="G203" s="121"/>
      <c r="H203" s="121"/>
      <c r="I203" s="121"/>
      <c r="J203" s="121"/>
      <c r="K203" s="121"/>
      <c r="L203" s="121"/>
      <c r="M203" s="121"/>
      <c r="N203" s="121"/>
      <c r="O203" s="123"/>
      <c r="P203" s="123"/>
      <c r="Q203" s="123"/>
      <c r="R203" s="123"/>
      <c r="S203" s="123"/>
      <c r="T203" s="123"/>
      <c r="U203" s="123"/>
      <c r="V203" s="123"/>
      <c r="W203" s="127"/>
      <c r="X203" s="127"/>
      <c r="Y203" s="121"/>
      <c r="AG203" s="128"/>
    </row>
    <row r="204" spans="1:33">
      <c r="A204" s="54"/>
      <c r="B204" s="37"/>
      <c r="C204" s="37"/>
      <c r="D204" s="37"/>
      <c r="E204" s="37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74" t="s">
        <v>11</v>
      </c>
      <c r="X204" s="30"/>
      <c r="Y204" s="33" t="s">
        <v>25</v>
      </c>
      <c r="AG204" s="53"/>
    </row>
    <row r="205" spans="1:33" s="31" customFormat="1" ht="12.75" customHeight="1">
      <c r="A205" s="55"/>
      <c r="B205" s="56"/>
      <c r="C205" s="56"/>
      <c r="D205" s="56"/>
      <c r="E205" s="56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8"/>
      <c r="X205" s="58"/>
      <c r="Y205" s="57"/>
      <c r="AG205" s="59"/>
    </row>
    <row r="206" spans="1:33" s="32" customFormat="1" ht="12.75" customHeight="1">
      <c r="A206" s="21"/>
      <c r="B206" s="21"/>
      <c r="C206" s="21"/>
      <c r="D206" s="21"/>
      <c r="E206" s="21"/>
      <c r="F206" s="21"/>
      <c r="G206" s="21"/>
      <c r="H206" s="22"/>
      <c r="I206" s="23"/>
      <c r="J206" s="23"/>
      <c r="K206" s="24"/>
      <c r="L206" s="24"/>
      <c r="M206" s="24"/>
      <c r="N206" s="24"/>
      <c r="O206" s="25"/>
      <c r="P206" s="25"/>
      <c r="Q206" s="25"/>
      <c r="R206" s="26"/>
      <c r="S206" s="26"/>
      <c r="T206" s="26"/>
      <c r="U206" s="26"/>
      <c r="V206" s="26"/>
      <c r="W206" s="26"/>
      <c r="X206" s="26"/>
      <c r="Y206" s="29"/>
      <c r="AG206" s="22"/>
    </row>
    <row r="207" spans="1:33" s="31" customFormat="1" ht="12.75" customHeight="1">
      <c r="A207" s="21"/>
      <c r="B207" s="21"/>
      <c r="C207" s="21"/>
      <c r="D207" s="21"/>
      <c r="E207" s="21"/>
      <c r="F207" s="21"/>
      <c r="G207" s="21"/>
      <c r="H207" s="22"/>
      <c r="I207" s="23"/>
      <c r="J207" s="23"/>
      <c r="K207" s="24"/>
      <c r="L207" s="24"/>
      <c r="M207" s="24"/>
      <c r="N207" s="24"/>
      <c r="O207" s="25"/>
      <c r="P207" s="25"/>
      <c r="Q207" s="25"/>
      <c r="R207" s="26"/>
      <c r="S207" s="26"/>
      <c r="T207" s="26"/>
      <c r="U207" s="26"/>
      <c r="V207" s="26"/>
      <c r="W207" s="26"/>
      <c r="X207" s="26"/>
      <c r="Y207" s="29"/>
      <c r="AG207" s="22"/>
    </row>
    <row r="208" spans="1:33" s="31" customFormat="1" ht="12.75" customHeight="1">
      <c r="A208" s="21"/>
      <c r="B208" s="21"/>
      <c r="C208" s="21"/>
      <c r="D208" s="21"/>
      <c r="E208" s="21"/>
      <c r="F208" s="21"/>
      <c r="G208" s="21"/>
      <c r="H208" s="22"/>
      <c r="I208" s="23"/>
      <c r="J208" s="23"/>
      <c r="K208" s="24"/>
      <c r="L208" s="24"/>
      <c r="M208" s="24"/>
      <c r="N208" s="24"/>
      <c r="O208" s="25"/>
      <c r="P208" s="25"/>
      <c r="Q208" s="25"/>
      <c r="R208" s="26"/>
      <c r="S208" s="26"/>
      <c r="T208" s="26"/>
      <c r="U208" s="26"/>
      <c r="V208" s="26"/>
      <c r="W208" s="26"/>
      <c r="X208" s="26"/>
      <c r="Y208" s="29"/>
      <c r="AG208" s="22"/>
    </row>
    <row r="209" spans="1:33" s="31" customFormat="1" ht="12.75" customHeight="1">
      <c r="A209" s="21"/>
      <c r="B209" s="21"/>
      <c r="C209" s="21"/>
      <c r="D209" s="21"/>
      <c r="E209" s="21"/>
      <c r="F209" s="21"/>
      <c r="G209" s="21"/>
      <c r="H209" s="22"/>
      <c r="I209" s="23"/>
      <c r="J209" s="23"/>
      <c r="K209" s="24"/>
      <c r="L209" s="24"/>
      <c r="M209" s="24"/>
      <c r="N209" s="24"/>
      <c r="O209" s="25"/>
      <c r="P209" s="25"/>
      <c r="Q209" s="25"/>
      <c r="R209" s="26"/>
      <c r="S209" s="26"/>
      <c r="T209" s="26"/>
      <c r="U209" s="26"/>
      <c r="V209" s="26"/>
      <c r="W209" s="26"/>
      <c r="X209" s="26"/>
      <c r="Y209" s="29"/>
      <c r="AG209" s="22"/>
    </row>
  </sheetData>
  <mergeCells count="6">
    <mergeCell ref="X199:Y199"/>
    <mergeCell ref="A1:Y1"/>
    <mergeCell ref="A2:Y2"/>
    <mergeCell ref="A3:Y3"/>
    <mergeCell ref="X197:Y197"/>
    <mergeCell ref="X198:Y198"/>
  </mergeCells>
  <phoneticPr fontId="3" type="noConversion"/>
  <conditionalFormatting sqref="F65:F69 F185 F16:F21 F36:F50 F54:F57 F61 F73:F93">
    <cfRule type="containsText" dxfId="8" priority="15" operator="containsText" text="18K">
      <formula>NOT(ISERROR(SEARCH("18K",F16)))</formula>
    </cfRule>
  </conditionalFormatting>
  <conditionalFormatting sqref="F29:F32">
    <cfRule type="containsText" dxfId="7" priority="14" operator="containsText" text="18K">
      <formula>NOT(ISERROR(SEARCH("18K",F29)))</formula>
    </cfRule>
  </conditionalFormatting>
  <conditionalFormatting sqref="F97:F101">
    <cfRule type="containsText" dxfId="6" priority="8" operator="containsText" text="18K">
      <formula>NOT(ISERROR(SEARCH("18K",F97)))</formula>
    </cfRule>
  </conditionalFormatting>
  <conditionalFormatting sqref="F105:F130">
    <cfRule type="containsText" dxfId="5" priority="7" operator="containsText" text="18K">
      <formula>NOT(ISERROR(SEARCH("18K",F105)))</formula>
    </cfRule>
  </conditionalFormatting>
  <conditionalFormatting sqref="F134:F150">
    <cfRule type="containsText" dxfId="4" priority="6" operator="containsText" text="18K">
      <formula>NOT(ISERROR(SEARCH("18K",F134)))</formula>
    </cfRule>
  </conditionalFormatting>
  <conditionalFormatting sqref="F154:F160">
    <cfRule type="containsText" dxfId="3" priority="5" operator="containsText" text="18K">
      <formula>NOT(ISERROR(SEARCH("18K",F154)))</formula>
    </cfRule>
  </conditionalFormatting>
  <conditionalFormatting sqref="F164:F172">
    <cfRule type="containsText" dxfId="2" priority="4" operator="containsText" text="18K">
      <formula>NOT(ISERROR(SEARCH("18K",F164)))</formula>
    </cfRule>
  </conditionalFormatting>
  <conditionalFormatting sqref="F176:F181">
    <cfRule type="containsText" dxfId="1" priority="3" operator="containsText" text="18K">
      <formula>NOT(ISERROR(SEARCH("18K",F176)))</formula>
    </cfRule>
  </conditionalFormatting>
  <conditionalFormatting sqref="F193">
    <cfRule type="containsText" dxfId="0" priority="1" operator="containsText" text="18K">
      <formula>NOT(ISERROR(SEARCH("18K",F193)))</formula>
    </cfRule>
  </conditionalFormatting>
  <pageMargins left="0" right="0" top="0.19685039370078741" bottom="0" header="0.31496062992125984" footer="0.31496062992125984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PI</vt:lpstr>
      <vt:lpstr>PI!Print_Area</vt:lpstr>
      <vt:lpstr>PI!Print_Titles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hkjung</dc:creator>
  <cp:lastModifiedBy>DINDA</cp:lastModifiedBy>
  <cp:lastPrinted>2018-08-29T01:12:30Z</cp:lastPrinted>
  <dcterms:created xsi:type="dcterms:W3CDTF">2018-02-12T04:12:08Z</dcterms:created>
  <dcterms:modified xsi:type="dcterms:W3CDTF">2025-04-24T13:42:07Z</dcterms:modified>
</cp:coreProperties>
</file>