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\\10.10.11.217\Sharing EPO Team\GOLD EXPORT\250426\CLEARANCE\"/>
    </mc:Choice>
  </mc:AlternateContent>
  <xr:revisionPtr revIDLastSave="0" documentId="13_ncr:1_{22505315-8535-44C1-8286-D896E85B7E5A}" xr6:coauthVersionLast="45" xr6:coauthVersionMax="47" xr10:uidLastSave="{00000000-0000-0000-0000-000000000000}"/>
  <bookViews>
    <workbookView xWindow="38280" yWindow="6810" windowWidth="20730" windowHeight="11040" xr2:uid="{00000000-000D-0000-FFFF-FFFF00000000}"/>
  </bookViews>
  <sheets>
    <sheet name="PI" sheetId="1" r:id="rId1"/>
  </sheets>
  <definedNames>
    <definedName name="GOLD">PI!#REF!</definedName>
    <definedName name="GOLD_1102">PI!#REF!</definedName>
    <definedName name="LABOR">#REF!</definedName>
    <definedName name="LABOR1">PI!#REF!</definedName>
    <definedName name="_xlnm.Print_Area" localSheetId="0">PI!$A$1:$Z$37</definedName>
    <definedName name="_xlnm.Print_Titles" localSheetId="0">PI!$1:$13</definedName>
    <definedName name="SETTING">PI!#REF!</definedName>
    <definedName name="SETTING1">#REF!</definedName>
    <definedName name="SILVER">PI!#REF!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5" i="1" l="1"/>
  <c r="S25" i="1"/>
  <c r="V25" i="1" l="1"/>
  <c r="V24" i="1"/>
  <c r="W24" i="1"/>
  <c r="S24" i="1"/>
  <c r="Q24" i="1"/>
  <c r="Z22" i="1"/>
  <c r="W20" i="1"/>
  <c r="T20" i="1"/>
  <c r="S20" i="1"/>
  <c r="K20" i="1"/>
  <c r="S19" i="1"/>
  <c r="T19" i="1"/>
  <c r="W19" i="1"/>
  <c r="W18" i="1"/>
  <c r="T18" i="1"/>
  <c r="S18" i="1"/>
  <c r="K19" i="1"/>
  <c r="K18" i="1"/>
  <c r="S17" i="1"/>
  <c r="T17" i="1"/>
  <c r="W17" i="1"/>
  <c r="K17" i="1"/>
  <c r="S16" i="1"/>
  <c r="T16" i="1"/>
  <c r="W16" i="1"/>
  <c r="K16" i="1"/>
  <c r="Z14" i="1"/>
  <c r="X17" i="1" l="1"/>
  <c r="AE17" i="1"/>
  <c r="AC17" i="1" s="1"/>
  <c r="AG17" i="1"/>
  <c r="AA17" i="1"/>
  <c r="X16" i="1"/>
  <c r="AE16" i="1"/>
  <c r="AG16" i="1"/>
  <c r="AA16" i="1"/>
  <c r="X20" i="1"/>
  <c r="AG20" i="1"/>
  <c r="AA20" i="1"/>
  <c r="AE20" i="1"/>
  <c r="AC20" i="1" s="1"/>
  <c r="X19" i="1"/>
  <c r="AE19" i="1"/>
  <c r="AC19" i="1" s="1"/>
  <c r="AG19" i="1"/>
  <c r="AA19" i="1"/>
  <c r="AA18" i="1"/>
  <c r="AG18" i="1"/>
  <c r="AE18" i="1"/>
  <c r="AC18" i="1" s="1"/>
  <c r="Y19" i="1"/>
  <c r="Y18" i="1"/>
  <c r="U18" i="1"/>
  <c r="Y20" i="1"/>
  <c r="Y17" i="1"/>
  <c r="X18" i="1"/>
  <c r="Y16" i="1"/>
  <c r="V21" i="1"/>
  <c r="S21" i="1"/>
  <c r="R21" i="1"/>
  <c r="Q21" i="1"/>
  <c r="P21" i="1"/>
  <c r="G21" i="1"/>
  <c r="V26" i="1"/>
  <c r="S26" i="1"/>
  <c r="R26" i="1"/>
  <c r="Q26" i="1"/>
  <c r="P26" i="1"/>
  <c r="G26" i="1"/>
  <c r="K25" i="1"/>
  <c r="K24" i="1"/>
  <c r="R27" i="1" l="1"/>
  <c r="Z19" i="1"/>
  <c r="V27" i="1"/>
  <c r="Z20" i="1"/>
  <c r="S27" i="1"/>
  <c r="AB20" i="1"/>
  <c r="AD20" i="1" s="1"/>
  <c r="Q27" i="1"/>
  <c r="AB17" i="1"/>
  <c r="AD17" i="1" s="1"/>
  <c r="X25" i="1"/>
  <c r="AA25" i="1"/>
  <c r="AE25" i="1"/>
  <c r="AC25" i="1" s="1"/>
  <c r="AG25" i="1"/>
  <c r="AB18" i="1"/>
  <c r="AD18" i="1" s="1"/>
  <c r="AB16" i="1"/>
  <c r="AB19" i="1"/>
  <c r="AD19" i="1" s="1"/>
  <c r="AA24" i="1"/>
  <c r="AE24" i="1"/>
  <c r="AC24" i="1" s="1"/>
  <c r="AG24" i="1"/>
  <c r="G27" i="1"/>
  <c r="AC16" i="1"/>
  <c r="P27" i="1"/>
  <c r="Z16" i="1"/>
  <c r="Y25" i="1"/>
  <c r="Y24" i="1"/>
  <c r="X24" i="1"/>
  <c r="T26" i="1"/>
  <c r="W26" i="1"/>
  <c r="Z18" i="1"/>
  <c r="T21" i="1"/>
  <c r="Z17" i="1"/>
  <c r="W21" i="1"/>
  <c r="K21" i="1"/>
  <c r="U26" i="1"/>
  <c r="K26" i="1"/>
  <c r="AB25" i="1" l="1"/>
  <c r="AD25" i="1" s="1"/>
  <c r="AG26" i="1"/>
  <c r="K27" i="1"/>
  <c r="W27" i="1"/>
  <c r="AC26" i="1"/>
  <c r="AE26" i="1"/>
  <c r="T27" i="1"/>
  <c r="AD16" i="1"/>
  <c r="AB24" i="1"/>
  <c r="AD24" i="1" s="1"/>
  <c r="Z25" i="1"/>
  <c r="U21" i="1"/>
  <c r="U27" i="1" s="1"/>
  <c r="Z24" i="1"/>
  <c r="Y21" i="1"/>
  <c r="X21" i="1"/>
  <c r="X26" i="1"/>
  <c r="Y26" i="1"/>
  <c r="X27" i="1" l="1"/>
  <c r="Y27" i="1"/>
  <c r="AD26" i="1"/>
  <c r="AB26" i="1"/>
  <c r="Z21" i="1"/>
  <c r="Z26" i="1"/>
  <c r="Z27" i="1" l="1"/>
  <c r="X29" i="1" s="1"/>
  <c r="X31" i="1" s="1"/>
</calcChain>
</file>

<file path=xl/sharedStrings.xml><?xml version="1.0" encoding="utf-8"?>
<sst xmlns="http://schemas.openxmlformats.org/spreadsheetml/2006/main" count="142" uniqueCount="98">
  <si>
    <t>Seller:</t>
  </si>
  <si>
    <t>Consignee:</t>
  </si>
  <si>
    <t xml:space="preserve">A/C No. : </t>
  </si>
  <si>
    <t xml:space="preserve">C/T No. : </t>
  </si>
  <si>
    <t>Item No.</t>
    <phoneticPr fontId="11" type="noConversion"/>
  </si>
  <si>
    <t>Metal</t>
    <phoneticPr fontId="11" type="noConversion"/>
  </si>
  <si>
    <t>Q'ty</t>
    <phoneticPr fontId="11" type="noConversion"/>
  </si>
  <si>
    <t>Total w't</t>
    <phoneticPr fontId="11" type="noConversion"/>
  </si>
  <si>
    <t>Wire w't</t>
    <phoneticPr fontId="11" type="noConversion"/>
  </si>
  <si>
    <t>Labor</t>
    <phoneticPr fontId="11" type="noConversion"/>
  </si>
  <si>
    <t>SIGNED BY</t>
    <phoneticPr fontId="21" type="noConversion"/>
  </si>
  <si>
    <t>Labor
Cost</t>
    <phoneticPr fontId="11" type="noConversion"/>
  </si>
  <si>
    <t>Wire
Cost</t>
    <phoneticPr fontId="11" type="noConversion"/>
  </si>
  <si>
    <t>Gold w't</t>
    <phoneticPr fontId="11" type="noConversion"/>
  </si>
  <si>
    <t>Setting
Cost</t>
    <phoneticPr fontId="3" type="noConversion"/>
  </si>
  <si>
    <t>Total Amount</t>
    <phoneticPr fontId="3" type="noConversion"/>
  </si>
  <si>
    <t>Deposit</t>
    <phoneticPr fontId="3" type="noConversion"/>
  </si>
  <si>
    <t>Balance</t>
    <phoneticPr fontId="3" type="noConversion"/>
  </si>
  <si>
    <t>Tel : 62-286-598-8594   Fax : 62-286-598-8650</t>
    <phoneticPr fontId="11" type="noConversion"/>
  </si>
  <si>
    <t>Stone</t>
    <phoneticPr fontId="3" type="noConversion"/>
  </si>
  <si>
    <t>Stone Q'ty</t>
    <phoneticPr fontId="3" type="noConversion"/>
  </si>
  <si>
    <t>Gold &amp; 5%
Cost</t>
    <phoneticPr fontId="11" type="noConversion"/>
  </si>
  <si>
    <t>Color</t>
    <phoneticPr fontId="3" type="noConversion"/>
  </si>
  <si>
    <t>Buyer No.</t>
    <phoneticPr fontId="3" type="noConversion"/>
  </si>
  <si>
    <t>PRESIDENT     J.E. PARK</t>
    <phoneticPr fontId="3" type="noConversion"/>
  </si>
  <si>
    <t>FREIGHT CHARGE</t>
  </si>
  <si>
    <t>Invoice No. &amp; Date :</t>
  </si>
  <si>
    <t>L/C No. &amp; Date :</t>
    <phoneticPr fontId="11" type="noConversion"/>
  </si>
  <si>
    <t xml:space="preserve">"GSP eligible Article" </t>
    <phoneticPr fontId="4" type="noConversion"/>
  </si>
  <si>
    <t>Terms of  Payment:</t>
  </si>
  <si>
    <t>Country of Origin :</t>
    <phoneticPr fontId="4" type="noConversion"/>
  </si>
  <si>
    <t>INDONESIA</t>
    <phoneticPr fontId="4" type="noConversion"/>
  </si>
  <si>
    <t xml:space="preserve">B/L No. : </t>
    <phoneticPr fontId="9" type="noConversion"/>
  </si>
  <si>
    <t xml:space="preserve">Departure Date :     </t>
    <phoneticPr fontId="3" type="noConversion"/>
  </si>
  <si>
    <t xml:space="preserve">From :      </t>
    <phoneticPr fontId="3" type="noConversion"/>
  </si>
  <si>
    <t xml:space="preserve">To :      </t>
    <phoneticPr fontId="3" type="noConversion"/>
  </si>
  <si>
    <t>INDONESIA</t>
    <phoneticPr fontId="3" type="noConversion"/>
  </si>
  <si>
    <t>U.S.A</t>
    <phoneticPr fontId="3" type="noConversion"/>
  </si>
  <si>
    <t>PT. VERONIQUE INDONESIA</t>
  </si>
  <si>
    <t>Jawa Tengah  Zip Code : 53472   INDONESIA</t>
  </si>
  <si>
    <t>(Buyer : if then Consignee):</t>
  </si>
  <si>
    <t xml:space="preserve">Vessel/Flight :     </t>
  </si>
  <si>
    <t>Jl. Raya Purwonegoro, Rt. 007/003  Purwonegoro, Banjarnegara,  Jawa Tengah   Zip Code : 53472   INDONESIA</t>
  </si>
  <si>
    <t>Jl. Raya Purwonegoro, Rt. 007/003  Purwonegoro, Banjarnegara,</t>
  </si>
  <si>
    <t>PROFORMA INVOICE</t>
  </si>
  <si>
    <t>Buyer PO</t>
  </si>
  <si>
    <t>Cust. Ref No.</t>
  </si>
  <si>
    <t>Dia w't</t>
  </si>
  <si>
    <t>Stone
Cost</t>
  </si>
  <si>
    <t>Dia Carat</t>
  </si>
  <si>
    <t>Extra Cost</t>
  </si>
  <si>
    <t>to Veronique Oro Corp.</t>
  </si>
  <si>
    <t>Plating Cost</t>
  </si>
  <si>
    <t xml:space="preserve">All unpaid balance will be charged 1.5% per month. </t>
  </si>
  <si>
    <t>Dia Packaging Cost</t>
  </si>
  <si>
    <t>maklon</t>
  </si>
  <si>
    <t>material cost</t>
  </si>
  <si>
    <t>total</t>
  </si>
  <si>
    <t>gold price</t>
  </si>
  <si>
    <t>dia price</t>
  </si>
  <si>
    <t>plating</t>
  </si>
  <si>
    <t>24K Payment</t>
  </si>
  <si>
    <t>SUBTOTAL</t>
  </si>
  <si>
    <t>PO#</t>
  </si>
  <si>
    <t>Buyer Dia</t>
  </si>
  <si>
    <t>Grand Total</t>
  </si>
  <si>
    <t>old labor</t>
  </si>
  <si>
    <t>labor amount</t>
  </si>
  <si>
    <t>Dia Handling Services Fee</t>
  </si>
  <si>
    <t>PI HRIJ250219</t>
  </si>
  <si>
    <t>HARI JEWELS</t>
  </si>
  <si>
    <t>11 Dec London AM + 1%</t>
  </si>
  <si>
    <t>18K YG</t>
  </si>
  <si>
    <t>18K WG</t>
  </si>
  <si>
    <t>10 Jan London AM + 1%</t>
  </si>
  <si>
    <t>HRIJ241211RB-18K</t>
  </si>
  <si>
    <t>K0060E05 Ø30mm</t>
  </si>
  <si>
    <t>1.10mm
1.80mm</t>
  </si>
  <si>
    <t>W
Color Stone</t>
  </si>
  <si>
    <t>16pcs
4pcs</t>
  </si>
  <si>
    <t>K0107R16 #6</t>
  </si>
  <si>
    <t>1.50mm
BT 2.0*1.5
BT 2.5*1.5
BT 3.0*1.5</t>
  </si>
  <si>
    <t>W
W
W
W</t>
  </si>
  <si>
    <t>54pcs
2pcs
2pcs
29pcs</t>
  </si>
  <si>
    <t>K0107R16 #6.5</t>
  </si>
  <si>
    <t>58pcs
2pcs
2pcs
29pcs</t>
  </si>
  <si>
    <t>K0107R16 #7</t>
  </si>
  <si>
    <t>HRIJ241211RB-18K-NS</t>
  </si>
  <si>
    <t>$8.5/g + $2.00/station</t>
  </si>
  <si>
    <t>H0022N02 16"+2"</t>
  </si>
  <si>
    <t>1.20mm
1.50mm
2.00mm
Flower Cabachon 4petals 6.0mm
Flower Cabachon 4petals 6.0mm
Flower Cabachon 4petals 11.0mm</t>
  </si>
  <si>
    <t>10pcs
20pcs
4pcs
4pcs
4pcs
2pcs</t>
  </si>
  <si>
    <t>W
W
W
Turquise
White MOP
Turquise</t>
  </si>
  <si>
    <t>W
W
W
W
W
W
W
W
Black Onyx
Turquise
Pink Conch
Miracle plate
Black Onyx</t>
  </si>
  <si>
    <t>TOTAL</t>
  </si>
  <si>
    <t>H0131N03 22"+2"</t>
  </si>
  <si>
    <t>1.00mm
1.30mm
1.40mm
1.50mm
1.60mm
1.80mm
1.90mm
2.90mm
RD Cabachon 2.9mm
RD Cabachon 2.9mm
RD Cabachon 2.9mm
HT Flat 16.0mm
HT Flat 16.0mm</t>
  </si>
  <si>
    <t>98pcs
2pcs
1pcs
4pcs
1pcs
2pcs
4pcs
1pcs
4pcs
4pcs
1pcs
1pcs
1pcs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</si>
</sst>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_-;\-* #,##0_-;_-* &quot;-&quot;_-;_-@_-"/>
    <numFmt numFmtId="165" formatCode="[$-409]d&quot;-&quot;mmm&quot;-&quot;yy;@"/>
    <numFmt numFmtId="166" formatCode="0.00\ &quot;gr&quot;"/>
    <numFmt numFmtId="167" formatCode="0.000\ &quot;cts&quot;"/>
    <numFmt numFmtId="168" formatCode="0\ &quot;pcs&quot;"/>
    <numFmt numFmtId="169" formatCode="\$\ #,#00.00\ &quot;/oz&quot;"/>
    <numFmt numFmtId="170" formatCode="\$\ 0.00"/>
    <numFmt numFmtId="171" formatCode="\$#,##0.00"/>
    <numFmt numFmtId="172" formatCode="#,#00.00\ &quot;gr&quot;"/>
    <numFmt numFmtId="173" formatCode="0.00&quot;mm&quot;"/>
    <numFmt numFmtId="174" formatCode="#,##0.00\ &quot;g&quot;"/>
    <numFmt numFmtId="175" formatCode="\$0.00&quot;/g&quot;"/>
    <numFmt numFmtId="176" formatCode="#,##0.000\ &quot;ct&quot;"/>
  </numFmts>
  <fonts count="35">
    <font>
      <sz val="11"/>
      <color theme="1"/>
      <name val="Calibri"/>
      <family val="2"/>
      <scheme val="minor"/>
    </font>
    <font>
      <sz val="12"/>
      <name val="宋体"/>
      <family val="3"/>
      <charset val="129"/>
    </font>
    <font>
      <b/>
      <i/>
      <sz val="20"/>
      <name val="Times New Roman"/>
      <family val="1"/>
    </font>
    <font>
      <sz val="8"/>
      <name val="Times New Roman"/>
      <family val="2"/>
      <charset val="129"/>
    </font>
    <font>
      <sz val="8"/>
      <name val="돋움"/>
      <family val="3"/>
      <charset val="129"/>
    </font>
    <font>
      <i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8"/>
      <name val="돋움"/>
      <family val="3"/>
    </font>
    <font>
      <b/>
      <sz val="12"/>
      <name val="Times New Roman"/>
      <family val="1"/>
    </font>
    <font>
      <sz val="8"/>
      <name val="Calibri"/>
      <family val="3"/>
      <charset val="129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u/>
      <sz val="14"/>
      <color rgb="FFFF0000"/>
      <name val="Times New Roman"/>
      <family val="1"/>
    </font>
    <font>
      <b/>
      <u/>
      <sz val="16"/>
      <color theme="1"/>
      <name val="Times New Roman"/>
      <family val="1"/>
    </font>
    <font>
      <b/>
      <sz val="10"/>
      <color theme="0" tint="-0.499984740745262"/>
      <name val="Times New Roman"/>
      <family val="1"/>
    </font>
    <font>
      <sz val="9"/>
      <name val="宋体"/>
      <charset val="134"/>
    </font>
    <font>
      <b/>
      <sz val="14"/>
      <name val="Times New Roman"/>
      <family val="1"/>
    </font>
    <font>
      <u/>
      <sz val="14"/>
      <color theme="1"/>
      <name val="Times New Roman"/>
      <family val="1"/>
    </font>
    <font>
      <sz val="11"/>
      <color rgb="FF000000"/>
      <name val="Times New Roman"/>
      <family val="1"/>
    </font>
    <font>
      <sz val="14"/>
      <color theme="1"/>
      <name val="Times New Roman"/>
      <family val="1"/>
    </font>
    <font>
      <b/>
      <sz val="10"/>
      <color theme="1" tint="0.499984740745262"/>
      <name val="Times New Roman"/>
      <family val="1"/>
    </font>
    <font>
      <b/>
      <sz val="10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8"/>
      <color rgb="FF222222"/>
      <name val="Comic Sans MS"/>
      <family val="4"/>
    </font>
    <font>
      <sz val="10"/>
      <color rgb="FFFF0000"/>
      <name val="Times New Roman"/>
      <family val="1"/>
    </font>
    <font>
      <i/>
      <u/>
      <sz val="14"/>
      <color theme="1"/>
      <name val="Times New Roman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n">
        <color indexed="64"/>
      </right>
      <top style="thick">
        <color auto="1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164" fontId="34" fillId="0" borderId="0" applyFont="0" applyFill="0" applyBorder="0" applyAlignment="0" applyProtection="0"/>
  </cellStyleXfs>
  <cellXfs count="152">
    <xf numFmtId="0" fontId="0" fillId="0" borderId="0" xfId="0"/>
    <xf numFmtId="0" fontId="5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7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6" xfId="1" applyFont="1" applyBorder="1" applyAlignment="1">
      <alignment horizontal="left" vertical="center"/>
    </xf>
    <xf numFmtId="49" fontId="6" fillId="0" borderId="0" xfId="1" applyNumberFormat="1" applyFont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165" fontId="6" fillId="0" borderId="6" xfId="1" applyNumberFormat="1" applyFont="1" applyBorder="1" applyAlignment="1">
      <alignment horizontal="left" vertical="center"/>
    </xf>
    <xf numFmtId="0" fontId="12" fillId="0" borderId="1" xfId="1" applyFont="1" applyBorder="1" applyAlignment="1">
      <alignment horizontal="center" vertical="center"/>
    </xf>
    <xf numFmtId="0" fontId="6" fillId="0" borderId="11" xfId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2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horizontal="left" vertical="center"/>
    </xf>
    <xf numFmtId="168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horizontal="right" vertical="center"/>
    </xf>
    <xf numFmtId="170" fontId="13" fillId="0" borderId="0" xfId="0" applyNumberFormat="1" applyFont="1" applyAlignment="1">
      <alignment vertical="center"/>
    </xf>
    <xf numFmtId="171" fontId="19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166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0" fontId="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6" fillId="0" borderId="1" xfId="2" applyFont="1" applyBorder="1" applyAlignment="1">
      <alignment horizontal="center" vertical="center"/>
    </xf>
    <xf numFmtId="171" fontId="13" fillId="0" borderId="13" xfId="0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167" fontId="19" fillId="0" borderId="0" xfId="0" applyNumberFormat="1" applyFont="1" applyAlignment="1">
      <alignment horizontal="right" vertical="center"/>
    </xf>
    <xf numFmtId="0" fontId="26" fillId="0" borderId="0" xfId="2" applyFont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7" fillId="0" borderId="3" xfId="1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167" fontId="15" fillId="3" borderId="12" xfId="0" applyNumberFormat="1" applyFont="1" applyFill="1" applyBorder="1" applyAlignment="1">
      <alignment horizontal="center" vertical="center" wrapText="1"/>
    </xf>
    <xf numFmtId="165" fontId="6" fillId="0" borderId="9" xfId="1" applyNumberFormat="1" applyFont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7" fontId="16" fillId="0" borderId="0" xfId="0" applyNumberFormat="1" applyFont="1" applyAlignment="1">
      <alignment vertical="center"/>
    </xf>
    <xf numFmtId="0" fontId="15" fillId="3" borderId="15" xfId="0" applyFont="1" applyFill="1" applyBorder="1" applyAlignment="1">
      <alignment horizontal="center" vertical="center" wrapText="1"/>
    </xf>
    <xf numFmtId="166" fontId="13" fillId="0" borderId="0" xfId="0" applyNumberFormat="1" applyFont="1" applyAlignment="1">
      <alignment vertical="center"/>
    </xf>
    <xf numFmtId="167" fontId="25" fillId="0" borderId="0" xfId="0" applyNumberFormat="1" applyFont="1" applyAlignment="1">
      <alignment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22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0" fillId="0" borderId="1" xfId="2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6" fillId="0" borderId="11" xfId="0" applyFont="1" applyBorder="1" applyAlignment="1">
      <alignment vertical="center"/>
    </xf>
    <xf numFmtId="166" fontId="12" fillId="0" borderId="18" xfId="0" applyNumberFormat="1" applyFont="1" applyBorder="1" applyAlignment="1">
      <alignment horizontal="center" vertical="center"/>
    </xf>
    <xf numFmtId="168" fontId="12" fillId="0" borderId="18" xfId="0" applyNumberFormat="1" applyFont="1" applyBorder="1" applyAlignment="1">
      <alignment horizontal="center" vertical="center"/>
    </xf>
    <xf numFmtId="167" fontId="12" fillId="0" borderId="18" xfId="0" applyNumberFormat="1" applyFont="1" applyBorder="1" applyAlignment="1">
      <alignment horizontal="center" vertical="center"/>
    </xf>
    <xf numFmtId="171" fontId="13" fillId="0" borderId="18" xfId="0" applyNumberFormat="1" applyFont="1" applyBorder="1" applyAlignment="1">
      <alignment horizontal="center" vertical="center"/>
    </xf>
    <xf numFmtId="171" fontId="17" fillId="0" borderId="18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" fontId="17" fillId="0" borderId="20" xfId="0" applyNumberFormat="1" applyFont="1" applyBorder="1" applyAlignment="1">
      <alignment horizontal="center" vertical="center"/>
    </xf>
    <xf numFmtId="172" fontId="13" fillId="0" borderId="20" xfId="0" applyNumberFormat="1" applyFont="1" applyBorder="1" applyAlignment="1">
      <alignment horizontal="center" vertical="center"/>
    </xf>
    <xf numFmtId="167" fontId="17" fillId="0" borderId="20" xfId="0" applyNumberFormat="1" applyFont="1" applyBorder="1" applyAlignment="1">
      <alignment horizontal="center" vertical="center"/>
    </xf>
    <xf numFmtId="171" fontId="17" fillId="0" borderId="20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171" fontId="17" fillId="0" borderId="18" xfId="0" applyNumberFormat="1" applyFont="1" applyBorder="1" applyAlignment="1">
      <alignment horizontal="right" vertical="center"/>
    </xf>
    <xf numFmtId="167" fontId="28" fillId="0" borderId="0" xfId="0" applyNumberFormat="1" applyFont="1" applyAlignment="1">
      <alignment horizontal="right" vertical="center"/>
    </xf>
    <xf numFmtId="170" fontId="6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14" fontId="6" fillId="0" borderId="6" xfId="1" applyNumberFormat="1" applyFont="1" applyBorder="1" applyAlignment="1">
      <alignment vertical="center"/>
    </xf>
    <xf numFmtId="0" fontId="30" fillId="0" borderId="0" xfId="0" applyFont="1"/>
    <xf numFmtId="0" fontId="31" fillId="0" borderId="0" xfId="0" applyFont="1"/>
    <xf numFmtId="165" fontId="6" fillId="0" borderId="6" xfId="1" applyNumberFormat="1" applyFont="1" applyBorder="1" applyAlignment="1">
      <alignment horizontal="right" vertical="center"/>
    </xf>
    <xf numFmtId="0" fontId="6" fillId="0" borderId="6" xfId="1" applyFont="1" applyBorder="1" applyAlignment="1">
      <alignment horizontal="right" vertical="center"/>
    </xf>
    <xf numFmtId="14" fontId="6" fillId="0" borderId="6" xfId="1" applyNumberFormat="1" applyFont="1" applyBorder="1" applyAlignment="1">
      <alignment horizontal="right" vertical="center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67" fontId="16" fillId="0" borderId="0" xfId="0" applyNumberFormat="1" applyFont="1" applyAlignment="1">
      <alignment horizontal="right" vertical="center"/>
    </xf>
    <xf numFmtId="0" fontId="32" fillId="0" borderId="6" xfId="1" applyFont="1" applyBorder="1" applyAlignment="1">
      <alignment vertical="center"/>
    </xf>
    <xf numFmtId="0" fontId="32" fillId="0" borderId="0" xfId="1" applyFont="1" applyAlignment="1">
      <alignment vertical="center"/>
    </xf>
    <xf numFmtId="0" fontId="17" fillId="0" borderId="19" xfId="0" applyFont="1" applyBorder="1" applyAlignment="1">
      <alignment horizontal="left" vertical="center"/>
    </xf>
    <xf numFmtId="0" fontId="15" fillId="4" borderId="14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2" fontId="15" fillId="4" borderId="12" xfId="0" applyNumberFormat="1" applyFont="1" applyFill="1" applyBorder="1" applyAlignment="1">
      <alignment horizontal="center" vertical="center" wrapText="1"/>
    </xf>
    <xf numFmtId="166" fontId="15" fillId="4" borderId="12" xfId="0" applyNumberFormat="1" applyFont="1" applyFill="1" applyBorder="1" applyAlignment="1">
      <alignment horizontal="center" vertical="center" wrapText="1"/>
    </xf>
    <xf numFmtId="167" fontId="15" fillId="4" borderId="12" xfId="0" applyNumberFormat="1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169" fontId="14" fillId="0" borderId="0" xfId="0" applyNumberFormat="1" applyFont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173" fontId="13" fillId="0" borderId="13" xfId="0" applyNumberFormat="1" applyFont="1" applyBorder="1" applyAlignment="1">
      <alignment horizontal="center" vertical="center" wrapText="1"/>
    </xf>
    <xf numFmtId="168" fontId="13" fillId="0" borderId="13" xfId="0" applyNumberFormat="1" applyFont="1" applyBorder="1" applyAlignment="1">
      <alignment horizontal="center" vertical="center" wrapText="1"/>
    </xf>
    <xf numFmtId="167" fontId="33" fillId="0" borderId="0" xfId="0" applyNumberFormat="1" applyFont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4" fontId="15" fillId="0" borderId="0" xfId="0" applyNumberFormat="1" applyFont="1" applyAlignment="1">
      <alignment horizontal="center" vertical="center"/>
    </xf>
    <xf numFmtId="164" fontId="13" fillId="0" borderId="0" xfId="3" applyFont="1" applyAlignment="1">
      <alignment vertical="center"/>
    </xf>
    <xf numFmtId="174" fontId="12" fillId="5" borderId="13" xfId="0" applyNumberFormat="1" applyFont="1" applyFill="1" applyBorder="1" applyAlignment="1">
      <alignment horizontal="center" vertical="center" wrapText="1"/>
    </xf>
    <xf numFmtId="174" fontId="13" fillId="5" borderId="13" xfId="0" applyNumberFormat="1" applyFont="1" applyFill="1" applyBorder="1" applyAlignment="1">
      <alignment horizontal="center" vertical="center"/>
    </xf>
    <xf numFmtId="174" fontId="13" fillId="5" borderId="20" xfId="0" applyNumberFormat="1" applyFont="1" applyFill="1" applyBorder="1" applyAlignment="1">
      <alignment horizontal="center" vertical="center"/>
    </xf>
    <xf numFmtId="175" fontId="12" fillId="0" borderId="13" xfId="0" applyNumberFormat="1" applyFont="1" applyBorder="1" applyAlignment="1">
      <alignment horizontal="center" vertical="center"/>
    </xf>
    <xf numFmtId="171" fontId="13" fillId="0" borderId="21" xfId="0" applyNumberFormat="1" applyFont="1" applyBorder="1" applyAlignment="1">
      <alignment horizontal="center" vertical="center"/>
    </xf>
    <xf numFmtId="171" fontId="17" fillId="0" borderId="22" xfId="0" applyNumberFormat="1" applyFont="1" applyBorder="1" applyAlignment="1">
      <alignment horizontal="center" vertical="center"/>
    </xf>
    <xf numFmtId="171" fontId="13" fillId="0" borderId="23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12" xfId="0" quotePrefix="1" applyFont="1" applyBorder="1" applyAlignment="1">
      <alignment horizontal="center" vertical="center" wrapText="1"/>
    </xf>
    <xf numFmtId="1" fontId="24" fillId="0" borderId="12" xfId="0" applyNumberFormat="1" applyFont="1" applyBorder="1" applyAlignment="1">
      <alignment horizontal="center" vertical="center" shrinkToFit="1"/>
    </xf>
    <xf numFmtId="176" fontId="12" fillId="0" borderId="13" xfId="0" applyNumberFormat="1" applyFont="1" applyBorder="1" applyAlignment="1">
      <alignment horizontal="center" vertical="center"/>
    </xf>
    <xf numFmtId="176" fontId="17" fillId="0" borderId="20" xfId="0" applyNumberFormat="1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17" fillId="0" borderId="7" xfId="0" applyFont="1" applyBorder="1" applyAlignment="1">
      <alignment horizontal="left" vertical="center"/>
    </xf>
    <xf numFmtId="1" fontId="17" fillId="0" borderId="0" xfId="0" applyNumberFormat="1" applyFont="1" applyAlignment="1">
      <alignment horizontal="center" vertical="center"/>
    </xf>
    <xf numFmtId="174" fontId="13" fillId="5" borderId="0" xfId="0" applyNumberFormat="1" applyFont="1" applyFill="1" applyAlignment="1">
      <alignment horizontal="center" vertical="center"/>
    </xf>
    <xf numFmtId="172" fontId="13" fillId="0" borderId="0" xfId="0" applyNumberFormat="1" applyFont="1" applyAlignment="1">
      <alignment horizontal="center" vertical="center"/>
    </xf>
    <xf numFmtId="167" fontId="17" fillId="0" borderId="0" xfId="0" applyNumberFormat="1" applyFont="1" applyAlignment="1">
      <alignment horizontal="center" vertical="center"/>
    </xf>
    <xf numFmtId="176" fontId="17" fillId="0" borderId="0" xfId="0" applyNumberFormat="1" applyFont="1" applyAlignment="1">
      <alignment horizontal="center" vertical="center"/>
    </xf>
    <xf numFmtId="171" fontId="17" fillId="0" borderId="0" xfId="0" applyNumberFormat="1" applyFont="1" applyAlignment="1">
      <alignment horizontal="center" vertical="center"/>
    </xf>
    <xf numFmtId="171" fontId="17" fillId="0" borderId="8" xfId="0" applyNumberFormat="1" applyFont="1" applyBorder="1" applyAlignment="1">
      <alignment horizontal="center" vertical="center"/>
    </xf>
    <xf numFmtId="175" fontId="12" fillId="0" borderId="13" xfId="0" applyNumberFormat="1" applyFont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center" vertical="center"/>
    </xf>
    <xf numFmtId="174" fontId="12" fillId="0" borderId="13" xfId="0" applyNumberFormat="1" applyFont="1" applyBorder="1" applyAlignment="1">
      <alignment horizontal="center" vertical="center" wrapText="1"/>
    </xf>
    <xf numFmtId="174" fontId="13" fillId="0" borderId="13" xfId="0" applyNumberFormat="1" applyFont="1" applyBorder="1" applyAlignment="1">
      <alignment horizontal="center" vertical="center"/>
    </xf>
    <xf numFmtId="174" fontId="13" fillId="0" borderId="20" xfId="0" applyNumberFormat="1" applyFont="1" applyBorder="1" applyAlignment="1">
      <alignment horizontal="center" vertical="center"/>
    </xf>
    <xf numFmtId="171" fontId="19" fillId="0" borderId="0" xfId="0" applyNumberFormat="1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8" fillId="0" borderId="24" xfId="0" applyFont="1" applyBorder="1" applyAlignment="1">
      <alignment horizontal="center"/>
    </xf>
    <xf numFmtId="171" fontId="28" fillId="0" borderId="24" xfId="0" applyNumberFormat="1" applyFont="1" applyBorder="1" applyAlignment="1">
      <alignment horizontal="center" vertical="center"/>
    </xf>
    <xf numFmtId="171" fontId="28" fillId="0" borderId="25" xfId="0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171" fontId="28" fillId="0" borderId="0" xfId="0" applyNumberFormat="1" applyFont="1" applyAlignment="1">
      <alignment horizontal="center" vertical="center"/>
    </xf>
    <xf numFmtId="0" fontId="29" fillId="0" borderId="8" xfId="0" applyFont="1" applyBorder="1" applyAlignment="1">
      <alignment horizontal="center" vertical="center"/>
    </xf>
  </cellXfs>
  <cellStyles count="4">
    <cellStyle name="Comma [0]" xfId="3" builtinId="6"/>
    <cellStyle name="Normal" xfId="0" builtinId="0"/>
    <cellStyle name="Normal 2" xfId="2" xr:uid="{00000000-0005-0000-0000-000001000000}"/>
    <cellStyle name="표준 2 2" xfId="1" xr:uid="{00000000-0005-0000-0000-000002000000}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G41"/>
  <sheetViews>
    <sheetView showGridLines="0" tabSelected="1" view="pageBreakPreview" topLeftCell="P8" zoomScaleSheetLayoutView="100" workbookViewId="0">
      <selection activeCell="P27" sqref="P27"/>
    </sheetView>
  </sheetViews>
  <sheetFormatPr defaultColWidth="8.81640625" defaultRowHeight="14"/>
  <cols>
    <col min="1" max="1" width="22" style="21" customWidth="1"/>
    <col min="2" max="2" width="12.453125" style="21" customWidth="1"/>
    <col min="3" max="3" width="10.1796875" style="21" customWidth="1"/>
    <col min="4" max="4" width="17.453125" style="21" customWidth="1"/>
    <col min="5" max="5" width="12" style="21" customWidth="1"/>
    <col min="6" max="6" width="10" style="21" customWidth="1"/>
    <col min="7" max="7" width="6.81640625" style="21" customWidth="1"/>
    <col min="8" max="8" width="8.54296875" style="22" customWidth="1"/>
    <col min="9" max="10" width="8.54296875" style="23" customWidth="1"/>
    <col min="11" max="11" width="10.81640625" style="24" customWidth="1"/>
    <col min="12" max="12" width="29.90625" style="24" customWidth="1"/>
    <col min="13" max="13" width="11.81640625" style="24" customWidth="1"/>
    <col min="14" max="14" width="8.54296875" style="24" customWidth="1"/>
    <col min="15" max="15" width="11.81640625" style="25" customWidth="1"/>
    <col min="16" max="16" width="9.1796875" style="25" customWidth="1"/>
    <col min="17" max="19" width="12.453125" style="26" customWidth="1"/>
    <col min="20" max="21" width="8.453125" style="26" customWidth="1"/>
    <col min="22" max="22" width="10.6328125" style="26" customWidth="1"/>
    <col min="23" max="23" width="10" style="26" customWidth="1"/>
    <col min="24" max="25" width="13.453125" style="29" customWidth="1"/>
    <col min="26" max="26" width="14.54296875" style="22" customWidth="1"/>
    <col min="27" max="28" width="11.1796875" style="22" customWidth="1"/>
    <col min="29" max="29" width="9.81640625" style="22" customWidth="1"/>
    <col min="30" max="30" width="10.90625" style="22" customWidth="1"/>
    <col min="31" max="31" width="8.81640625" style="22" bestFit="1" customWidth="1"/>
    <col min="32" max="32" width="8.81640625" style="22"/>
    <col min="33" max="33" width="11.453125" style="22" customWidth="1"/>
    <col min="34" max="16384" width="8.81640625" style="22"/>
  </cols>
  <sheetData>
    <row r="1" spans="1:33" s="1" customFormat="1" ht="31.5" customHeight="1">
      <c r="A1" s="141" t="s">
        <v>38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3"/>
    </row>
    <row r="2" spans="1:33" s="2" customFormat="1" ht="15.5">
      <c r="A2" s="144" t="s">
        <v>42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6"/>
    </row>
    <row r="3" spans="1:33" s="3" customFormat="1" ht="20">
      <c r="A3" s="147" t="s">
        <v>44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9"/>
    </row>
    <row r="4" spans="1:33" s="7" customFormat="1" ht="12" customHeight="1">
      <c r="A4" s="4" t="s">
        <v>0</v>
      </c>
      <c r="B4" s="46" t="s">
        <v>38</v>
      </c>
      <c r="C4" s="46"/>
      <c r="D4" s="46"/>
      <c r="E4" s="46"/>
      <c r="F4" s="47"/>
      <c r="G4" s="47"/>
      <c r="H4" s="47"/>
      <c r="I4" s="47"/>
      <c r="J4" s="47"/>
      <c r="K4" s="11"/>
      <c r="L4" s="5" t="s">
        <v>26</v>
      </c>
      <c r="M4" s="6"/>
      <c r="N4" s="6"/>
      <c r="O4" s="6" t="s">
        <v>69</v>
      </c>
      <c r="P4" s="6"/>
      <c r="Q4" s="6"/>
      <c r="R4" s="6"/>
      <c r="S4" s="6"/>
      <c r="T4" s="6"/>
      <c r="U4" s="6"/>
      <c r="V4" s="83"/>
      <c r="W4" s="6"/>
      <c r="X4" s="6"/>
      <c r="Y4" s="6"/>
      <c r="Z4" s="49">
        <v>45707</v>
      </c>
      <c r="AA4" s="7" t="s">
        <v>60</v>
      </c>
      <c r="AB4" s="7">
        <v>0.24</v>
      </c>
    </row>
    <row r="5" spans="1:33" s="7" customFormat="1" ht="12" customHeight="1">
      <c r="A5" s="8"/>
      <c r="B5" s="43" t="s">
        <v>43</v>
      </c>
      <c r="C5" s="43"/>
      <c r="D5" s="43"/>
      <c r="E5" s="43"/>
      <c r="F5" s="82"/>
      <c r="G5" s="82"/>
      <c r="H5" s="82"/>
      <c r="I5" s="82"/>
      <c r="J5" s="82"/>
      <c r="K5" s="14"/>
      <c r="L5" s="5" t="s">
        <v>27</v>
      </c>
      <c r="M5" s="6"/>
      <c r="N5" s="6"/>
      <c r="O5" s="92"/>
      <c r="P5" s="92"/>
      <c r="Q5" s="6"/>
      <c r="R5" s="6"/>
      <c r="S5" s="6"/>
      <c r="T5" s="6"/>
      <c r="U5" s="6"/>
      <c r="V5" s="6"/>
      <c r="W5" s="6"/>
      <c r="X5" s="6"/>
      <c r="Y5" s="6"/>
      <c r="Z5" s="9"/>
    </row>
    <row r="6" spans="1:33" s="7" customFormat="1" ht="12" customHeight="1">
      <c r="A6" s="8"/>
      <c r="B6" s="43" t="s">
        <v>39</v>
      </c>
      <c r="C6" s="43"/>
      <c r="D6" s="43"/>
      <c r="E6" s="43"/>
      <c r="F6" s="82"/>
      <c r="G6" s="82"/>
      <c r="H6" s="82"/>
      <c r="I6" s="82"/>
      <c r="J6" s="82"/>
      <c r="K6" s="14"/>
      <c r="L6" s="4" t="s">
        <v>40</v>
      </c>
      <c r="M6" s="39"/>
      <c r="N6" s="10"/>
      <c r="O6" s="39"/>
      <c r="P6" s="39"/>
      <c r="Q6" s="39"/>
      <c r="R6" s="39"/>
      <c r="S6" s="39"/>
      <c r="T6" s="39"/>
      <c r="U6" s="39"/>
      <c r="V6" s="10"/>
      <c r="W6" s="10"/>
      <c r="X6" s="10"/>
      <c r="Y6" s="10"/>
      <c r="Z6" s="11"/>
    </row>
    <row r="7" spans="1:33" s="7" customFormat="1" ht="12" customHeight="1">
      <c r="A7" s="12"/>
      <c r="B7" s="44" t="s">
        <v>18</v>
      </c>
      <c r="C7" s="44"/>
      <c r="D7" s="44"/>
      <c r="E7" s="44"/>
      <c r="F7" s="45"/>
      <c r="G7" s="45"/>
      <c r="H7" s="45"/>
      <c r="I7" s="45"/>
      <c r="J7" s="45"/>
      <c r="K7" s="20"/>
      <c r="L7" s="12"/>
      <c r="M7" s="44"/>
      <c r="N7" s="13"/>
      <c r="O7" s="44"/>
      <c r="P7" s="44"/>
      <c r="Q7" s="44"/>
      <c r="R7" s="44"/>
      <c r="S7" s="44"/>
      <c r="T7" s="44"/>
      <c r="U7" s="44"/>
      <c r="V7" s="13"/>
      <c r="W7" s="13"/>
      <c r="X7" s="13"/>
      <c r="Y7" s="13"/>
      <c r="Z7" s="20"/>
    </row>
    <row r="8" spans="1:33" s="7" customFormat="1" ht="12" customHeight="1">
      <c r="A8" s="4" t="s">
        <v>1</v>
      </c>
      <c r="B8" s="46" t="s">
        <v>70</v>
      </c>
      <c r="C8" s="46"/>
      <c r="D8" s="46"/>
      <c r="E8" s="46"/>
      <c r="F8" s="46"/>
      <c r="G8" s="46"/>
      <c r="H8" s="46"/>
      <c r="I8" s="46"/>
      <c r="J8" s="46"/>
      <c r="K8" s="11"/>
      <c r="L8" s="5" t="s">
        <v>28</v>
      </c>
      <c r="M8" s="15"/>
      <c r="N8" s="6"/>
      <c r="O8" s="15"/>
      <c r="P8" s="15"/>
      <c r="Q8" s="15"/>
      <c r="R8" s="15"/>
      <c r="S8" s="15"/>
      <c r="T8" s="15"/>
      <c r="U8" s="15"/>
      <c r="V8" s="6"/>
      <c r="W8" s="6"/>
      <c r="X8" s="6"/>
      <c r="Y8" s="6"/>
      <c r="Z8" s="9"/>
    </row>
    <row r="9" spans="1:33" s="7" customFormat="1" ht="12" customHeight="1">
      <c r="A9" s="8"/>
      <c r="B9" s="43" t="s">
        <v>51</v>
      </c>
      <c r="C9" s="43"/>
      <c r="D9" s="43"/>
      <c r="E9" s="43"/>
      <c r="F9" s="43"/>
      <c r="G9" s="43"/>
      <c r="H9" s="43"/>
      <c r="I9" s="43"/>
      <c r="J9" s="43"/>
      <c r="K9" s="14"/>
      <c r="L9" s="39" t="s">
        <v>30</v>
      </c>
      <c r="M9" s="39"/>
      <c r="N9" s="10"/>
      <c r="O9" s="10" t="s">
        <v>31</v>
      </c>
      <c r="P9" s="10"/>
      <c r="Q9" s="39"/>
      <c r="R9" s="39"/>
      <c r="S9" s="39"/>
      <c r="T9" s="39"/>
      <c r="U9" s="39"/>
      <c r="V9" s="10"/>
      <c r="W9" s="10"/>
      <c r="X9" s="10"/>
      <c r="Y9" s="10"/>
      <c r="Z9" s="11"/>
    </row>
    <row r="10" spans="1:33" s="7" customFormat="1" ht="12" customHeight="1">
      <c r="A10" s="8"/>
      <c r="B10" s="43"/>
      <c r="C10" s="43"/>
      <c r="D10" s="43"/>
      <c r="E10" s="43"/>
      <c r="F10" s="43"/>
      <c r="G10" s="43"/>
      <c r="H10" s="43"/>
      <c r="I10" s="43"/>
      <c r="J10" s="43"/>
      <c r="K10" s="14"/>
      <c r="L10" s="7" t="s">
        <v>32</v>
      </c>
      <c r="Q10" s="84"/>
      <c r="R10" s="84"/>
      <c r="S10" s="84"/>
      <c r="T10" s="84"/>
      <c r="U10" s="84"/>
      <c r="V10" s="85"/>
      <c r="W10" s="16"/>
      <c r="Z10" s="14"/>
    </row>
    <row r="11" spans="1:33" s="7" customFormat="1" ht="12" customHeight="1">
      <c r="A11" s="12"/>
      <c r="B11" s="44"/>
      <c r="C11" s="44"/>
      <c r="D11" s="44"/>
      <c r="E11" s="44"/>
      <c r="F11" s="44"/>
      <c r="G11" s="44"/>
      <c r="H11" s="44"/>
      <c r="I11" s="44"/>
      <c r="J11" s="44"/>
      <c r="K11" s="20"/>
      <c r="L11" s="7" t="s">
        <v>2</v>
      </c>
      <c r="O11" s="93"/>
      <c r="P11" s="93"/>
      <c r="V11" s="16"/>
      <c r="W11" s="16"/>
      <c r="Z11" s="14"/>
    </row>
    <row r="12" spans="1:33" s="7" customFormat="1" ht="12" customHeight="1">
      <c r="A12" s="17"/>
      <c r="B12" s="86" t="s">
        <v>33</v>
      </c>
      <c r="C12" s="18"/>
      <c r="D12" s="18"/>
      <c r="E12" s="18"/>
      <c r="F12" s="18"/>
      <c r="G12" s="5"/>
      <c r="H12" s="88" t="s">
        <v>34</v>
      </c>
      <c r="I12" s="6" t="s">
        <v>36</v>
      </c>
      <c r="J12" s="6"/>
      <c r="K12" s="9"/>
      <c r="L12" s="13" t="s">
        <v>3</v>
      </c>
      <c r="M12" s="13"/>
      <c r="N12" s="13"/>
      <c r="O12" s="13"/>
      <c r="P12" s="13"/>
      <c r="Q12" s="13"/>
      <c r="R12" s="13"/>
      <c r="S12" s="13"/>
      <c r="T12" s="13"/>
      <c r="U12" s="13"/>
      <c r="V12" s="19"/>
      <c r="W12" s="19"/>
      <c r="X12" s="13"/>
      <c r="Y12" s="13"/>
      <c r="Z12" s="20"/>
    </row>
    <row r="13" spans="1:33" s="7" customFormat="1" ht="12" customHeight="1">
      <c r="A13" s="5"/>
      <c r="B13" s="87" t="s">
        <v>41</v>
      </c>
      <c r="C13" s="6"/>
      <c r="D13" s="6"/>
      <c r="E13" s="6"/>
      <c r="F13" s="6"/>
      <c r="G13" s="5"/>
      <c r="H13" s="87" t="s">
        <v>35</v>
      </c>
      <c r="I13" s="6" t="s">
        <v>37</v>
      </c>
      <c r="J13" s="6"/>
      <c r="K13" s="9"/>
      <c r="L13" s="5" t="s">
        <v>29</v>
      </c>
      <c r="M13" s="6"/>
      <c r="N13" s="6"/>
      <c r="O13" s="15"/>
      <c r="P13" s="15"/>
      <c r="Q13" s="15"/>
      <c r="R13" s="15"/>
      <c r="S13" s="15"/>
      <c r="T13" s="15"/>
      <c r="U13" s="15"/>
      <c r="V13" s="6"/>
      <c r="W13" s="6"/>
      <c r="X13" s="6"/>
      <c r="Y13" s="6"/>
      <c r="Z13" s="9"/>
      <c r="AB13" s="7" t="s">
        <v>58</v>
      </c>
      <c r="AC13" s="7">
        <v>73</v>
      </c>
    </row>
    <row r="14" spans="1:33" ht="16" customHeight="1">
      <c r="A14" s="56" t="s">
        <v>64</v>
      </c>
      <c r="K14" s="51"/>
      <c r="L14" s="51"/>
      <c r="M14" s="51"/>
      <c r="N14" s="51"/>
      <c r="W14" s="52"/>
      <c r="X14" s="91"/>
      <c r="Y14" s="91" t="s">
        <v>74</v>
      </c>
      <c r="Z14" s="101">
        <f>2679.45*1.01</f>
        <v>2706.2444999999998</v>
      </c>
      <c r="AB14" s="22" t="s">
        <v>59</v>
      </c>
      <c r="AC14" s="22">
        <v>147.88999999999999</v>
      </c>
    </row>
    <row r="15" spans="1:33" s="100" customFormat="1" ht="28">
      <c r="A15" s="95" t="s">
        <v>63</v>
      </c>
      <c r="B15" s="96" t="s">
        <v>4</v>
      </c>
      <c r="C15" s="96" t="s">
        <v>23</v>
      </c>
      <c r="D15" s="96" t="s">
        <v>45</v>
      </c>
      <c r="E15" s="96" t="s">
        <v>46</v>
      </c>
      <c r="F15" s="96" t="s">
        <v>5</v>
      </c>
      <c r="G15" s="96" t="s">
        <v>6</v>
      </c>
      <c r="H15" s="97" t="s">
        <v>7</v>
      </c>
      <c r="I15" s="97" t="s">
        <v>47</v>
      </c>
      <c r="J15" s="97" t="s">
        <v>8</v>
      </c>
      <c r="K15" s="98" t="s">
        <v>13</v>
      </c>
      <c r="L15" s="98" t="s">
        <v>19</v>
      </c>
      <c r="M15" s="98" t="s">
        <v>22</v>
      </c>
      <c r="N15" s="98" t="s">
        <v>20</v>
      </c>
      <c r="O15" s="99" t="s">
        <v>9</v>
      </c>
      <c r="P15" s="99" t="s">
        <v>49</v>
      </c>
      <c r="Q15" s="48" t="s">
        <v>50</v>
      </c>
      <c r="R15" s="48" t="s">
        <v>54</v>
      </c>
      <c r="S15" s="48" t="s">
        <v>68</v>
      </c>
      <c r="T15" s="48" t="s">
        <v>12</v>
      </c>
      <c r="U15" s="48" t="s">
        <v>52</v>
      </c>
      <c r="V15" s="48" t="s">
        <v>48</v>
      </c>
      <c r="W15" s="48" t="s">
        <v>14</v>
      </c>
      <c r="X15" s="53" t="s">
        <v>11</v>
      </c>
      <c r="Y15" s="53" t="s">
        <v>21</v>
      </c>
      <c r="Z15" s="53" t="s">
        <v>65</v>
      </c>
      <c r="AB15" s="100" t="s">
        <v>55</v>
      </c>
      <c r="AC15" s="100" t="s">
        <v>56</v>
      </c>
      <c r="AD15" s="100" t="s">
        <v>57</v>
      </c>
      <c r="AE15" s="100" t="s">
        <v>61</v>
      </c>
      <c r="AF15" s="100" t="s">
        <v>66</v>
      </c>
      <c r="AG15" s="100" t="s">
        <v>67</v>
      </c>
    </row>
    <row r="16" spans="1:33" s="27" customFormat="1" ht="28">
      <c r="A16" s="102" t="s">
        <v>75</v>
      </c>
      <c r="B16" s="117" t="s">
        <v>76</v>
      </c>
      <c r="C16" s="118"/>
      <c r="D16" s="118"/>
      <c r="E16" s="117"/>
      <c r="F16" s="117" t="s">
        <v>72</v>
      </c>
      <c r="G16" s="119">
        <v>1</v>
      </c>
      <c r="H16" s="133">
        <v>6.94</v>
      </c>
      <c r="I16" s="133">
        <v>0.05</v>
      </c>
      <c r="J16" s="133">
        <v>0.7</v>
      </c>
      <c r="K16" s="134">
        <f t="shared" ref="K16" si="0">H16-I16-J16</f>
        <v>6.19</v>
      </c>
      <c r="L16" s="103" t="s">
        <v>77</v>
      </c>
      <c r="M16" s="103" t="s">
        <v>78</v>
      </c>
      <c r="N16" s="104" t="s">
        <v>79</v>
      </c>
      <c r="O16" s="112">
        <v>8.5</v>
      </c>
      <c r="P16" s="120">
        <v>0.22500000000000001</v>
      </c>
      <c r="Q16" s="38"/>
      <c r="R16" s="38"/>
      <c r="S16" s="38">
        <f>G16*(16+4)*0.03</f>
        <v>0.6</v>
      </c>
      <c r="T16" s="38">
        <f>G16*4</f>
        <v>4</v>
      </c>
      <c r="U16" s="38"/>
      <c r="V16" s="38"/>
      <c r="W16" s="38">
        <f>G16*(16+4)*0.3</f>
        <v>6</v>
      </c>
      <c r="X16" s="38">
        <f t="shared" ref="X16" si="1">K16*O16</f>
        <v>52.615000000000002</v>
      </c>
      <c r="Y16" s="38">
        <f t="shared" ref="Y16" si="2">$Z$14/31.1035*K16*IF(LEFT(F16,3)="10K",0.417*1.07,IF(LEFT(F16,3)="14K",0.585*1.05,IF(LEFT(F16,3)="18K",0.75*1.05,0)))</f>
        <v>424.12998845186235</v>
      </c>
      <c r="Z16" s="113">
        <f t="shared" ref="Z16" si="3">SUM(Q16:Y16)</f>
        <v>487.34498845186238</v>
      </c>
      <c r="AA16" s="27">
        <f t="shared" ref="AA16:AA20" si="4">2*K16</f>
        <v>12.38</v>
      </c>
      <c r="AB16" s="106">
        <f t="shared" ref="AB16:AB20" si="5">(SUM(Q16:W16)+AG16)-AA16</f>
        <v>44.645000000000003</v>
      </c>
      <c r="AC16" s="106">
        <f t="shared" ref="AC16:AC20" si="6">AE16*$AC$13+P16*$AC$14</f>
        <v>389.12287500000002</v>
      </c>
      <c r="AD16" s="106">
        <f t="shared" ref="AD16:AD20" si="7">SUM(AB16:AC16)</f>
        <v>433.767875</v>
      </c>
      <c r="AE16" s="27">
        <f t="shared" ref="AE16:AE20" si="8">K16*IF(LEFT(F16,3)="10K",0.417*1.07,IF(LEFT(F16,3)="14K",0.585*1.05,IF(LEFT(F16,3)="18K",0.75*1.05,0)))</f>
        <v>4.8746250000000009</v>
      </c>
      <c r="AF16" s="27">
        <v>7.5</v>
      </c>
      <c r="AG16" s="27">
        <f t="shared" ref="AG16:AG20" si="9">IF(AF16&gt;0,AF16*K16,X16)</f>
        <v>46.425000000000004</v>
      </c>
    </row>
    <row r="17" spans="1:33" s="27" customFormat="1" ht="56">
      <c r="A17" s="116">
        <v>16</v>
      </c>
      <c r="B17" s="117" t="s">
        <v>80</v>
      </c>
      <c r="C17" s="118"/>
      <c r="D17" s="118"/>
      <c r="E17" s="117"/>
      <c r="F17" s="117" t="s">
        <v>72</v>
      </c>
      <c r="G17" s="119">
        <v>1</v>
      </c>
      <c r="H17" s="133">
        <v>6.37</v>
      </c>
      <c r="I17" s="133">
        <v>0.42</v>
      </c>
      <c r="J17" s="133">
        <v>0.24</v>
      </c>
      <c r="K17" s="134">
        <f t="shared" ref="K17:K20" si="10">H17-I17-J17</f>
        <v>5.71</v>
      </c>
      <c r="L17" s="103" t="s">
        <v>81</v>
      </c>
      <c r="M17" s="103" t="s">
        <v>82</v>
      </c>
      <c r="N17" s="104" t="s">
        <v>83</v>
      </c>
      <c r="O17" s="112">
        <v>11.5</v>
      </c>
      <c r="P17" s="120">
        <v>2.0950000000000002</v>
      </c>
      <c r="Q17" s="38"/>
      <c r="R17" s="38"/>
      <c r="S17" s="38">
        <f>G17*(54+2+2+29)*0.03</f>
        <v>2.61</v>
      </c>
      <c r="T17" s="38">
        <f>G17*3</f>
        <v>3</v>
      </c>
      <c r="U17" s="38"/>
      <c r="V17" s="38"/>
      <c r="W17" s="38">
        <f>G17*((54*0.3)+(2+2+29)*1.5)</f>
        <v>65.7</v>
      </c>
      <c r="X17" s="38">
        <f t="shared" ref="X17:X20" si="11">K17*O17</f>
        <v>65.665000000000006</v>
      </c>
      <c r="Y17" s="38">
        <f t="shared" ref="Y17:Y20" si="12">$Z$14/31.1035*K17*IF(LEFT(F17,3)="10K",0.417*1.07,IF(LEFT(F17,3)="14K",0.585*1.05,IF(LEFT(F17,3)="18K",0.75*1.05,0)))</f>
        <v>391.24107173830919</v>
      </c>
      <c r="Z17" s="113">
        <f t="shared" ref="Z17" si="13">SUM(Q17:Y17)</f>
        <v>528.21607173830921</v>
      </c>
      <c r="AA17" s="27">
        <f t="shared" si="4"/>
        <v>11.42</v>
      </c>
      <c r="AB17" s="106">
        <f t="shared" si="5"/>
        <v>116.99</v>
      </c>
      <c r="AC17" s="106">
        <f t="shared" si="6"/>
        <v>638.08317499999998</v>
      </c>
      <c r="AD17" s="106">
        <f t="shared" si="7"/>
        <v>755.07317499999999</v>
      </c>
      <c r="AE17" s="27">
        <f t="shared" si="8"/>
        <v>4.4966250000000008</v>
      </c>
      <c r="AF17" s="27">
        <v>10</v>
      </c>
      <c r="AG17" s="27">
        <f t="shared" si="9"/>
        <v>57.1</v>
      </c>
    </row>
    <row r="18" spans="1:33" s="27" customFormat="1" ht="56">
      <c r="A18" s="116">
        <v>17</v>
      </c>
      <c r="B18" s="117" t="s">
        <v>84</v>
      </c>
      <c r="C18" s="118"/>
      <c r="D18" s="118"/>
      <c r="E18" s="117"/>
      <c r="F18" s="117" t="s">
        <v>73</v>
      </c>
      <c r="G18" s="119">
        <v>1</v>
      </c>
      <c r="H18" s="133">
        <v>6.36</v>
      </c>
      <c r="I18" s="133">
        <v>0.42</v>
      </c>
      <c r="J18" s="133">
        <v>0.24</v>
      </c>
      <c r="K18" s="134">
        <f t="shared" si="10"/>
        <v>5.7</v>
      </c>
      <c r="L18" s="103" t="s">
        <v>81</v>
      </c>
      <c r="M18" s="103" t="s">
        <v>82</v>
      </c>
      <c r="N18" s="104" t="s">
        <v>85</v>
      </c>
      <c r="O18" s="112">
        <v>11.5</v>
      </c>
      <c r="P18" s="120">
        <v>2.1</v>
      </c>
      <c r="Q18" s="38"/>
      <c r="R18" s="38"/>
      <c r="S18" s="38">
        <f>G18*(58+2+2+29)*0.03</f>
        <v>2.73</v>
      </c>
      <c r="T18" s="38">
        <f>G18*3</f>
        <v>3</v>
      </c>
      <c r="U18" s="38">
        <f t="shared" ref="U18" si="14">IF(RIGHT(F18,2)="WG",K18*$AB$4,IF(OR(RIGHT(F18,3)="WRG",RIGHT(F18,3)="WYG",RIGHT(F18,3)="WYR"),K18*$AB$4+3*G18,0))</f>
        <v>1.3679999999999999</v>
      </c>
      <c r="V18" s="38"/>
      <c r="W18" s="38">
        <f>G18*((58*0.3)+(2+2+29)*1.5)</f>
        <v>66.900000000000006</v>
      </c>
      <c r="X18" s="38">
        <f t="shared" si="11"/>
        <v>65.55</v>
      </c>
      <c r="Y18" s="38">
        <f t="shared" si="12"/>
        <v>390.55588597344354</v>
      </c>
      <c r="Z18" s="113">
        <f t="shared" ref="Z18:Z20" si="15">SUM(Q18:Y18)</f>
        <v>530.10388597344354</v>
      </c>
      <c r="AA18" s="27">
        <f t="shared" si="4"/>
        <v>11.4</v>
      </c>
      <c r="AB18" s="106">
        <f t="shared" si="5"/>
        <v>119.59799999999998</v>
      </c>
      <c r="AC18" s="106">
        <f t="shared" si="6"/>
        <v>638.24775</v>
      </c>
      <c r="AD18" s="106">
        <f t="shared" si="7"/>
        <v>757.84574999999995</v>
      </c>
      <c r="AE18" s="27">
        <f t="shared" si="8"/>
        <v>4.4887500000000005</v>
      </c>
      <c r="AF18" s="27">
        <v>10</v>
      </c>
      <c r="AG18" s="27">
        <f t="shared" si="9"/>
        <v>57</v>
      </c>
    </row>
    <row r="19" spans="1:33" s="27" customFormat="1" ht="56">
      <c r="A19" s="116">
        <v>17</v>
      </c>
      <c r="B19" s="117" t="s">
        <v>84</v>
      </c>
      <c r="C19" s="118"/>
      <c r="D19" s="118"/>
      <c r="E19" s="117"/>
      <c r="F19" s="117" t="s">
        <v>72</v>
      </c>
      <c r="G19" s="119">
        <v>1</v>
      </c>
      <c r="H19" s="133">
        <v>6.6</v>
      </c>
      <c r="I19" s="133">
        <v>0.41</v>
      </c>
      <c r="J19" s="133">
        <v>0.24</v>
      </c>
      <c r="K19" s="134">
        <f t="shared" ref="K19" si="16">H19-I19-J19</f>
        <v>5.9499999999999993</v>
      </c>
      <c r="L19" s="103" t="s">
        <v>81</v>
      </c>
      <c r="M19" s="103" t="s">
        <v>82</v>
      </c>
      <c r="N19" s="104" t="s">
        <v>85</v>
      </c>
      <c r="O19" s="112">
        <v>11.5</v>
      </c>
      <c r="P19" s="120">
        <v>2.0550000000000002</v>
      </c>
      <c r="Q19" s="38"/>
      <c r="R19" s="38"/>
      <c r="S19" s="38">
        <f>G19*(58+2+2+29)*0.03</f>
        <v>2.73</v>
      </c>
      <c r="T19" s="38">
        <f>G19*3</f>
        <v>3</v>
      </c>
      <c r="U19" s="38"/>
      <c r="V19" s="38"/>
      <c r="W19" s="38">
        <f>G19*((58*0.3)+(2+2+29)*1.5)</f>
        <v>66.900000000000006</v>
      </c>
      <c r="X19" s="38">
        <f t="shared" ref="X19" si="17">K19*O19</f>
        <v>68.424999999999997</v>
      </c>
      <c r="Y19" s="38">
        <f t="shared" ref="Y19" si="18">$Z$14/31.1035*K19*IF(LEFT(F19,3)="10K",0.417*1.07,IF(LEFT(F19,3)="14K",0.585*1.05,IF(LEFT(F19,3)="18K",0.75*1.05,0)))</f>
        <v>407.68553009508571</v>
      </c>
      <c r="Z19" s="113">
        <f t="shared" ref="Z19" si="19">SUM(Q19:Y19)</f>
        <v>548.74053009508566</v>
      </c>
      <c r="AA19" s="27">
        <f t="shared" si="4"/>
        <v>11.899999999999999</v>
      </c>
      <c r="AB19" s="106">
        <f t="shared" si="5"/>
        <v>120.22999999999999</v>
      </c>
      <c r="AC19" s="106">
        <f t="shared" si="6"/>
        <v>645.96457499999997</v>
      </c>
      <c r="AD19" s="106">
        <f t="shared" si="7"/>
        <v>766.19457499999999</v>
      </c>
      <c r="AE19" s="27">
        <f t="shared" si="8"/>
        <v>4.6856249999999999</v>
      </c>
      <c r="AF19" s="27">
        <v>10</v>
      </c>
      <c r="AG19" s="27">
        <f t="shared" si="9"/>
        <v>59.499999999999993</v>
      </c>
    </row>
    <row r="20" spans="1:33" s="27" customFormat="1" ht="56.5" thickBot="1">
      <c r="A20" s="116">
        <v>18</v>
      </c>
      <c r="B20" s="117" t="s">
        <v>86</v>
      </c>
      <c r="C20" s="118"/>
      <c r="D20" s="118"/>
      <c r="E20" s="117"/>
      <c r="F20" s="117" t="s">
        <v>72</v>
      </c>
      <c r="G20" s="119">
        <v>1</v>
      </c>
      <c r="H20" s="133">
        <v>6.57</v>
      </c>
      <c r="I20" s="133">
        <v>0.41</v>
      </c>
      <c r="J20" s="133">
        <v>0.24</v>
      </c>
      <c r="K20" s="134">
        <f t="shared" si="10"/>
        <v>5.92</v>
      </c>
      <c r="L20" s="103" t="s">
        <v>81</v>
      </c>
      <c r="M20" s="103" t="s">
        <v>82</v>
      </c>
      <c r="N20" s="104" t="s">
        <v>85</v>
      </c>
      <c r="O20" s="112">
        <v>11.5</v>
      </c>
      <c r="P20" s="120">
        <v>2.0499999999999998</v>
      </c>
      <c r="Q20" s="38"/>
      <c r="R20" s="38"/>
      <c r="S20" s="38">
        <f>G20*(58+2+2+29)*0.03</f>
        <v>2.73</v>
      </c>
      <c r="T20" s="38">
        <f>G20*3</f>
        <v>3</v>
      </c>
      <c r="U20" s="38"/>
      <c r="V20" s="38"/>
      <c r="W20" s="38">
        <f>G20*((58*0.3)+(2+2+29)*1.5)</f>
        <v>66.900000000000006</v>
      </c>
      <c r="X20" s="38">
        <f t="shared" si="11"/>
        <v>68.08</v>
      </c>
      <c r="Y20" s="38">
        <f t="shared" si="12"/>
        <v>405.62997280048864</v>
      </c>
      <c r="Z20" s="113">
        <f t="shared" si="15"/>
        <v>546.33997280048868</v>
      </c>
      <c r="AA20" s="27">
        <f t="shared" si="4"/>
        <v>11.84</v>
      </c>
      <c r="AB20" s="106">
        <f t="shared" si="5"/>
        <v>119.99000000000001</v>
      </c>
      <c r="AC20" s="106">
        <f t="shared" si="6"/>
        <v>643.5005000000001</v>
      </c>
      <c r="AD20" s="106">
        <f t="shared" si="7"/>
        <v>763.49050000000011</v>
      </c>
      <c r="AE20" s="27">
        <f t="shared" si="8"/>
        <v>4.6620000000000008</v>
      </c>
      <c r="AF20" s="27">
        <v>10</v>
      </c>
      <c r="AG20" s="27">
        <f t="shared" si="9"/>
        <v>59.2</v>
      </c>
    </row>
    <row r="21" spans="1:33" s="28" customFormat="1" ht="16" customHeight="1">
      <c r="A21" s="94" t="s">
        <v>62</v>
      </c>
      <c r="B21" s="72"/>
      <c r="C21" s="72"/>
      <c r="D21" s="72"/>
      <c r="E21" s="72"/>
      <c r="F21" s="72"/>
      <c r="G21" s="73">
        <f>SUM(G16:G20)</f>
        <v>5</v>
      </c>
      <c r="H21" s="135"/>
      <c r="I21" s="135"/>
      <c r="J21" s="135"/>
      <c r="K21" s="135">
        <f>SUM(K16:K20)</f>
        <v>29.47</v>
      </c>
      <c r="L21" s="74"/>
      <c r="M21" s="74"/>
      <c r="N21" s="74"/>
      <c r="O21" s="75"/>
      <c r="P21" s="121">
        <f t="shared" ref="P21:Z21" si="20">SUM(P16:P20)</f>
        <v>8.5249999999999986</v>
      </c>
      <c r="Q21" s="76">
        <f t="shared" si="20"/>
        <v>0</v>
      </c>
      <c r="R21" s="76">
        <f t="shared" si="20"/>
        <v>0</v>
      </c>
      <c r="S21" s="76">
        <f t="shared" si="20"/>
        <v>11.4</v>
      </c>
      <c r="T21" s="76">
        <f t="shared" si="20"/>
        <v>16</v>
      </c>
      <c r="U21" s="76">
        <f t="shared" si="20"/>
        <v>1.3679999999999999</v>
      </c>
      <c r="V21" s="76">
        <f t="shared" si="20"/>
        <v>0</v>
      </c>
      <c r="W21" s="76">
        <f t="shared" si="20"/>
        <v>272.40000000000003</v>
      </c>
      <c r="X21" s="76">
        <f t="shared" si="20"/>
        <v>320.33499999999998</v>
      </c>
      <c r="Y21" s="76">
        <f t="shared" si="20"/>
        <v>2019.2424490591893</v>
      </c>
      <c r="Z21" s="114">
        <f t="shared" si="20"/>
        <v>2640.7454490591899</v>
      </c>
      <c r="AA21" s="27"/>
      <c r="AB21" s="106"/>
      <c r="AC21" s="106"/>
      <c r="AD21" s="106"/>
      <c r="AE21" s="27"/>
      <c r="AG21" s="27"/>
    </row>
    <row r="22" spans="1:33" ht="16" customHeight="1">
      <c r="A22" s="56" t="s">
        <v>64</v>
      </c>
      <c r="K22" s="51"/>
      <c r="L22" s="51"/>
      <c r="M22" s="51"/>
      <c r="N22" s="51"/>
      <c r="W22" s="52"/>
      <c r="X22" s="91"/>
      <c r="Y22" s="91" t="s">
        <v>71</v>
      </c>
      <c r="Z22" s="101">
        <f>1.01*2697.45</f>
        <v>2724.4244999999996</v>
      </c>
      <c r="AA22" s="27"/>
      <c r="AB22" s="106"/>
      <c r="AC22" s="106"/>
      <c r="AD22" s="106"/>
      <c r="AE22" s="27"/>
      <c r="AG22" s="27"/>
    </row>
    <row r="23" spans="1:33" s="100" customFormat="1" ht="28">
      <c r="A23" s="95" t="s">
        <v>63</v>
      </c>
      <c r="B23" s="96" t="s">
        <v>4</v>
      </c>
      <c r="C23" s="96" t="s">
        <v>23</v>
      </c>
      <c r="D23" s="96" t="s">
        <v>45</v>
      </c>
      <c r="E23" s="96" t="s">
        <v>46</v>
      </c>
      <c r="F23" s="96" t="s">
        <v>5</v>
      </c>
      <c r="G23" s="96" t="s">
        <v>6</v>
      </c>
      <c r="H23" s="97" t="s">
        <v>7</v>
      </c>
      <c r="I23" s="97" t="s">
        <v>47</v>
      </c>
      <c r="J23" s="97" t="s">
        <v>8</v>
      </c>
      <c r="K23" s="98" t="s">
        <v>13</v>
      </c>
      <c r="L23" s="98" t="s">
        <v>19</v>
      </c>
      <c r="M23" s="98" t="s">
        <v>22</v>
      </c>
      <c r="N23" s="98" t="s">
        <v>20</v>
      </c>
      <c r="O23" s="99" t="s">
        <v>9</v>
      </c>
      <c r="P23" s="99" t="s">
        <v>49</v>
      </c>
      <c r="Q23" s="48" t="s">
        <v>50</v>
      </c>
      <c r="R23" s="48" t="s">
        <v>54</v>
      </c>
      <c r="S23" s="48" t="s">
        <v>68</v>
      </c>
      <c r="T23" s="48" t="s">
        <v>12</v>
      </c>
      <c r="U23" s="48" t="s">
        <v>52</v>
      </c>
      <c r="V23" s="48" t="s">
        <v>48</v>
      </c>
      <c r="W23" s="48" t="s">
        <v>14</v>
      </c>
      <c r="X23" s="53" t="s">
        <v>11</v>
      </c>
      <c r="Y23" s="53" t="s">
        <v>21</v>
      </c>
      <c r="Z23" s="53" t="s">
        <v>65</v>
      </c>
      <c r="AA23" s="27"/>
      <c r="AB23" s="106"/>
      <c r="AC23" s="106"/>
      <c r="AD23" s="106"/>
      <c r="AE23" s="27"/>
      <c r="AG23" s="27"/>
    </row>
    <row r="24" spans="1:33" s="27" customFormat="1" ht="84">
      <c r="A24" s="132" t="s">
        <v>87</v>
      </c>
      <c r="B24" s="117" t="s">
        <v>89</v>
      </c>
      <c r="C24" s="118"/>
      <c r="D24" s="118"/>
      <c r="E24" s="117"/>
      <c r="F24" s="117" t="s">
        <v>72</v>
      </c>
      <c r="G24" s="119">
        <v>1</v>
      </c>
      <c r="H24" s="109">
        <v>6.68</v>
      </c>
      <c r="I24" s="109">
        <v>1.1599999999999999</v>
      </c>
      <c r="J24" s="109"/>
      <c r="K24" s="110">
        <f t="shared" ref="K24:K25" si="21">H24-I24-J24</f>
        <v>5.52</v>
      </c>
      <c r="L24" s="103" t="s">
        <v>90</v>
      </c>
      <c r="M24" s="103" t="s">
        <v>92</v>
      </c>
      <c r="N24" s="104" t="s">
        <v>91</v>
      </c>
      <c r="O24" s="131" t="s">
        <v>88</v>
      </c>
      <c r="P24" s="120">
        <v>0.45</v>
      </c>
      <c r="Q24" s="38">
        <f>5*12*G24+25*4*G24</f>
        <v>160</v>
      </c>
      <c r="R24" s="38"/>
      <c r="S24" s="38">
        <f>G24*(10+20+4)*0.03</f>
        <v>1.02</v>
      </c>
      <c r="T24" s="38"/>
      <c r="U24" s="38"/>
      <c r="V24" s="38">
        <f>G24*(4*50+2*120)</f>
        <v>440</v>
      </c>
      <c r="W24" s="38">
        <f>G24*((2*0.3)+(8+20+4)*1)</f>
        <v>32.6</v>
      </c>
      <c r="X24" s="38">
        <f>8.5*K24+2*10*G24</f>
        <v>66.919999999999987</v>
      </c>
      <c r="Y24" s="38">
        <f t="shared" ref="Y24:Y25" si="22">$Z$22/31.1035*K24*IF(LEFT(F24,3)="10K",0.417*1.07,IF(LEFT(F24,3)="14K",0.585*1.05,IF(LEFT(F24,3)="18K",0.75*1.05,0)))</f>
        <v>380.76336429983763</v>
      </c>
      <c r="Z24" s="113">
        <f t="shared" ref="Z24:Z25" si="23">SUM(Q24:Y24)</f>
        <v>1081.3033642998375</v>
      </c>
      <c r="AA24" s="27">
        <f t="shared" ref="AA24:AA25" si="24">2*K24</f>
        <v>11.04</v>
      </c>
      <c r="AB24" s="106">
        <f t="shared" ref="AB24:AB25" si="25">(SUM(Q24:W24)+AG24)-AA24</f>
        <v>663.98</v>
      </c>
      <c r="AC24" s="106">
        <f t="shared" ref="AC24:AC25" si="26">AE24*$AC$13+P24*$AC$14</f>
        <v>383.88150000000002</v>
      </c>
      <c r="AD24" s="106">
        <f t="shared" ref="AD24:AD25" si="27">SUM(AB24:AC24)</f>
        <v>1047.8615</v>
      </c>
      <c r="AE24" s="27">
        <f t="shared" ref="AE24:AE25" si="28">K24*IF(LEFT(F24,3)="10K",0.417*1.07,IF(LEFT(F24,3)="14K",0.585*1.05,IF(LEFT(F24,3)="18K",0.75*1.05,0)))</f>
        <v>4.3470000000000004</v>
      </c>
      <c r="AF24" s="27">
        <v>7.5</v>
      </c>
      <c r="AG24" s="27">
        <f t="shared" ref="AG24:AG25" si="29">IF(AF24&gt;0,AF24*K24,X24)</f>
        <v>41.4</v>
      </c>
    </row>
    <row r="25" spans="1:33" s="27" customFormat="1" ht="182.5" thickBot="1">
      <c r="A25" s="116">
        <v>25</v>
      </c>
      <c r="B25" s="117" t="s">
        <v>95</v>
      </c>
      <c r="C25" s="118"/>
      <c r="D25" s="118"/>
      <c r="E25" s="117"/>
      <c r="F25" s="117" t="s">
        <v>72</v>
      </c>
      <c r="G25" s="119">
        <v>1</v>
      </c>
      <c r="H25" s="109">
        <v>13.65</v>
      </c>
      <c r="I25" s="109">
        <v>0.76</v>
      </c>
      <c r="J25" s="109"/>
      <c r="K25" s="110">
        <f t="shared" si="21"/>
        <v>12.89</v>
      </c>
      <c r="L25" s="103" t="s">
        <v>96</v>
      </c>
      <c r="M25" s="103" t="s">
        <v>93</v>
      </c>
      <c r="N25" s="104" t="s">
        <v>97</v>
      </c>
      <c r="O25" s="131" t="s">
        <v>88</v>
      </c>
      <c r="P25" s="120">
        <v>0.78</v>
      </c>
      <c r="Q25" s="38"/>
      <c r="R25" s="38"/>
      <c r="S25" s="38">
        <f>G25*(98+1+2+4+1+2+4+1)*0.03</f>
        <v>3.3899999999999997</v>
      </c>
      <c r="T25" s="38"/>
      <c r="U25" s="38"/>
      <c r="V25" s="38">
        <f>G25*(4*5+4*6.5+1*5+1*50+1*70)</f>
        <v>171</v>
      </c>
      <c r="W25" s="38">
        <f>G25*((98+2+1)*0.3+4*1+(1+2)*0.3+4*1+1*0.5)</f>
        <v>39.699999999999996</v>
      </c>
      <c r="X25" s="38">
        <f>8.5*K25+2*4*G25</f>
        <v>117.565</v>
      </c>
      <c r="Y25" s="38">
        <f t="shared" si="22"/>
        <v>889.13763873639618</v>
      </c>
      <c r="Z25" s="113">
        <f t="shared" si="23"/>
        <v>1220.7926387363962</v>
      </c>
      <c r="AA25" s="27">
        <f t="shared" si="24"/>
        <v>25.78</v>
      </c>
      <c r="AB25" s="106">
        <f t="shared" si="25"/>
        <v>284.98500000000001</v>
      </c>
      <c r="AC25" s="106">
        <f t="shared" si="26"/>
        <v>856.36807500000009</v>
      </c>
      <c r="AD25" s="106">
        <f t="shared" si="27"/>
        <v>1141.353075</v>
      </c>
      <c r="AE25" s="27">
        <f t="shared" si="28"/>
        <v>10.150875000000001</v>
      </c>
      <c r="AF25" s="27">
        <v>7.5</v>
      </c>
      <c r="AG25" s="27">
        <f t="shared" si="29"/>
        <v>96.675000000000011</v>
      </c>
    </row>
    <row r="26" spans="1:33" s="28" customFormat="1" ht="16" customHeight="1">
      <c r="A26" s="94" t="s">
        <v>62</v>
      </c>
      <c r="B26" s="72"/>
      <c r="C26" s="72"/>
      <c r="D26" s="72"/>
      <c r="E26" s="72"/>
      <c r="F26" s="72"/>
      <c r="G26" s="73">
        <f>SUM(G24:G25)</f>
        <v>2</v>
      </c>
      <c r="H26" s="111"/>
      <c r="I26" s="111"/>
      <c r="J26" s="111"/>
      <c r="K26" s="111">
        <f>SUM(K24:K25)</f>
        <v>18.41</v>
      </c>
      <c r="L26" s="74"/>
      <c r="M26" s="74"/>
      <c r="N26" s="74"/>
      <c r="O26" s="75"/>
      <c r="P26" s="121">
        <f t="shared" ref="P26:Z26" si="30">SUM(P24:P25)</f>
        <v>1.23</v>
      </c>
      <c r="Q26" s="76">
        <f t="shared" si="30"/>
        <v>160</v>
      </c>
      <c r="R26" s="76">
        <f t="shared" si="30"/>
        <v>0</v>
      </c>
      <c r="S26" s="76">
        <f t="shared" si="30"/>
        <v>4.41</v>
      </c>
      <c r="T26" s="76">
        <f t="shared" si="30"/>
        <v>0</v>
      </c>
      <c r="U26" s="76">
        <f t="shared" si="30"/>
        <v>0</v>
      </c>
      <c r="V26" s="76">
        <f t="shared" si="30"/>
        <v>611</v>
      </c>
      <c r="W26" s="76">
        <f t="shared" si="30"/>
        <v>72.3</v>
      </c>
      <c r="X26" s="76">
        <f t="shared" si="30"/>
        <v>184.48499999999999</v>
      </c>
      <c r="Y26" s="76">
        <f t="shared" si="30"/>
        <v>1269.9010030362338</v>
      </c>
      <c r="Z26" s="114">
        <f t="shared" si="30"/>
        <v>2302.0960030362339</v>
      </c>
      <c r="AB26" s="107">
        <f>SUM(AB16:AB25)</f>
        <v>1470.4180000000001</v>
      </c>
      <c r="AC26" s="107">
        <f>SUM(AC16:AC25)</f>
        <v>4195.1684500000001</v>
      </c>
      <c r="AD26" s="107">
        <f>SUM(AD16:AD25)</f>
        <v>5665.5864499999998</v>
      </c>
      <c r="AE26" s="107">
        <f>SUM(AE16:AE25)</f>
        <v>37.705500000000001</v>
      </c>
      <c r="AG26" s="107">
        <f>SUM(AG16:AG25)</f>
        <v>417.3</v>
      </c>
    </row>
    <row r="27" spans="1:33" s="28" customFormat="1" ht="16" customHeight="1">
      <c r="A27" s="123" t="s">
        <v>94</v>
      </c>
      <c r="B27" s="21"/>
      <c r="C27" s="21"/>
      <c r="D27" s="21"/>
      <c r="E27" s="21"/>
      <c r="F27" s="21"/>
      <c r="G27" s="124">
        <f>SUM(G26,G21)</f>
        <v>7</v>
      </c>
      <c r="H27" s="125"/>
      <c r="I27" s="125"/>
      <c r="J27" s="125"/>
      <c r="K27" s="125">
        <f>SUM(K26,K21)</f>
        <v>47.879999999999995</v>
      </c>
      <c r="L27" s="126"/>
      <c r="M27" s="126"/>
      <c r="N27" s="126"/>
      <c r="O27" s="127"/>
      <c r="P27" s="128">
        <f t="shared" ref="P27:Z27" si="31">SUM(P26,P21)</f>
        <v>9.754999999999999</v>
      </c>
      <c r="Q27" s="129">
        <f t="shared" si="31"/>
        <v>160</v>
      </c>
      <c r="R27" s="129">
        <f t="shared" si="31"/>
        <v>0</v>
      </c>
      <c r="S27" s="129">
        <f t="shared" si="31"/>
        <v>15.81</v>
      </c>
      <c r="T27" s="129">
        <f t="shared" si="31"/>
        <v>16</v>
      </c>
      <c r="U27" s="129">
        <f t="shared" si="31"/>
        <v>1.3679999999999999</v>
      </c>
      <c r="V27" s="129">
        <f t="shared" si="31"/>
        <v>611</v>
      </c>
      <c r="W27" s="129">
        <f t="shared" si="31"/>
        <v>344.70000000000005</v>
      </c>
      <c r="X27" s="129">
        <f t="shared" si="31"/>
        <v>504.81999999999994</v>
      </c>
      <c r="Y27" s="129">
        <f t="shared" si="31"/>
        <v>3289.1434520954231</v>
      </c>
      <c r="Z27" s="130">
        <f t="shared" si="31"/>
        <v>4942.8414520954238</v>
      </c>
      <c r="AB27" s="107"/>
      <c r="AC27" s="107"/>
      <c r="AD27" s="107"/>
      <c r="AE27" s="107"/>
    </row>
    <row r="28" spans="1:33" s="28" customFormat="1" ht="16" customHeight="1" thickBot="1">
      <c r="A28" s="77"/>
      <c r="B28" s="78"/>
      <c r="C28" s="78"/>
      <c r="D28" s="78"/>
      <c r="E28" s="78"/>
      <c r="F28" s="78"/>
      <c r="G28" s="78"/>
      <c r="H28" s="78"/>
      <c r="I28" s="78"/>
      <c r="J28" s="67"/>
      <c r="K28" s="68"/>
      <c r="L28" s="68"/>
      <c r="M28" s="68"/>
      <c r="N28" s="68"/>
      <c r="O28" s="69"/>
      <c r="P28" s="69"/>
      <c r="Q28" s="70"/>
      <c r="R28" s="70"/>
      <c r="S28" s="70"/>
      <c r="T28" s="70"/>
      <c r="U28" s="70"/>
      <c r="V28" s="71"/>
      <c r="W28" s="79" t="s">
        <v>25</v>
      </c>
      <c r="X28" s="71"/>
      <c r="Y28" s="71"/>
      <c r="Z28" s="115"/>
    </row>
    <row r="29" spans="1:33" s="28" customFormat="1" ht="18.5" thickTop="1">
      <c r="A29" s="50"/>
      <c r="B29" s="138"/>
      <c r="C29" s="138"/>
      <c r="D29" s="138"/>
      <c r="E29" s="138"/>
      <c r="F29" s="138"/>
      <c r="G29" s="138"/>
      <c r="H29" s="138"/>
      <c r="I29" s="23"/>
      <c r="J29" s="54"/>
      <c r="K29" s="25"/>
      <c r="L29" s="25"/>
      <c r="M29" s="25"/>
      <c r="N29" s="25"/>
      <c r="O29" s="26"/>
      <c r="P29" s="26"/>
      <c r="Q29" s="55"/>
      <c r="R29" s="55"/>
      <c r="S29" s="55"/>
      <c r="T29" s="55"/>
      <c r="U29" s="55"/>
      <c r="W29" s="80" t="s">
        <v>15</v>
      </c>
      <c r="X29" s="139">
        <f>SUM(Z27)</f>
        <v>4942.8414520954238</v>
      </c>
      <c r="Y29" s="139"/>
      <c r="Z29" s="140"/>
    </row>
    <row r="30" spans="1:33" s="28" customFormat="1" ht="18">
      <c r="A30" s="105" t="s">
        <v>53</v>
      </c>
      <c r="B30" s="89"/>
      <c r="C30" s="89"/>
      <c r="D30" s="89"/>
      <c r="E30" s="89"/>
      <c r="F30" s="90"/>
      <c r="G30" s="90"/>
      <c r="H30" s="90"/>
      <c r="I30" s="23"/>
      <c r="J30" s="54"/>
      <c r="K30" s="25"/>
      <c r="L30" s="25"/>
      <c r="M30" s="25"/>
      <c r="N30" s="25"/>
      <c r="O30" s="26"/>
      <c r="P30" s="26"/>
      <c r="Q30" s="55"/>
      <c r="R30" s="55"/>
      <c r="S30" s="55"/>
      <c r="T30" s="55"/>
      <c r="U30" s="55"/>
      <c r="W30" s="80" t="s">
        <v>16</v>
      </c>
      <c r="X30" s="150"/>
      <c r="Y30" s="150"/>
      <c r="Z30" s="151"/>
    </row>
    <row r="31" spans="1:33" ht="15.5">
      <c r="A31" s="50"/>
      <c r="B31" s="40"/>
      <c r="C31" s="40"/>
      <c r="D31" s="40"/>
      <c r="E31" s="40"/>
      <c r="G31" s="22"/>
      <c r="H31" s="23"/>
      <c r="J31" s="54"/>
      <c r="K31" s="25"/>
      <c r="L31" s="25"/>
      <c r="M31" s="25"/>
      <c r="N31" s="25"/>
      <c r="O31" s="26"/>
      <c r="P31" s="26"/>
      <c r="V31" s="22"/>
      <c r="W31" s="80" t="s">
        <v>17</v>
      </c>
      <c r="X31" s="150">
        <f>X29-X30</f>
        <v>4942.8414520954238</v>
      </c>
      <c r="Y31" s="150"/>
      <c r="Z31" s="151"/>
      <c r="AD31" s="108"/>
    </row>
    <row r="32" spans="1:33" ht="20">
      <c r="A32" s="56"/>
      <c r="G32" s="22"/>
      <c r="H32" s="23"/>
      <c r="J32" s="54"/>
      <c r="K32" s="25"/>
      <c r="L32" s="25"/>
      <c r="M32" s="25"/>
      <c r="N32" s="25"/>
      <c r="O32" s="26"/>
      <c r="P32" s="26"/>
      <c r="V32" s="41"/>
      <c r="W32" s="41"/>
      <c r="X32" s="136"/>
      <c r="Y32" s="136"/>
      <c r="Z32" s="137"/>
    </row>
    <row r="33" spans="1:26" ht="22.5" customHeight="1">
      <c r="A33" s="56"/>
      <c r="B33" s="42"/>
      <c r="C33" s="42"/>
      <c r="D33" s="42"/>
      <c r="E33" s="42"/>
      <c r="G33" s="22"/>
      <c r="H33" s="23"/>
      <c r="J33" s="54"/>
      <c r="K33" s="25"/>
      <c r="L33" s="25"/>
      <c r="M33" s="25"/>
      <c r="N33" s="25"/>
      <c r="O33" s="26"/>
      <c r="P33" s="26"/>
      <c r="V33" s="41"/>
      <c r="W33" s="41"/>
      <c r="X33" s="30"/>
      <c r="Y33" s="30"/>
      <c r="Z33" s="57"/>
    </row>
    <row r="34" spans="1:26" ht="16" customHeight="1">
      <c r="A34" s="58"/>
      <c r="B34" s="42"/>
      <c r="C34" s="42"/>
      <c r="D34" s="42"/>
      <c r="E34" s="42"/>
      <c r="F34" s="32"/>
      <c r="G34" s="32"/>
      <c r="H34" s="32"/>
      <c r="I34" s="32"/>
      <c r="J34" s="33"/>
      <c r="K34" s="32"/>
      <c r="L34" s="32"/>
      <c r="M34" s="32"/>
      <c r="N34" s="32"/>
      <c r="O34" s="34"/>
      <c r="P34" s="34"/>
      <c r="Q34" s="34"/>
      <c r="R34" s="34"/>
      <c r="S34" s="34"/>
      <c r="T34" s="34"/>
      <c r="U34" s="34"/>
      <c r="V34" s="22"/>
      <c r="W34" s="35"/>
      <c r="X34" s="36"/>
      <c r="Y34" s="36"/>
      <c r="Z34" s="59"/>
    </row>
    <row r="35" spans="1:26" ht="16" customHeight="1">
      <c r="A35" s="58"/>
      <c r="B35" s="42"/>
      <c r="C35" s="42"/>
      <c r="D35" s="42"/>
      <c r="E35" s="42"/>
      <c r="F35" s="32"/>
      <c r="G35" s="32"/>
      <c r="H35" s="32"/>
      <c r="I35" s="32"/>
      <c r="J35" s="32"/>
      <c r="K35" s="32"/>
      <c r="L35" s="32"/>
      <c r="M35" s="32"/>
      <c r="N35" s="32"/>
      <c r="O35" s="34"/>
      <c r="P35" s="34"/>
      <c r="Q35" s="34"/>
      <c r="R35" s="34"/>
      <c r="S35" s="34"/>
      <c r="T35" s="34"/>
      <c r="U35" s="34"/>
      <c r="V35" s="31"/>
      <c r="W35" s="31"/>
      <c r="X35" s="32"/>
      <c r="Y35" s="32"/>
      <c r="Z35" s="60"/>
    </row>
    <row r="36" spans="1:26">
      <c r="A36" s="61"/>
      <c r="B36" s="42"/>
      <c r="C36" s="42"/>
      <c r="D36" s="42"/>
      <c r="E36" s="4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81" t="s">
        <v>10</v>
      </c>
      <c r="W36" s="31"/>
      <c r="X36" s="37" t="s">
        <v>24</v>
      </c>
      <c r="Y36" s="122"/>
      <c r="Z36" s="60"/>
    </row>
    <row r="37" spans="1:26" s="32" customFormat="1" ht="12.75" customHeight="1">
      <c r="A37" s="62"/>
      <c r="B37" s="63"/>
      <c r="C37" s="63"/>
      <c r="D37" s="63"/>
      <c r="E37" s="63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5"/>
      <c r="W37" s="65"/>
      <c r="X37" s="64"/>
      <c r="Y37" s="64"/>
      <c r="Z37" s="66"/>
    </row>
    <row r="38" spans="1:26" s="36" customFormat="1" ht="12.75" customHeight="1">
      <c r="A38" s="21"/>
      <c r="B38" s="21"/>
      <c r="C38" s="21"/>
      <c r="D38" s="21"/>
      <c r="E38" s="21"/>
      <c r="F38" s="21"/>
      <c r="G38" s="21"/>
      <c r="H38" s="22"/>
      <c r="I38" s="23"/>
      <c r="J38" s="23"/>
      <c r="K38" s="24"/>
      <c r="L38" s="24"/>
      <c r="M38" s="24"/>
      <c r="N38" s="24"/>
      <c r="O38" s="25"/>
      <c r="P38" s="25"/>
      <c r="Q38" s="26"/>
      <c r="R38" s="26"/>
      <c r="S38" s="26"/>
      <c r="T38" s="26"/>
      <c r="U38" s="26"/>
      <c r="V38" s="26"/>
      <c r="W38" s="26"/>
      <c r="X38" s="29"/>
      <c r="Y38" s="29"/>
      <c r="Z38" s="22"/>
    </row>
    <row r="39" spans="1:26" s="32" customFormat="1" ht="12.75" customHeight="1">
      <c r="A39" s="21"/>
      <c r="B39" s="21"/>
      <c r="C39" s="21"/>
      <c r="D39" s="21"/>
      <c r="E39" s="21"/>
      <c r="F39" s="21"/>
      <c r="G39" s="21"/>
      <c r="H39" s="22"/>
      <c r="I39" s="23"/>
      <c r="J39" s="23"/>
      <c r="K39" s="24"/>
      <c r="L39" s="24"/>
      <c r="M39" s="24"/>
      <c r="N39" s="24"/>
      <c r="O39" s="25"/>
      <c r="P39" s="25"/>
      <c r="Q39" s="26"/>
      <c r="R39" s="26"/>
      <c r="S39" s="26"/>
      <c r="T39" s="26"/>
      <c r="U39" s="26"/>
      <c r="V39" s="26"/>
      <c r="W39" s="26"/>
      <c r="X39" s="29"/>
      <c r="Y39" s="29"/>
      <c r="Z39" s="22"/>
    </row>
    <row r="40" spans="1:26" s="32" customFormat="1" ht="12.75" customHeight="1">
      <c r="A40" s="21"/>
      <c r="B40" s="21"/>
      <c r="C40" s="21"/>
      <c r="D40" s="21"/>
      <c r="E40" s="21"/>
      <c r="F40" s="21"/>
      <c r="G40" s="21"/>
      <c r="H40" s="22"/>
      <c r="I40" s="23"/>
      <c r="J40" s="23"/>
      <c r="K40" s="24"/>
      <c r="L40" s="24"/>
      <c r="M40" s="24"/>
      <c r="N40" s="24"/>
      <c r="O40" s="25"/>
      <c r="P40" s="25"/>
      <c r="Q40" s="26"/>
      <c r="R40" s="26"/>
      <c r="S40" s="26"/>
      <c r="T40" s="26"/>
      <c r="U40" s="26"/>
      <c r="V40" s="26"/>
      <c r="W40" s="26"/>
      <c r="X40" s="29"/>
      <c r="Y40" s="29"/>
      <c r="Z40" s="22"/>
    </row>
    <row r="41" spans="1:26" s="32" customFormat="1" ht="12.75" customHeight="1">
      <c r="A41" s="21"/>
      <c r="B41" s="21"/>
      <c r="C41" s="21"/>
      <c r="D41" s="21"/>
      <c r="E41" s="21"/>
      <c r="F41" s="21"/>
      <c r="G41" s="21"/>
      <c r="H41" s="22"/>
      <c r="I41" s="23"/>
      <c r="J41" s="23"/>
      <c r="K41" s="24"/>
      <c r="L41" s="24"/>
      <c r="M41" s="24"/>
      <c r="N41" s="24"/>
      <c r="O41" s="25"/>
      <c r="P41" s="25"/>
      <c r="Q41" s="26"/>
      <c r="R41" s="26"/>
      <c r="S41" s="26"/>
      <c r="T41" s="26"/>
      <c r="U41" s="26"/>
      <c r="V41" s="26"/>
      <c r="W41" s="26"/>
      <c r="X41" s="29"/>
      <c r="Y41" s="29"/>
      <c r="Z41" s="22"/>
    </row>
  </sheetData>
  <mergeCells count="8">
    <mergeCell ref="X32:Z32"/>
    <mergeCell ref="B29:H29"/>
    <mergeCell ref="X29:Z29"/>
    <mergeCell ref="A1:Z1"/>
    <mergeCell ref="A2:Z2"/>
    <mergeCell ref="A3:Z3"/>
    <mergeCell ref="X30:Z30"/>
    <mergeCell ref="X31:Z31"/>
  </mergeCells>
  <phoneticPr fontId="3" type="noConversion"/>
  <conditionalFormatting sqref="F16:F20 F24:F25">
    <cfRule type="containsText" dxfId="0" priority="1" operator="containsText" text="18K">
      <formula>NOT(ISERROR(SEARCH("18K",F16)))</formula>
    </cfRule>
  </conditionalFormatting>
  <pageMargins left="0" right="0" top="0.19685039370078741" bottom="0" header="0.31496062992125984" footer="0.31496062992125984"/>
  <pageSetup paperSize="9" scale="4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PI</vt:lpstr>
      <vt:lpstr>PI!Print_Area</vt:lpstr>
      <vt:lpstr>PI!Print_Titles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hkjung</dc:creator>
  <cp:lastModifiedBy>DINDA</cp:lastModifiedBy>
  <cp:lastPrinted>2018-08-29T01:12:30Z</cp:lastPrinted>
  <dcterms:created xsi:type="dcterms:W3CDTF">2018-02-12T04:12:08Z</dcterms:created>
  <dcterms:modified xsi:type="dcterms:W3CDTF">2025-04-24T13:44:09Z</dcterms:modified>
</cp:coreProperties>
</file>