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217\Sharing EPO Team\GOLD EXPORT\250426\CLEARANCE\"/>
    </mc:Choice>
  </mc:AlternateContent>
  <xr:revisionPtr revIDLastSave="0" documentId="13_ncr:1_{A5D4C555-7BFE-4E33-AC1D-4339604EA26B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PI!$A$1:$Y$45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5" i="1" l="1"/>
  <c r="AD35" i="1"/>
  <c r="AA35" i="1"/>
  <c r="Y33" i="1" l="1"/>
  <c r="W35" i="1" l="1"/>
  <c r="V35" i="1"/>
  <c r="T35" i="1"/>
  <c r="S35" i="1"/>
  <c r="R35" i="1"/>
  <c r="Q35" i="1"/>
  <c r="G35" i="1"/>
  <c r="V34" i="1"/>
  <c r="R34" i="1"/>
  <c r="Q34" i="1"/>
  <c r="P34" i="1"/>
  <c r="G34" i="1"/>
  <c r="W33" i="1"/>
  <c r="W34" i="1" s="1"/>
  <c r="T33" i="1"/>
  <c r="T34" i="1" s="1"/>
  <c r="S33" i="1"/>
  <c r="S34" i="1" s="1"/>
  <c r="K33" i="1"/>
  <c r="Y31" i="1"/>
  <c r="X33" i="1" l="1"/>
  <c r="U33" i="1"/>
  <c r="U34" i="1" s="1"/>
  <c r="Z33" i="1"/>
  <c r="AD33" i="1"/>
  <c r="AB33" i="1" s="1"/>
  <c r="K34" i="1"/>
  <c r="Y34" i="1"/>
  <c r="X34" i="1" l="1"/>
  <c r="AF33" i="1"/>
  <c r="AA33" i="1" s="1"/>
  <c r="AC33" i="1" s="1"/>
  <c r="V30" i="1" l="1"/>
  <c r="S30" i="1"/>
  <c r="R30" i="1"/>
  <c r="Q30" i="1"/>
  <c r="P30" i="1"/>
  <c r="G30" i="1"/>
  <c r="W29" i="1"/>
  <c r="W30" i="1" s="1"/>
  <c r="T29" i="1"/>
  <c r="T30" i="1" s="1"/>
  <c r="S29" i="1"/>
  <c r="K29" i="1"/>
  <c r="Y29" i="1" s="1"/>
  <c r="Y27" i="1"/>
  <c r="K30" i="1" l="1"/>
  <c r="Y30" i="1"/>
  <c r="U29" i="1"/>
  <c r="U30" i="1" s="1"/>
  <c r="X29" i="1"/>
  <c r="Z29" i="1"/>
  <c r="AD29" i="1"/>
  <c r="AB29" i="1" s="1"/>
  <c r="AF29" i="1" l="1"/>
  <c r="AA29" i="1" s="1"/>
  <c r="AC29" i="1" s="1"/>
  <c r="X30" i="1"/>
  <c r="T21" i="1" l="1"/>
  <c r="W25" i="1"/>
  <c r="W24" i="1"/>
  <c r="W23" i="1"/>
  <c r="W22" i="1"/>
  <c r="W21" i="1"/>
  <c r="W20" i="1"/>
  <c r="S22" i="1"/>
  <c r="S21" i="1"/>
  <c r="S25" i="1"/>
  <c r="S24" i="1"/>
  <c r="S23" i="1"/>
  <c r="S20" i="1"/>
  <c r="T22" i="1"/>
  <c r="O25" i="1"/>
  <c r="K25" i="1"/>
  <c r="AD25" i="1" s="1"/>
  <c r="AB25" i="1" s="1"/>
  <c r="K24" i="1"/>
  <c r="Z24" i="1" s="1"/>
  <c r="K22" i="1"/>
  <c r="Y14" i="1"/>
  <c r="W19" i="1"/>
  <c r="W18" i="1"/>
  <c r="W17" i="1"/>
  <c r="W16" i="1"/>
  <c r="S18" i="1"/>
  <c r="S17" i="1"/>
  <c r="S19" i="1"/>
  <c r="S16" i="1"/>
  <c r="T18" i="1"/>
  <c r="T17" i="1"/>
  <c r="T16" i="1"/>
  <c r="O19" i="1"/>
  <c r="O18" i="1"/>
  <c r="O17" i="1"/>
  <c r="K19" i="1"/>
  <c r="K18" i="1"/>
  <c r="K17" i="1"/>
  <c r="K20" i="1"/>
  <c r="X20" i="1" s="1"/>
  <c r="K21" i="1"/>
  <c r="Z21" i="1" s="1"/>
  <c r="K23" i="1"/>
  <c r="K16" i="1"/>
  <c r="Z25" i="1" l="1"/>
  <c r="S26" i="1"/>
  <c r="AD17" i="1"/>
  <c r="AB17" i="1" s="1"/>
  <c r="AD24" i="1"/>
  <c r="AB24" i="1" s="1"/>
  <c r="AD21" i="1"/>
  <c r="AB21" i="1" s="1"/>
  <c r="Z23" i="1"/>
  <c r="AD23" i="1"/>
  <c r="AB23" i="1" s="1"/>
  <c r="Z22" i="1"/>
  <c r="AD22" i="1"/>
  <c r="AB22" i="1" s="1"/>
  <c r="AD19" i="1"/>
  <c r="AB19" i="1" s="1"/>
  <c r="Z19" i="1"/>
  <c r="Z20" i="1"/>
  <c r="AD20" i="1"/>
  <c r="AB20" i="1" s="1"/>
  <c r="Z18" i="1"/>
  <c r="AD18" i="1"/>
  <c r="AB18" i="1" s="1"/>
  <c r="Z17" i="1"/>
  <c r="Z16" i="1"/>
  <c r="V26" i="1" l="1"/>
  <c r="R26" i="1"/>
  <c r="Q26" i="1"/>
  <c r="P26" i="1"/>
  <c r="P35" i="1" s="1"/>
  <c r="G26" i="1"/>
  <c r="U25" i="1"/>
  <c r="Y25" i="1"/>
  <c r="U24" i="1"/>
  <c r="Y24" i="1"/>
  <c r="U23" i="1"/>
  <c r="Y23" i="1"/>
  <c r="U22" i="1"/>
  <c r="Y22" i="1"/>
  <c r="U21" i="1"/>
  <c r="Y21" i="1"/>
  <c r="U20" i="1"/>
  <c r="Y20" i="1"/>
  <c r="U19" i="1"/>
  <c r="U18" i="1"/>
  <c r="Y18" i="1"/>
  <c r="U17" i="1"/>
  <c r="Y17" i="1"/>
  <c r="U16" i="1"/>
  <c r="Y16" i="1"/>
  <c r="Y19" i="1" l="1"/>
  <c r="AD16" i="1"/>
  <c r="AB16" i="1" s="1"/>
  <c r="AB35" i="1" s="1"/>
  <c r="T26" i="1"/>
  <c r="X24" i="1"/>
  <c r="AF24" i="1" s="1"/>
  <c r="AA24" i="1" s="1"/>
  <c r="AC24" i="1" s="1"/>
  <c r="U26" i="1"/>
  <c r="U35" i="1" s="1"/>
  <c r="X25" i="1"/>
  <c r="AF25" i="1" s="1"/>
  <c r="AA25" i="1" s="1"/>
  <c r="AC25" i="1" s="1"/>
  <c r="W26" i="1"/>
  <c r="X18" i="1"/>
  <c r="AF18" i="1" s="1"/>
  <c r="AA18" i="1" s="1"/>
  <c r="AC18" i="1" s="1"/>
  <c r="X17" i="1"/>
  <c r="AF17" i="1" s="1"/>
  <c r="AA17" i="1" s="1"/>
  <c r="AC17" i="1" s="1"/>
  <c r="X16" i="1"/>
  <c r="AF16" i="1" s="1"/>
  <c r="AA16" i="1" s="1"/>
  <c r="X19" i="1"/>
  <c r="AF19" i="1" s="1"/>
  <c r="AA19" i="1" s="1"/>
  <c r="AC19" i="1" s="1"/>
  <c r="K26" i="1"/>
  <c r="K35" i="1" s="1"/>
  <c r="X21" i="1"/>
  <c r="AF21" i="1" s="1"/>
  <c r="AA21" i="1" s="1"/>
  <c r="AC21" i="1" s="1"/>
  <c r="X23" i="1"/>
  <c r="AF23" i="1" s="1"/>
  <c r="AA23" i="1" s="1"/>
  <c r="AC23" i="1" s="1"/>
  <c r="X22" i="1"/>
  <c r="AF22" i="1" s="1"/>
  <c r="AA22" i="1" s="1"/>
  <c r="AC22" i="1" s="1"/>
  <c r="AF20" i="1"/>
  <c r="AA20" i="1" s="1"/>
  <c r="AC20" i="1" s="1"/>
  <c r="AC16" i="1" l="1"/>
  <c r="AC35" i="1" s="1"/>
  <c r="X26" i="1"/>
  <c r="X35" i="1" s="1"/>
  <c r="Y26" i="1"/>
  <c r="Y35" i="1" s="1"/>
  <c r="X37" i="1" l="1"/>
  <c r="X39" i="1"/>
</calcChain>
</file>

<file path=xl/sharedStrings.xml><?xml version="1.0" encoding="utf-8"?>
<sst xmlns="http://schemas.openxmlformats.org/spreadsheetml/2006/main" count="176" uniqueCount="94">
  <si>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</si>
  <si>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</si>
  <si>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</si>
  <si>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</si>
  <si>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</si>
  <si>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</si>
  <si>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</si>
  <si>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</si>
  <si>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</si>
  <si>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</si>
  <si>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</si>
  <si>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</si>
  <si>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</si>
  <si>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</si>
  <si>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</si>
  <si>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</si>
  <si>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</si>
  <si>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</si>
  <si>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</si>
  <si>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</si>
  <si>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</si>
  <si>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</si>
  <si>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</si>
  <si>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</si>
  <si>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</si>
  <si>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</si>
  <si>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</si>
  <si>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</si>
  <si>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</si>
  <si>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</si>
  <si>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</si>
  <si>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</si>
  <si>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</si>
  <si>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</si>
  <si>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</si>
  <si>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</si>
  <si>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</si>
  <si>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</si>
  <si>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</si>
  <si>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</si>
  <si>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</si>
  <si>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</si>
  <si>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</si>
  <si>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</si>
  <si>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</si>
  <si>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</si>
  <si>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</si>
  <si>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</si>
  <si>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</si>
  <si>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</si>
  <si>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</si>
  <si>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</si>
  <si>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</si>
  <si>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</si>
  <si>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</si>
  <si>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</si>
  <si>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</si>
  <si>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</si>
  <si>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</si>
  <si>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</si>
  <si>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</si>
  <si>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</si>
  <si>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</si>
  <si>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</si>
  <si>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</si>
  <si>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</si>
  <si>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</si>
  <si>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</si>
  <si>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>Royal Diamond-Joshua</t>
  </si>
  <si>
    <t>RDJ250325RB-14K</t>
  </si>
  <si>
    <t>H0212B01 6.75"</t>
  </si>
  <si>
    <t>K0098B13 6.5"</t>
  </si>
  <si>
    <t>K0249B01 OV H 6.5"</t>
  </si>
  <si>
    <t>K0218TN147 C1 17"</t>
  </si>
  <si>
    <t>14K YG</t>
  </si>
  <si>
    <t>14K WG</t>
  </si>
  <si>
    <t>1.50mm
1.60mm</t>
  </si>
  <si>
    <t>1.50mm
2.20mm</t>
  </si>
  <si>
    <t>W</t>
  </si>
  <si>
    <t>W
W</t>
  </si>
  <si>
    <t>16pcs
12pcs</t>
  </si>
  <si>
    <t>34pcs
11pcs</t>
  </si>
  <si>
    <t>28th  Mar London AM + 1%</t>
  </si>
  <si>
    <t>K0725N04 16"+2"</t>
  </si>
  <si>
    <t>K0098B13 6.75"</t>
  </si>
  <si>
    <t>K0313E06 OV 0.66"</t>
  </si>
  <si>
    <t>K0214TN06 C1 17"</t>
  </si>
  <si>
    <t>$5.50/g+$2.00station</t>
  </si>
  <si>
    <t>8th Apr London AM + 1%</t>
  </si>
  <si>
    <t>RDJ250403RB-14K</t>
  </si>
  <si>
    <t>K0038B12 OV H 6.75"</t>
  </si>
  <si>
    <t>RDJ250403RB-14K-1</t>
  </si>
  <si>
    <t>K0038B12 OV H 6"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</si>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</sst>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56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72" fontId="13" fillId="0" borderId="0" xfId="0" applyNumberFormat="1" applyFont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73" fontId="13" fillId="0" borderId="13" xfId="0" applyNumberFormat="1" applyFont="1" applyFill="1" applyBorder="1" applyAlignment="1">
      <alignment horizontal="center" vertical="center" wrapText="1"/>
    </xf>
    <xf numFmtId="174" fontId="13" fillId="0" borderId="20" xfId="0" applyNumberFormat="1" applyFont="1" applyFill="1" applyBorder="1" applyAlignment="1">
      <alignment horizontal="center" vertical="center"/>
    </xf>
    <xf numFmtId="172" fontId="13" fillId="0" borderId="20" xfId="0" applyNumberFormat="1" applyFont="1" applyFill="1" applyBorder="1" applyAlignment="1">
      <alignment horizontal="center" vertical="center"/>
    </xf>
    <xf numFmtId="174" fontId="13" fillId="0" borderId="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49"/>
  <sheetViews>
    <sheetView showGridLines="0" tabSelected="1" view="pageBreakPreview" topLeftCell="P1" zoomScaleSheetLayoutView="100" workbookViewId="0">
      <selection activeCell="AD41" sqref="AD41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9.17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45" t="s">
        <v>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</row>
    <row r="2" spans="1:32" s="2" customFormat="1" ht="15.5">
      <c r="A2" s="148" t="s">
        <v>42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50"/>
    </row>
    <row r="3" spans="1:32" s="3" customFormat="1" ht="20">
      <c r="A3" s="151" t="s">
        <v>44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3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/>
      <c r="P4" s="6"/>
      <c r="Q4" s="6"/>
      <c r="R4" s="6"/>
      <c r="S4" s="6"/>
      <c r="T4" s="6"/>
      <c r="U4" s="6"/>
      <c r="V4" s="83"/>
      <c r="W4" s="6"/>
      <c r="X4" s="6"/>
      <c r="Y4" s="49"/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68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73</v>
      </c>
    </row>
    <row r="14" spans="1:32" ht="16" customHeight="1">
      <c r="A14" s="56" t="s">
        <v>64</v>
      </c>
      <c r="K14" s="51"/>
      <c r="L14" s="51"/>
      <c r="M14" s="51"/>
      <c r="N14" s="51"/>
      <c r="W14" s="52"/>
      <c r="X14" s="91" t="s">
        <v>82</v>
      </c>
      <c r="Y14" s="101">
        <f>1.01*3070.4</f>
        <v>3101.1040000000003</v>
      </c>
      <c r="AA14" s="22" t="s">
        <v>59</v>
      </c>
      <c r="AB14" s="22">
        <v>171.33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 ht="28">
      <c r="A16" s="103" t="s">
        <v>69</v>
      </c>
      <c r="B16" s="102" t="s">
        <v>70</v>
      </c>
      <c r="C16" s="105"/>
      <c r="D16" s="105"/>
      <c r="E16" s="102"/>
      <c r="F16" s="102" t="s">
        <v>74</v>
      </c>
      <c r="G16" s="104">
        <v>3</v>
      </c>
      <c r="H16" s="112">
        <v>32.44</v>
      </c>
      <c r="I16" s="112">
        <v>0.12</v>
      </c>
      <c r="J16" s="112">
        <v>4.0200000000000005</v>
      </c>
      <c r="K16" s="113">
        <f>H16-I16-J16</f>
        <v>28.3</v>
      </c>
      <c r="L16" s="106">
        <v>1.3</v>
      </c>
      <c r="M16" s="106" t="s">
        <v>78</v>
      </c>
      <c r="N16" s="107">
        <v>20</v>
      </c>
      <c r="O16" s="115">
        <v>10.75</v>
      </c>
      <c r="P16" s="124">
        <v>0.56499999999999995</v>
      </c>
      <c r="Q16" s="38"/>
      <c r="R16" s="38"/>
      <c r="S16" s="38">
        <f>G16*0.02*N16</f>
        <v>1.2</v>
      </c>
      <c r="T16" s="38">
        <f>G16*3</f>
        <v>9</v>
      </c>
      <c r="U16" s="38">
        <f t="shared" ref="U16:U25" si="0">IF(RIGHT(F16,2)="WG",K16*$AA$4,IF(OR(RIGHT(F16,3)="WRG",RIGHT(F16,3)="WYG",RIGHT(F16,3)="WYR"),K16*$AA$4+3*G16,0))</f>
        <v>0</v>
      </c>
      <c r="V16" s="38"/>
      <c r="W16" s="38">
        <f>G16*N16*0.6</f>
        <v>36</v>
      </c>
      <c r="X16" s="38">
        <f t="shared" ref="X16:X25" si="1">K16*O16</f>
        <v>304.22500000000002</v>
      </c>
      <c r="Y16" s="116">
        <f>$Y$14/31.1035*K16*IF(LEFT(F16,3)="10K",0.417*1.07,IF(LEFT(F16,3)="14K",0.585*1.05,IF(LEFT(F16,3)="18K",0.75*1.05,0)))</f>
        <v>1733.1600506566785</v>
      </c>
      <c r="Z16" s="27">
        <f>2*K16</f>
        <v>56.6</v>
      </c>
      <c r="AA16" s="109">
        <f>(SUM(Q16:W16)+AF16)-Z16</f>
        <v>293.82499999999999</v>
      </c>
      <c r="AB16" s="109">
        <f>AD16*$AB$13+P16*$AB$14</f>
        <v>1365.7805250000001</v>
      </c>
      <c r="AC16" s="109">
        <f t="shared" ref="AC16" si="2">SUM(AA16:AB16)</f>
        <v>1659.6055250000002</v>
      </c>
      <c r="AD16" s="27">
        <f t="shared" ref="AD16" si="3">K16*IF(LEFT(F16,3)="10K",0.417*1.07,IF(LEFT(F16,3)="14K",0.585*1.05,IF(LEFT(F16,3)="18K",0.75*1.05,0)))</f>
        <v>17.383275000000001</v>
      </c>
      <c r="AF16" s="27">
        <f>IF(AE16&gt;0,AE16*K16,X16)</f>
        <v>304.22500000000002</v>
      </c>
    </row>
    <row r="17" spans="1:32" s="27" customFormat="1" ht="28">
      <c r="A17" s="119">
        <v>2</v>
      </c>
      <c r="B17" s="120" t="s">
        <v>71</v>
      </c>
      <c r="C17" s="121"/>
      <c r="D17" s="121"/>
      <c r="E17" s="120"/>
      <c r="F17" s="102" t="s">
        <v>74</v>
      </c>
      <c r="G17" s="122">
        <v>1</v>
      </c>
      <c r="H17" s="112">
        <v>5.36</v>
      </c>
      <c r="I17" s="123">
        <v>0.09</v>
      </c>
      <c r="J17" s="123">
        <v>0.43</v>
      </c>
      <c r="K17" s="113">
        <f t="shared" ref="K17:K25" si="4">H17-I17-J17</f>
        <v>4.8400000000000007</v>
      </c>
      <c r="L17" s="106" t="s">
        <v>76</v>
      </c>
      <c r="M17" s="106" t="s">
        <v>79</v>
      </c>
      <c r="N17" s="107" t="s">
        <v>80</v>
      </c>
      <c r="O17" s="115">
        <f>10.25+2</f>
        <v>12.25</v>
      </c>
      <c r="P17" s="124">
        <v>0.44</v>
      </c>
      <c r="Q17" s="38"/>
      <c r="R17" s="38"/>
      <c r="S17" s="38">
        <f>G17*0.02*(16+12)</f>
        <v>0.56000000000000005</v>
      </c>
      <c r="T17" s="38">
        <f>G17*2.3</f>
        <v>2.2999999999999998</v>
      </c>
      <c r="U17" s="38">
        <f t="shared" si="0"/>
        <v>0</v>
      </c>
      <c r="V17" s="38"/>
      <c r="W17" s="38">
        <f>G17*(16+12)*0.6</f>
        <v>16.8</v>
      </c>
      <c r="X17" s="38">
        <f t="shared" si="1"/>
        <v>59.290000000000006</v>
      </c>
      <c r="Y17" s="116">
        <f t="shared" ref="Y17:Y25" si="5">$Y$14/31.1035*K17*IF(LEFT(F17,3)="10K",0.417*1.07,IF(LEFT(F17,3)="14K",0.585*1.05,IF(LEFT(F17,3)="18K",0.75*1.05,0)))</f>
        <v>296.41323834552384</v>
      </c>
      <c r="Z17" s="27">
        <f t="shared" ref="Z17:Z25" si="6">2*K17</f>
        <v>9.6800000000000015</v>
      </c>
      <c r="AA17" s="109">
        <f t="shared" ref="AA17:AA25" si="7">(SUM(Q17:W17)+AF17)-Z17</f>
        <v>69.27</v>
      </c>
      <c r="AB17" s="109">
        <f t="shared" ref="AB17:AB25" si="8">AD17*$AB$13+P17*$AB$14</f>
        <v>292.41201000000001</v>
      </c>
      <c r="AC17" s="109">
        <f t="shared" ref="AC17:AC25" si="9">SUM(AA17:AB17)</f>
        <v>361.68200999999999</v>
      </c>
      <c r="AD17" s="27">
        <f t="shared" ref="AD17:AD25" si="10">K17*IF(LEFT(F17,3)="10K",0.417*1.07,IF(LEFT(F17,3)="14K",0.585*1.05,IF(LEFT(F17,3)="18K",0.75*1.05,0)))</f>
        <v>2.9729700000000001</v>
      </c>
      <c r="AF17" s="27">
        <f>IF(AE17&gt;0,AE17*K17,X17)</f>
        <v>59.290000000000006</v>
      </c>
    </row>
    <row r="18" spans="1:32" s="27" customFormat="1" ht="28">
      <c r="A18" s="119">
        <v>3</v>
      </c>
      <c r="B18" s="120" t="s">
        <v>72</v>
      </c>
      <c r="C18" s="121"/>
      <c r="D18" s="121"/>
      <c r="E18" s="120"/>
      <c r="F18" s="102" t="s">
        <v>74</v>
      </c>
      <c r="G18" s="122">
        <v>1</v>
      </c>
      <c r="H18" s="112">
        <v>5.92</v>
      </c>
      <c r="I18" s="123">
        <v>0.19</v>
      </c>
      <c r="J18" s="123">
        <v>0.31</v>
      </c>
      <c r="K18" s="113">
        <f t="shared" si="4"/>
        <v>5.42</v>
      </c>
      <c r="L18" s="106" t="s">
        <v>77</v>
      </c>
      <c r="M18" s="106" t="s">
        <v>79</v>
      </c>
      <c r="N18" s="107" t="s">
        <v>81</v>
      </c>
      <c r="O18" s="115">
        <f>9.25+2</f>
        <v>11.25</v>
      </c>
      <c r="P18" s="124">
        <v>0.94499999999999995</v>
      </c>
      <c r="Q18" s="38"/>
      <c r="R18" s="38"/>
      <c r="S18" s="38">
        <f>G18*0.02*(34+11)</f>
        <v>0.9</v>
      </c>
      <c r="T18" s="38">
        <f>G18*2.3</f>
        <v>2.2999999999999998</v>
      </c>
      <c r="U18" s="38">
        <f t="shared" si="0"/>
        <v>0</v>
      </c>
      <c r="V18" s="38"/>
      <c r="W18" s="38">
        <f>G18*(34+11)*0.3</f>
        <v>13.5</v>
      </c>
      <c r="X18" s="38">
        <f t="shared" si="1"/>
        <v>60.975000000000001</v>
      </c>
      <c r="Y18" s="116">
        <f t="shared" si="5"/>
        <v>331.93383302329318</v>
      </c>
      <c r="Z18" s="27">
        <f t="shared" si="6"/>
        <v>10.84</v>
      </c>
      <c r="AA18" s="109">
        <f t="shared" si="7"/>
        <v>66.834999999999994</v>
      </c>
      <c r="AB18" s="109">
        <f t="shared" si="8"/>
        <v>404.94100499999996</v>
      </c>
      <c r="AC18" s="109">
        <f t="shared" si="9"/>
        <v>471.77600499999994</v>
      </c>
      <c r="AD18" s="27">
        <f t="shared" si="10"/>
        <v>3.3292349999999997</v>
      </c>
      <c r="AF18" s="27">
        <f t="shared" ref="AF18:AF25" si="11">IF(AE18&gt;0,AE18*K18,X18)</f>
        <v>60.975000000000001</v>
      </c>
    </row>
    <row r="19" spans="1:32" s="27" customFormat="1" ht="28">
      <c r="A19" s="119">
        <v>4</v>
      </c>
      <c r="B19" s="120" t="s">
        <v>73</v>
      </c>
      <c r="C19" s="121"/>
      <c r="D19" s="121"/>
      <c r="E19" s="120"/>
      <c r="F19" s="120" t="s">
        <v>75</v>
      </c>
      <c r="G19" s="122">
        <v>1</v>
      </c>
      <c r="H19" s="112">
        <v>15.77</v>
      </c>
      <c r="I19" s="123">
        <v>1.41</v>
      </c>
      <c r="J19" s="123">
        <v>0</v>
      </c>
      <c r="K19" s="113">
        <f t="shared" si="4"/>
        <v>14.36</v>
      </c>
      <c r="L19" s="106">
        <v>2.15</v>
      </c>
      <c r="M19" s="106" t="s">
        <v>78</v>
      </c>
      <c r="N19" s="107">
        <v>184</v>
      </c>
      <c r="O19" s="115">
        <f>7+2</f>
        <v>9</v>
      </c>
      <c r="P19" s="124">
        <v>7.03</v>
      </c>
      <c r="Q19" s="38"/>
      <c r="R19" s="38"/>
      <c r="S19" s="38">
        <f t="shared" ref="S19" si="12">G19*0.02*N19</f>
        <v>3.68</v>
      </c>
      <c r="T19" s="38"/>
      <c r="U19" s="38">
        <f t="shared" si="0"/>
        <v>3.4463999999999997</v>
      </c>
      <c r="V19" s="38"/>
      <c r="W19" s="38">
        <f>G19*N19*0.3</f>
        <v>55.199999999999996</v>
      </c>
      <c r="X19" s="38">
        <f t="shared" si="1"/>
        <v>129.24</v>
      </c>
      <c r="Y19" s="116">
        <f t="shared" si="5"/>
        <v>879.44093029787643</v>
      </c>
      <c r="Z19" s="27">
        <f t="shared" si="6"/>
        <v>28.72</v>
      </c>
      <c r="AA19" s="109">
        <f t="shared" si="7"/>
        <v>162.84639999999999</v>
      </c>
      <c r="AB19" s="109">
        <f t="shared" si="8"/>
        <v>1848.35589</v>
      </c>
      <c r="AC19" s="109">
        <f t="shared" si="9"/>
        <v>2011.2022899999999</v>
      </c>
      <c r="AD19" s="27">
        <f t="shared" si="10"/>
        <v>8.8206299999999995</v>
      </c>
      <c r="AF19" s="27">
        <f t="shared" si="11"/>
        <v>129.24</v>
      </c>
    </row>
    <row r="20" spans="1:32" s="27" customFormat="1" ht="28">
      <c r="A20" s="119">
        <v>5</v>
      </c>
      <c r="B20" s="120" t="s">
        <v>83</v>
      </c>
      <c r="C20" s="121"/>
      <c r="D20" s="121"/>
      <c r="E20" s="120"/>
      <c r="F20" s="120" t="s">
        <v>74</v>
      </c>
      <c r="G20" s="122">
        <v>3</v>
      </c>
      <c r="H20" s="112">
        <v>11.7</v>
      </c>
      <c r="I20" s="123">
        <v>0.48</v>
      </c>
      <c r="J20" s="123">
        <v>0</v>
      </c>
      <c r="K20" s="113">
        <f t="shared" si="4"/>
        <v>11.219999999999999</v>
      </c>
      <c r="L20" s="106">
        <v>2.2000000000000002</v>
      </c>
      <c r="M20" s="106" t="s">
        <v>78</v>
      </c>
      <c r="N20" s="107">
        <v>20</v>
      </c>
      <c r="O20" s="115" t="s">
        <v>87</v>
      </c>
      <c r="P20" s="124">
        <v>2.42</v>
      </c>
      <c r="Q20" s="38"/>
      <c r="R20" s="38"/>
      <c r="S20" s="38">
        <f>G20*0.02*N20</f>
        <v>1.2</v>
      </c>
      <c r="T20" s="38"/>
      <c r="U20" s="38">
        <f t="shared" si="0"/>
        <v>0</v>
      </c>
      <c r="V20" s="38"/>
      <c r="W20" s="38">
        <f>G20*N20*0.3</f>
        <v>18</v>
      </c>
      <c r="X20" s="38">
        <f>K20*5.5+2*6*G20</f>
        <v>97.71</v>
      </c>
      <c r="Y20" s="116">
        <f t="shared" si="5"/>
        <v>687.13977980098684</v>
      </c>
      <c r="Z20" s="27">
        <f t="shared" si="6"/>
        <v>22.439999999999998</v>
      </c>
      <c r="AA20" s="109">
        <f t="shared" si="7"/>
        <v>94.47</v>
      </c>
      <c r="AB20" s="109">
        <f t="shared" si="8"/>
        <v>917.72620499999994</v>
      </c>
      <c r="AC20" s="109">
        <f t="shared" si="9"/>
        <v>1012.196205</v>
      </c>
      <c r="AD20" s="27">
        <f t="shared" si="10"/>
        <v>6.8918849999999985</v>
      </c>
      <c r="AF20" s="27">
        <f t="shared" si="11"/>
        <v>97.71</v>
      </c>
    </row>
    <row r="21" spans="1:32" s="27" customFormat="1" ht="28">
      <c r="A21" s="103">
        <v>6</v>
      </c>
      <c r="B21" s="102" t="s">
        <v>84</v>
      </c>
      <c r="C21" s="105"/>
      <c r="D21" s="105"/>
      <c r="E21" s="102"/>
      <c r="F21" s="102" t="s">
        <v>75</v>
      </c>
      <c r="G21" s="104">
        <v>2</v>
      </c>
      <c r="H21" s="112">
        <v>11.7</v>
      </c>
      <c r="I21" s="112">
        <v>0.18</v>
      </c>
      <c r="J21" s="112">
        <v>0.88</v>
      </c>
      <c r="K21" s="113">
        <f t="shared" si="4"/>
        <v>10.639999999999999</v>
      </c>
      <c r="L21" s="106" t="s">
        <v>76</v>
      </c>
      <c r="M21" s="106" t="s">
        <v>79</v>
      </c>
      <c r="N21" s="107" t="s">
        <v>80</v>
      </c>
      <c r="O21" s="115">
        <v>10.25</v>
      </c>
      <c r="P21" s="124">
        <v>0.85499999999999998</v>
      </c>
      <c r="Q21" s="38"/>
      <c r="R21" s="38"/>
      <c r="S21" s="38">
        <f>G21*0.02*(16+12)</f>
        <v>1.1200000000000001</v>
      </c>
      <c r="T21" s="38">
        <f>G21*2.3</f>
        <v>4.5999999999999996</v>
      </c>
      <c r="U21" s="38">
        <f t="shared" si="0"/>
        <v>2.5535999999999994</v>
      </c>
      <c r="V21" s="38"/>
      <c r="W21" s="38">
        <f>G21*(16+12)*0.6</f>
        <v>33.6</v>
      </c>
      <c r="X21" s="38">
        <f t="shared" si="1"/>
        <v>109.05999999999999</v>
      </c>
      <c r="Y21" s="116">
        <f t="shared" si="5"/>
        <v>651.61918512321756</v>
      </c>
      <c r="Z21" s="27">
        <f t="shared" si="6"/>
        <v>21.279999999999998</v>
      </c>
      <c r="AA21" s="109">
        <f t="shared" si="7"/>
        <v>129.65359999999998</v>
      </c>
      <c r="AB21" s="109">
        <f t="shared" si="8"/>
        <v>623.58740999999998</v>
      </c>
      <c r="AC21" s="109">
        <f t="shared" si="9"/>
        <v>753.24100999999996</v>
      </c>
      <c r="AD21" s="27">
        <f t="shared" si="10"/>
        <v>6.5356199999999989</v>
      </c>
      <c r="AF21" s="27">
        <f t="shared" si="11"/>
        <v>109.05999999999999</v>
      </c>
    </row>
    <row r="22" spans="1:32" s="27" customFormat="1" ht="28">
      <c r="A22" s="119">
        <v>6</v>
      </c>
      <c r="B22" s="102" t="s">
        <v>84</v>
      </c>
      <c r="C22" s="121"/>
      <c r="D22" s="121"/>
      <c r="E22" s="120"/>
      <c r="F22" s="120" t="s">
        <v>74</v>
      </c>
      <c r="G22" s="122">
        <v>3</v>
      </c>
      <c r="H22" s="112">
        <v>17.04</v>
      </c>
      <c r="I22" s="123">
        <v>0.27</v>
      </c>
      <c r="J22" s="123">
        <v>1.32</v>
      </c>
      <c r="K22" s="113">
        <f t="shared" si="4"/>
        <v>15.45</v>
      </c>
      <c r="L22" s="106" t="s">
        <v>76</v>
      </c>
      <c r="M22" s="106" t="s">
        <v>79</v>
      </c>
      <c r="N22" s="107" t="s">
        <v>80</v>
      </c>
      <c r="O22" s="115">
        <v>10.25</v>
      </c>
      <c r="P22" s="124">
        <v>1.29</v>
      </c>
      <c r="Q22" s="38"/>
      <c r="R22" s="38"/>
      <c r="S22" s="38">
        <f>G22*0.02*(16+12)</f>
        <v>1.68</v>
      </c>
      <c r="T22" s="38">
        <f>G22*2.3</f>
        <v>6.8999999999999995</v>
      </c>
      <c r="U22" s="38">
        <f t="shared" si="0"/>
        <v>0</v>
      </c>
      <c r="V22" s="38"/>
      <c r="W22" s="38">
        <f>G22*(16+12)*0.6</f>
        <v>50.4</v>
      </c>
      <c r="X22" s="38">
        <f t="shared" si="1"/>
        <v>158.36249999999998</v>
      </c>
      <c r="Y22" s="116">
        <f t="shared" si="5"/>
        <v>946.19515133023617</v>
      </c>
      <c r="Z22" s="27">
        <f t="shared" si="6"/>
        <v>30.9</v>
      </c>
      <c r="AA22" s="109">
        <f t="shared" si="7"/>
        <v>186.44249999999997</v>
      </c>
      <c r="AB22" s="109">
        <f t="shared" si="8"/>
        <v>913.79756249999991</v>
      </c>
      <c r="AC22" s="109">
        <f t="shared" si="9"/>
        <v>1100.2400624999998</v>
      </c>
      <c r="AD22" s="27">
        <f t="shared" si="10"/>
        <v>9.4901624999999985</v>
      </c>
      <c r="AF22" s="27">
        <f t="shared" si="11"/>
        <v>158.36249999999998</v>
      </c>
    </row>
    <row r="23" spans="1:32" s="27" customFormat="1" ht="28">
      <c r="A23" s="119">
        <v>7</v>
      </c>
      <c r="B23" s="120" t="s">
        <v>85</v>
      </c>
      <c r="C23" s="121"/>
      <c r="D23" s="121"/>
      <c r="E23" s="120"/>
      <c r="F23" s="102" t="s">
        <v>75</v>
      </c>
      <c r="G23" s="122">
        <v>1</v>
      </c>
      <c r="H23" s="112">
        <v>5.67</v>
      </c>
      <c r="I23" s="123">
        <v>0.21</v>
      </c>
      <c r="J23" s="123">
        <v>0.06</v>
      </c>
      <c r="K23" s="113">
        <f t="shared" si="4"/>
        <v>5.4</v>
      </c>
      <c r="L23" s="106">
        <v>2</v>
      </c>
      <c r="M23" s="106" t="s">
        <v>78</v>
      </c>
      <c r="N23" s="107">
        <v>32</v>
      </c>
      <c r="O23" s="115">
        <v>9</v>
      </c>
      <c r="P23" s="124">
        <v>1.0549999999999999</v>
      </c>
      <c r="Q23" s="38"/>
      <c r="R23" s="38"/>
      <c r="S23" s="38">
        <f t="shared" ref="S23:S25" si="13">G23*0.02*N23</f>
        <v>0.64</v>
      </c>
      <c r="T23" s="38"/>
      <c r="U23" s="38">
        <f t="shared" si="0"/>
        <v>1.296</v>
      </c>
      <c r="V23" s="38"/>
      <c r="W23" s="38">
        <f>G23*N23*0.3</f>
        <v>9.6</v>
      </c>
      <c r="X23" s="38">
        <f t="shared" si="1"/>
        <v>48.6</v>
      </c>
      <c r="Y23" s="116">
        <f t="shared" si="5"/>
        <v>330.70898493095632</v>
      </c>
      <c r="Z23" s="27">
        <f t="shared" si="6"/>
        <v>10.8</v>
      </c>
      <c r="AA23" s="109">
        <f t="shared" si="7"/>
        <v>49.335999999999999</v>
      </c>
      <c r="AB23" s="109">
        <f t="shared" si="8"/>
        <v>422.89049999999997</v>
      </c>
      <c r="AC23" s="109">
        <f t="shared" si="9"/>
        <v>472.22649999999999</v>
      </c>
      <c r="AD23" s="27">
        <f t="shared" si="10"/>
        <v>3.3169499999999998</v>
      </c>
      <c r="AF23" s="27">
        <f t="shared" si="11"/>
        <v>48.6</v>
      </c>
    </row>
    <row r="24" spans="1:32" s="27" customFormat="1" ht="28">
      <c r="A24" s="119">
        <v>7</v>
      </c>
      <c r="B24" s="120" t="s">
        <v>85</v>
      </c>
      <c r="C24" s="121"/>
      <c r="D24" s="121"/>
      <c r="E24" s="120"/>
      <c r="F24" s="120" t="s">
        <v>74</v>
      </c>
      <c r="G24" s="122">
        <v>2</v>
      </c>
      <c r="H24" s="112">
        <v>10.719999999999999</v>
      </c>
      <c r="I24" s="123">
        <v>0.39</v>
      </c>
      <c r="J24" s="123">
        <v>0.1</v>
      </c>
      <c r="K24" s="113">
        <f t="shared" si="4"/>
        <v>10.229999999999999</v>
      </c>
      <c r="L24" s="106">
        <v>2</v>
      </c>
      <c r="M24" s="106" t="s">
        <v>78</v>
      </c>
      <c r="N24" s="107">
        <v>32</v>
      </c>
      <c r="O24" s="115">
        <v>9</v>
      </c>
      <c r="P24" s="124">
        <v>1.915</v>
      </c>
      <c r="Q24" s="38"/>
      <c r="R24" s="38"/>
      <c r="S24" s="38">
        <f t="shared" si="13"/>
        <v>1.28</v>
      </c>
      <c r="T24" s="38"/>
      <c r="U24" s="38">
        <f t="shared" si="0"/>
        <v>0</v>
      </c>
      <c r="V24" s="38"/>
      <c r="W24" s="38">
        <f>G24*N24*0.3</f>
        <v>19.2</v>
      </c>
      <c r="X24" s="38">
        <f t="shared" si="1"/>
        <v>92.07</v>
      </c>
      <c r="Y24" s="116">
        <f t="shared" si="5"/>
        <v>626.50979923031161</v>
      </c>
      <c r="Z24" s="27">
        <f t="shared" si="6"/>
        <v>20.459999999999997</v>
      </c>
      <c r="AA24" s="109">
        <f t="shared" si="7"/>
        <v>92.09</v>
      </c>
      <c r="AB24" s="109">
        <f t="shared" si="8"/>
        <v>786.81270749999999</v>
      </c>
      <c r="AC24" s="109">
        <f t="shared" si="9"/>
        <v>878.90270750000002</v>
      </c>
      <c r="AD24" s="27">
        <f t="shared" si="10"/>
        <v>6.2837774999999985</v>
      </c>
      <c r="AF24" s="27">
        <f t="shared" si="11"/>
        <v>92.07</v>
      </c>
    </row>
    <row r="25" spans="1:32" s="27" customFormat="1" ht="28.5" thickBot="1">
      <c r="A25" s="119">
        <v>8</v>
      </c>
      <c r="B25" s="120" t="s">
        <v>86</v>
      </c>
      <c r="C25" s="121"/>
      <c r="D25" s="121"/>
      <c r="E25" s="120"/>
      <c r="F25" s="102" t="s">
        <v>75</v>
      </c>
      <c r="G25" s="122">
        <v>1</v>
      </c>
      <c r="H25" s="112">
        <v>14.46</v>
      </c>
      <c r="I25" s="123">
        <v>0.98</v>
      </c>
      <c r="J25" s="123">
        <v>0</v>
      </c>
      <c r="K25" s="113">
        <f t="shared" si="4"/>
        <v>13.48</v>
      </c>
      <c r="L25" s="106">
        <v>1.8</v>
      </c>
      <c r="M25" s="106" t="s">
        <v>78</v>
      </c>
      <c r="N25" s="107">
        <v>195</v>
      </c>
      <c r="O25" s="115">
        <f>8.5+2</f>
        <v>10.5</v>
      </c>
      <c r="P25" s="124">
        <v>4.9000000000000004</v>
      </c>
      <c r="Q25" s="38"/>
      <c r="R25" s="38"/>
      <c r="S25" s="38">
        <f t="shared" si="13"/>
        <v>3.9</v>
      </c>
      <c r="T25" s="38"/>
      <c r="U25" s="38">
        <f t="shared" si="0"/>
        <v>3.2351999999999999</v>
      </c>
      <c r="V25" s="38"/>
      <c r="W25" s="38">
        <f>G25*N25*0.3</f>
        <v>58.5</v>
      </c>
      <c r="X25" s="38">
        <f t="shared" si="1"/>
        <v>141.54</v>
      </c>
      <c r="Y25" s="116">
        <f t="shared" si="5"/>
        <v>825.54761423505397</v>
      </c>
      <c r="Z25" s="27">
        <f t="shared" si="6"/>
        <v>26.96</v>
      </c>
      <c r="AA25" s="109">
        <f t="shared" si="7"/>
        <v>180.21519999999998</v>
      </c>
      <c r="AB25" s="109">
        <f t="shared" si="8"/>
        <v>1443.9635700000001</v>
      </c>
      <c r="AC25" s="109">
        <f t="shared" si="9"/>
        <v>1624.17877</v>
      </c>
      <c r="AD25" s="27">
        <f t="shared" si="10"/>
        <v>8.2800899999999995</v>
      </c>
      <c r="AF25" s="27">
        <f t="shared" si="11"/>
        <v>141.54</v>
      </c>
    </row>
    <row r="26" spans="1:32" s="28" customFormat="1" ht="16" customHeight="1">
      <c r="A26" s="94" t="s">
        <v>62</v>
      </c>
      <c r="B26" s="72"/>
      <c r="C26" s="72"/>
      <c r="D26" s="72"/>
      <c r="E26" s="72"/>
      <c r="F26" s="72"/>
      <c r="G26" s="73">
        <f>SUM(G16:G25)</f>
        <v>18</v>
      </c>
      <c r="H26" s="114"/>
      <c r="I26" s="114"/>
      <c r="J26" s="114"/>
      <c r="K26" s="114">
        <f>SUM(K16:K25)</f>
        <v>119.34000000000002</v>
      </c>
      <c r="L26" s="74"/>
      <c r="M26" s="74"/>
      <c r="N26" s="74"/>
      <c r="O26" s="75"/>
      <c r="P26" s="125">
        <f t="shared" ref="P26:Y26" si="14">SUM(P16:P25)</f>
        <v>21.414999999999999</v>
      </c>
      <c r="Q26" s="76">
        <f t="shared" si="14"/>
        <v>0</v>
      </c>
      <c r="R26" s="76">
        <f t="shared" si="14"/>
        <v>0</v>
      </c>
      <c r="S26" s="76">
        <f t="shared" si="14"/>
        <v>16.16</v>
      </c>
      <c r="T26" s="76">
        <f t="shared" si="14"/>
        <v>25.1</v>
      </c>
      <c r="U26" s="76">
        <f t="shared" si="14"/>
        <v>10.531199999999998</v>
      </c>
      <c r="V26" s="76">
        <f t="shared" si="14"/>
        <v>0</v>
      </c>
      <c r="W26" s="76">
        <f t="shared" si="14"/>
        <v>310.79999999999995</v>
      </c>
      <c r="X26" s="76">
        <f t="shared" si="14"/>
        <v>1201.0725</v>
      </c>
      <c r="Y26" s="117">
        <f t="shared" si="14"/>
        <v>7308.6685669741346</v>
      </c>
      <c r="AA26" s="110"/>
      <c r="AB26" s="110"/>
      <c r="AC26" s="110"/>
      <c r="AD26" s="110"/>
    </row>
    <row r="27" spans="1:32" ht="16" customHeight="1">
      <c r="A27" s="56" t="s">
        <v>64</v>
      </c>
      <c r="K27" s="51"/>
      <c r="L27" s="51"/>
      <c r="M27" s="51"/>
      <c r="N27" s="51"/>
      <c r="W27" s="52"/>
      <c r="X27" s="91" t="s">
        <v>88</v>
      </c>
      <c r="Y27" s="101">
        <f>3002.7*1.01</f>
        <v>3032.7269999999999</v>
      </c>
    </row>
    <row r="28" spans="1:32" s="100" customFormat="1" ht="28">
      <c r="A28" s="95" t="s">
        <v>63</v>
      </c>
      <c r="B28" s="96" t="s">
        <v>4</v>
      </c>
      <c r="C28" s="96" t="s">
        <v>23</v>
      </c>
      <c r="D28" s="96" t="s">
        <v>45</v>
      </c>
      <c r="E28" s="96" t="s">
        <v>46</v>
      </c>
      <c r="F28" s="96" t="s">
        <v>5</v>
      </c>
      <c r="G28" s="96" t="s">
        <v>6</v>
      </c>
      <c r="H28" s="97" t="s">
        <v>7</v>
      </c>
      <c r="I28" s="97" t="s">
        <v>47</v>
      </c>
      <c r="J28" s="97" t="s">
        <v>8</v>
      </c>
      <c r="K28" s="98" t="s">
        <v>13</v>
      </c>
      <c r="L28" s="98" t="s">
        <v>19</v>
      </c>
      <c r="M28" s="98" t="s">
        <v>22</v>
      </c>
      <c r="N28" s="98" t="s">
        <v>20</v>
      </c>
      <c r="O28" s="99" t="s">
        <v>9</v>
      </c>
      <c r="P28" s="99" t="s">
        <v>49</v>
      </c>
      <c r="Q28" s="48" t="s">
        <v>50</v>
      </c>
      <c r="R28" s="48" t="s">
        <v>54</v>
      </c>
      <c r="S28" s="48" t="s">
        <v>67</v>
      </c>
      <c r="T28" s="48" t="s">
        <v>12</v>
      </c>
      <c r="U28" s="48" t="s">
        <v>52</v>
      </c>
      <c r="V28" s="48" t="s">
        <v>48</v>
      </c>
      <c r="W28" s="48" t="s">
        <v>14</v>
      </c>
      <c r="X28" s="53" t="s">
        <v>11</v>
      </c>
      <c r="Y28" s="53" t="s">
        <v>21</v>
      </c>
    </row>
    <row r="29" spans="1:32" s="27" customFormat="1" ht="28.5" thickBot="1">
      <c r="A29" s="103" t="s">
        <v>89</v>
      </c>
      <c r="B29" s="102" t="s">
        <v>90</v>
      </c>
      <c r="C29" s="105"/>
      <c r="D29" s="105"/>
      <c r="E29" s="102"/>
      <c r="F29" s="102" t="s">
        <v>75</v>
      </c>
      <c r="G29" s="104">
        <v>2</v>
      </c>
      <c r="H29" s="134">
        <v>11.39</v>
      </c>
      <c r="I29" s="134">
        <v>0.34</v>
      </c>
      <c r="J29" s="134">
        <v>0.64</v>
      </c>
      <c r="K29" s="135">
        <f>H29-I29-J29</f>
        <v>10.41</v>
      </c>
      <c r="L29" s="136">
        <v>1.8</v>
      </c>
      <c r="M29" s="106" t="s">
        <v>78</v>
      </c>
      <c r="N29" s="107">
        <v>37</v>
      </c>
      <c r="O29" s="115">
        <v>9.25</v>
      </c>
      <c r="P29" s="124">
        <v>1.6749999999999998</v>
      </c>
      <c r="Q29" s="38"/>
      <c r="R29" s="38"/>
      <c r="S29" s="38">
        <f>G29*0.02*N29</f>
        <v>1.48</v>
      </c>
      <c r="T29" s="38">
        <f>G29*2.3</f>
        <v>4.5999999999999996</v>
      </c>
      <c r="U29" s="38">
        <f t="shared" ref="U29" si="15">IF(RIGHT(F29,2)="WG",K29*$AA$4,IF(OR(RIGHT(F29,3)="WRG",RIGHT(F29,3)="WYG",RIGHT(F29,3)="WYR"),K29*$AA$4+3*G29,0))</f>
        <v>2.4983999999999997</v>
      </c>
      <c r="V29" s="38"/>
      <c r="W29" s="38">
        <f>G29*N29*0.3</f>
        <v>22.2</v>
      </c>
      <c r="X29" s="38">
        <f t="shared" ref="X29" si="16">K29*O29</f>
        <v>96.292500000000004</v>
      </c>
      <c r="Y29" s="116">
        <f>$Y$27/31.1035*K29*IF(LEFT(F29,3)="10K",0.417*1.07,IF(LEFT(F29,3)="14K",0.585*1.05,IF(LEFT(F29,3)="18K",0.75*1.05,0)))</f>
        <v>623.47630160584811</v>
      </c>
      <c r="Z29" s="27">
        <f>2*K29</f>
        <v>20.82</v>
      </c>
      <c r="AA29" s="109">
        <f>(SUM(Q29:W29)+AF29)-Z29</f>
        <v>106.2509</v>
      </c>
      <c r="AB29" s="109">
        <f>AD29*$AB$13+P29*$AB$14</f>
        <v>753.76475249999999</v>
      </c>
      <c r="AC29" s="109">
        <f t="shared" ref="AC29" si="17">SUM(AA29:AB29)</f>
        <v>860.01565249999999</v>
      </c>
      <c r="AD29" s="27">
        <f t="shared" ref="AD29" si="18">K29*IF(LEFT(F29,3)="10K",0.417*1.07,IF(LEFT(F29,3)="14K",0.585*1.05,IF(LEFT(F29,3)="18K",0.75*1.05,0)))</f>
        <v>6.3943424999999996</v>
      </c>
      <c r="AF29" s="27">
        <f>IF(AE29&gt;0,AE29*K29,X29)</f>
        <v>96.292500000000004</v>
      </c>
    </row>
    <row r="30" spans="1:32" s="28" customFormat="1" ht="16" customHeight="1">
      <c r="A30" s="94" t="s">
        <v>62</v>
      </c>
      <c r="B30" s="72"/>
      <c r="C30" s="72"/>
      <c r="D30" s="72"/>
      <c r="E30" s="72"/>
      <c r="F30" s="72"/>
      <c r="G30" s="73">
        <f>SUM(G29:G29)</f>
        <v>2</v>
      </c>
      <c r="H30" s="137"/>
      <c r="I30" s="137"/>
      <c r="J30" s="137"/>
      <c r="K30" s="137">
        <f>SUM(K29:K29)</f>
        <v>10.41</v>
      </c>
      <c r="L30" s="138"/>
      <c r="M30" s="74"/>
      <c r="N30" s="74"/>
      <c r="O30" s="75"/>
      <c r="P30" s="125">
        <f t="shared" ref="P30:Y30" si="19">SUM(P29:P29)</f>
        <v>1.6749999999999998</v>
      </c>
      <c r="Q30" s="76">
        <f t="shared" si="19"/>
        <v>0</v>
      </c>
      <c r="R30" s="76">
        <f t="shared" si="19"/>
        <v>0</v>
      </c>
      <c r="S30" s="76">
        <f t="shared" si="19"/>
        <v>1.48</v>
      </c>
      <c r="T30" s="76">
        <f t="shared" si="19"/>
        <v>4.5999999999999996</v>
      </c>
      <c r="U30" s="76">
        <f t="shared" si="19"/>
        <v>2.4983999999999997</v>
      </c>
      <c r="V30" s="76">
        <f t="shared" si="19"/>
        <v>0</v>
      </c>
      <c r="W30" s="76">
        <f t="shared" si="19"/>
        <v>22.2</v>
      </c>
      <c r="X30" s="76">
        <f t="shared" si="19"/>
        <v>96.292500000000004</v>
      </c>
      <c r="Y30" s="117">
        <f t="shared" si="19"/>
        <v>623.47630160584811</v>
      </c>
      <c r="AA30" s="110"/>
      <c r="AB30" s="110"/>
      <c r="AC30" s="110"/>
      <c r="AD30" s="110"/>
    </row>
    <row r="31" spans="1:32" ht="16" customHeight="1">
      <c r="A31" s="56" t="s">
        <v>64</v>
      </c>
      <c r="K31" s="51"/>
      <c r="L31" s="51"/>
      <c r="M31" s="51"/>
      <c r="N31" s="51"/>
      <c r="W31" s="52"/>
      <c r="X31" s="91" t="s">
        <v>88</v>
      </c>
      <c r="Y31" s="101">
        <f>3002.7*1.01</f>
        <v>3032.7269999999999</v>
      </c>
    </row>
    <row r="32" spans="1:32" s="100" customFormat="1" ht="28">
      <c r="A32" s="95" t="s">
        <v>63</v>
      </c>
      <c r="B32" s="96" t="s">
        <v>4</v>
      </c>
      <c r="C32" s="96" t="s">
        <v>23</v>
      </c>
      <c r="D32" s="96" t="s">
        <v>45</v>
      </c>
      <c r="E32" s="96" t="s">
        <v>46</v>
      </c>
      <c r="F32" s="96" t="s">
        <v>5</v>
      </c>
      <c r="G32" s="96" t="s">
        <v>6</v>
      </c>
      <c r="H32" s="97" t="s">
        <v>7</v>
      </c>
      <c r="I32" s="97" t="s">
        <v>47</v>
      </c>
      <c r="J32" s="97" t="s">
        <v>8</v>
      </c>
      <c r="K32" s="98" t="s">
        <v>13</v>
      </c>
      <c r="L32" s="98" t="s">
        <v>19</v>
      </c>
      <c r="M32" s="98" t="s">
        <v>22</v>
      </c>
      <c r="N32" s="98" t="s">
        <v>20</v>
      </c>
      <c r="O32" s="99" t="s">
        <v>9</v>
      </c>
      <c r="P32" s="99" t="s">
        <v>49</v>
      </c>
      <c r="Q32" s="48" t="s">
        <v>50</v>
      </c>
      <c r="R32" s="48" t="s">
        <v>54</v>
      </c>
      <c r="S32" s="48" t="s">
        <v>67</v>
      </c>
      <c r="T32" s="48" t="s">
        <v>12</v>
      </c>
      <c r="U32" s="48" t="s">
        <v>52</v>
      </c>
      <c r="V32" s="48" t="s">
        <v>48</v>
      </c>
      <c r="W32" s="48" t="s">
        <v>14</v>
      </c>
      <c r="X32" s="53" t="s">
        <v>11</v>
      </c>
      <c r="Y32" s="53" t="s">
        <v>21</v>
      </c>
    </row>
    <row r="33" spans="1:32" s="27" customFormat="1" ht="28.5" thickBot="1">
      <c r="A33" s="103" t="s">
        <v>91</v>
      </c>
      <c r="B33" s="102" t="s">
        <v>92</v>
      </c>
      <c r="C33" s="105"/>
      <c r="D33" s="105"/>
      <c r="E33" s="102"/>
      <c r="F33" s="102" t="s">
        <v>75</v>
      </c>
      <c r="G33" s="104">
        <v>1</v>
      </c>
      <c r="H33" s="134">
        <v>5.21</v>
      </c>
      <c r="I33" s="134">
        <v>0.17</v>
      </c>
      <c r="J33" s="134">
        <v>0.28000000000000003</v>
      </c>
      <c r="K33" s="135">
        <f>H33-I33-J33</f>
        <v>4.76</v>
      </c>
      <c r="L33" s="106">
        <v>1.8</v>
      </c>
      <c r="M33" s="106" t="s">
        <v>78</v>
      </c>
      <c r="N33" s="107">
        <v>37</v>
      </c>
      <c r="O33" s="115">
        <v>9.25</v>
      </c>
      <c r="P33" s="124">
        <v>0.83499999999999996</v>
      </c>
      <c r="Q33" s="38"/>
      <c r="R33" s="38"/>
      <c r="S33" s="38">
        <f>G33*0.02*N33</f>
        <v>0.74</v>
      </c>
      <c r="T33" s="38">
        <f>G33*2.3</f>
        <v>2.2999999999999998</v>
      </c>
      <c r="U33" s="38">
        <f t="shared" ref="U33" si="20">IF(RIGHT(F33,2)="WG",K33*$AA$4,IF(OR(RIGHT(F33,3)="WRG",RIGHT(F33,3)="WYG",RIGHT(F33,3)="WYR"),K33*$AA$4+3*G33,0))</f>
        <v>1.1423999999999999</v>
      </c>
      <c r="V33" s="38"/>
      <c r="W33" s="38">
        <f>G33*N33*0.3</f>
        <v>11.1</v>
      </c>
      <c r="X33" s="38">
        <f t="shared" ref="X33" si="21">K33*O33</f>
        <v>44.03</v>
      </c>
      <c r="Y33" s="116">
        <f>$Y$31/31.1035*K33*IF(LEFT(F33,3)="10K",0.417*1.07,IF(LEFT(F33,3)="14K",0.585*1.05,IF(LEFT(F33,3)="18K",0.75*1.05,0)))</f>
        <v>285.08618594081048</v>
      </c>
      <c r="Z33" s="27">
        <f>2*K33</f>
        <v>9.52</v>
      </c>
      <c r="AA33" s="109">
        <f>(SUM(Q33:W33)+AF33)-Z33</f>
        <v>49.792400000000001</v>
      </c>
      <c r="AB33" s="109">
        <f>AD33*$AB$13+P33*$AB$14</f>
        <v>356.50013999999999</v>
      </c>
      <c r="AC33" s="109">
        <f t="shared" ref="AC33" si="22">SUM(AA33:AB33)</f>
        <v>406.29253999999997</v>
      </c>
      <c r="AD33" s="27">
        <f t="shared" ref="AD33" si="23">K33*IF(LEFT(F33,3)="10K",0.417*1.07,IF(LEFT(F33,3)="14K",0.585*1.05,IF(LEFT(F33,3)="18K",0.75*1.05,0)))</f>
        <v>2.9238299999999997</v>
      </c>
      <c r="AF33" s="27">
        <f>IF(AE33&gt;0,AE33*K33,X33)</f>
        <v>44.03</v>
      </c>
    </row>
    <row r="34" spans="1:32" s="28" customFormat="1" ht="16" customHeight="1">
      <c r="A34" s="94" t="s">
        <v>62</v>
      </c>
      <c r="B34" s="72"/>
      <c r="C34" s="72"/>
      <c r="D34" s="72"/>
      <c r="E34" s="72"/>
      <c r="F34" s="72"/>
      <c r="G34" s="73">
        <f>SUM(G33:G33)</f>
        <v>1</v>
      </c>
      <c r="H34" s="137"/>
      <c r="I34" s="137"/>
      <c r="J34" s="137"/>
      <c r="K34" s="137">
        <f>SUM(K33:K33)</f>
        <v>4.76</v>
      </c>
      <c r="L34" s="74"/>
      <c r="M34" s="74"/>
      <c r="N34" s="74"/>
      <c r="O34" s="75"/>
      <c r="P34" s="125">
        <f t="shared" ref="P34:Y34" si="24">SUM(P33:P33)</f>
        <v>0.83499999999999996</v>
      </c>
      <c r="Q34" s="76">
        <f t="shared" si="24"/>
        <v>0</v>
      </c>
      <c r="R34" s="76">
        <f t="shared" si="24"/>
        <v>0</v>
      </c>
      <c r="S34" s="76">
        <f t="shared" si="24"/>
        <v>0.74</v>
      </c>
      <c r="T34" s="76">
        <f t="shared" si="24"/>
        <v>2.2999999999999998</v>
      </c>
      <c r="U34" s="76">
        <f t="shared" si="24"/>
        <v>1.1423999999999999</v>
      </c>
      <c r="V34" s="76">
        <f t="shared" si="24"/>
        <v>0</v>
      </c>
      <c r="W34" s="76">
        <f t="shared" si="24"/>
        <v>11.1</v>
      </c>
      <c r="X34" s="76">
        <f t="shared" si="24"/>
        <v>44.03</v>
      </c>
      <c r="Y34" s="117">
        <f t="shared" si="24"/>
        <v>285.08618594081048</v>
      </c>
      <c r="AA34" s="110"/>
      <c r="AB34" s="110"/>
      <c r="AC34" s="110"/>
      <c r="AD34" s="110"/>
    </row>
    <row r="35" spans="1:32" s="28" customFormat="1" ht="16" customHeight="1">
      <c r="A35" s="126" t="s">
        <v>93</v>
      </c>
      <c r="B35" s="127"/>
      <c r="C35" s="127"/>
      <c r="D35" s="127"/>
      <c r="E35" s="127"/>
      <c r="F35" s="127"/>
      <c r="G35" s="128">
        <f>SUM(G34,G30,G26)</f>
        <v>21</v>
      </c>
      <c r="H35" s="139"/>
      <c r="I35" s="139"/>
      <c r="J35" s="139"/>
      <c r="K35" s="139">
        <f>SUM(K34,K30,K26)</f>
        <v>134.51000000000002</v>
      </c>
      <c r="L35" s="129"/>
      <c r="M35" s="129"/>
      <c r="N35" s="129"/>
      <c r="O35" s="130"/>
      <c r="P35" s="131">
        <f t="shared" ref="P35:Y35" si="25">SUM(P34,P30,P26)</f>
        <v>23.924999999999997</v>
      </c>
      <c r="Q35" s="132">
        <f t="shared" si="25"/>
        <v>0</v>
      </c>
      <c r="R35" s="132">
        <f t="shared" si="25"/>
        <v>0</v>
      </c>
      <c r="S35" s="132">
        <f t="shared" si="25"/>
        <v>18.38</v>
      </c>
      <c r="T35" s="132">
        <f t="shared" si="25"/>
        <v>32</v>
      </c>
      <c r="U35" s="132">
        <f t="shared" si="25"/>
        <v>14.171999999999997</v>
      </c>
      <c r="V35" s="132">
        <f t="shared" si="25"/>
        <v>0</v>
      </c>
      <c r="W35" s="132">
        <f t="shared" si="25"/>
        <v>344.09999999999997</v>
      </c>
      <c r="X35" s="132">
        <f t="shared" si="25"/>
        <v>1341.395</v>
      </c>
      <c r="Y35" s="133">
        <f t="shared" si="25"/>
        <v>8217.2310545207929</v>
      </c>
      <c r="AA35" s="110">
        <f>SUM(AA16:AA34)</f>
        <v>1481.0269999999998</v>
      </c>
      <c r="AB35" s="110">
        <f>SUM(AB16:AB34)</f>
        <v>10130.5322775</v>
      </c>
      <c r="AC35" s="110">
        <f>SUM(AC16:AC34)</f>
        <v>11611.5592775</v>
      </c>
      <c r="AD35" s="110">
        <f>SUM(AD16:AD34)</f>
        <v>82.622767499999981</v>
      </c>
      <c r="AF35" s="110">
        <f>SUM(AF16:AF34)</f>
        <v>1341.395</v>
      </c>
    </row>
    <row r="36" spans="1:32" s="28" customFormat="1" ht="16" customHeight="1" thickBot="1">
      <c r="A36" s="77"/>
      <c r="B36" s="78"/>
      <c r="C36" s="78"/>
      <c r="D36" s="78"/>
      <c r="E36" s="78"/>
      <c r="F36" s="78"/>
      <c r="G36" s="78"/>
      <c r="H36" s="78"/>
      <c r="I36" s="78"/>
      <c r="J36" s="67"/>
      <c r="K36" s="68"/>
      <c r="L36" s="68"/>
      <c r="M36" s="68"/>
      <c r="N36" s="68"/>
      <c r="O36" s="69"/>
      <c r="P36" s="69"/>
      <c r="Q36" s="70"/>
      <c r="R36" s="70"/>
      <c r="S36" s="70"/>
      <c r="T36" s="70"/>
      <c r="U36" s="70"/>
      <c r="V36" s="71"/>
      <c r="W36" s="79" t="s">
        <v>25</v>
      </c>
      <c r="X36" s="71"/>
      <c r="Y36" s="118"/>
    </row>
    <row r="37" spans="1:32" s="28" customFormat="1" ht="18.5" thickTop="1">
      <c r="A37" s="50"/>
      <c r="B37" s="142"/>
      <c r="C37" s="142"/>
      <c r="D37" s="142"/>
      <c r="E37" s="142"/>
      <c r="F37" s="142"/>
      <c r="G37" s="142"/>
      <c r="H37" s="142"/>
      <c r="I37" s="23"/>
      <c r="J37" s="54"/>
      <c r="K37" s="25"/>
      <c r="L37" s="25"/>
      <c r="M37" s="25"/>
      <c r="N37" s="25"/>
      <c r="O37" s="26"/>
      <c r="P37" s="26"/>
      <c r="Q37" s="55"/>
      <c r="R37" s="55"/>
      <c r="S37" s="55"/>
      <c r="T37" s="55"/>
      <c r="U37" s="55"/>
      <c r="W37" s="80" t="s">
        <v>15</v>
      </c>
      <c r="X37" s="143">
        <f>SUM(Q35:Y35)</f>
        <v>9967.2780545207934</v>
      </c>
      <c r="Y37" s="144"/>
    </row>
    <row r="38" spans="1:32" s="28" customFormat="1" ht="18">
      <c r="A38" s="108" t="s">
        <v>53</v>
      </c>
      <c r="B38" s="89"/>
      <c r="C38" s="89"/>
      <c r="D38" s="89"/>
      <c r="E38" s="89"/>
      <c r="F38" s="90"/>
      <c r="G38" s="90"/>
      <c r="H38" s="90"/>
      <c r="I38" s="23"/>
      <c r="J38" s="54"/>
      <c r="K38" s="25"/>
      <c r="L38" s="25"/>
      <c r="M38" s="25"/>
      <c r="N38" s="25"/>
      <c r="O38" s="26"/>
      <c r="P38" s="26"/>
      <c r="Q38" s="55"/>
      <c r="R38" s="55"/>
      <c r="S38" s="55"/>
      <c r="T38" s="55"/>
      <c r="U38" s="55"/>
      <c r="W38" s="80" t="s">
        <v>16</v>
      </c>
      <c r="X38" s="154"/>
      <c r="Y38" s="155"/>
    </row>
    <row r="39" spans="1:32" ht="15.5">
      <c r="A39" s="50"/>
      <c r="B39" s="40"/>
      <c r="C39" s="40"/>
      <c r="D39" s="40"/>
      <c r="E39" s="40"/>
      <c r="G39" s="22"/>
      <c r="H39" s="23"/>
      <c r="J39" s="54"/>
      <c r="K39" s="25"/>
      <c r="L39" s="25"/>
      <c r="M39" s="25"/>
      <c r="N39" s="25"/>
      <c r="O39" s="26"/>
      <c r="P39" s="26"/>
      <c r="V39" s="22"/>
      <c r="W39" s="80" t="s">
        <v>17</v>
      </c>
      <c r="X39" s="154">
        <f>X37-X38</f>
        <v>9967.2780545207934</v>
      </c>
      <c r="Y39" s="155"/>
      <c r="AC39" s="111"/>
    </row>
    <row r="40" spans="1:32" ht="20">
      <c r="A40" s="56"/>
      <c r="G40" s="22"/>
      <c r="H40" s="23"/>
      <c r="J40" s="54"/>
      <c r="K40" s="25"/>
      <c r="L40" s="25"/>
      <c r="M40" s="25"/>
      <c r="N40" s="25"/>
      <c r="O40" s="26"/>
      <c r="P40" s="26"/>
      <c r="V40" s="41"/>
      <c r="W40" s="41"/>
      <c r="X40" s="140"/>
      <c r="Y40" s="141"/>
    </row>
    <row r="41" spans="1:32" ht="22.5" customHeight="1">
      <c r="A41" s="56"/>
      <c r="B41" s="42"/>
      <c r="C41" s="42"/>
      <c r="D41" s="42"/>
      <c r="E41" s="42"/>
      <c r="G41" s="22"/>
      <c r="H41" s="23"/>
      <c r="J41" s="54"/>
      <c r="K41" s="25"/>
      <c r="L41" s="25"/>
      <c r="M41" s="25"/>
      <c r="N41" s="25"/>
      <c r="O41" s="26"/>
      <c r="P41" s="26"/>
      <c r="V41" s="41"/>
      <c r="W41" s="41"/>
      <c r="X41" s="30"/>
      <c r="Y41" s="57"/>
    </row>
    <row r="42" spans="1:32" ht="16" customHeight="1">
      <c r="A42" s="58"/>
      <c r="B42" s="42"/>
      <c r="C42" s="42"/>
      <c r="D42" s="42"/>
      <c r="E42" s="42"/>
      <c r="F42" s="32"/>
      <c r="G42" s="32"/>
      <c r="H42" s="32"/>
      <c r="I42" s="32"/>
      <c r="J42" s="33"/>
      <c r="K42" s="32"/>
      <c r="L42" s="32"/>
      <c r="M42" s="32"/>
      <c r="N42" s="32"/>
      <c r="O42" s="34"/>
      <c r="P42" s="34"/>
      <c r="Q42" s="34"/>
      <c r="R42" s="34"/>
      <c r="S42" s="34"/>
      <c r="T42" s="34"/>
      <c r="U42" s="34"/>
      <c r="V42" s="22"/>
      <c r="W42" s="35"/>
      <c r="X42" s="36"/>
      <c r="Y42" s="59"/>
    </row>
    <row r="43" spans="1:32" ht="16" customHeight="1">
      <c r="A43" s="58"/>
      <c r="B43" s="42"/>
      <c r="C43" s="42"/>
      <c r="D43" s="42"/>
      <c r="E43" s="42"/>
      <c r="F43" s="32"/>
      <c r="G43" s="32"/>
      <c r="H43" s="32"/>
      <c r="I43" s="32"/>
      <c r="J43" s="32"/>
      <c r="K43" s="32"/>
      <c r="L43" s="32"/>
      <c r="M43" s="32"/>
      <c r="N43" s="32"/>
      <c r="O43" s="34"/>
      <c r="P43" s="34"/>
      <c r="Q43" s="34"/>
      <c r="R43" s="34"/>
      <c r="S43" s="34"/>
      <c r="T43" s="34"/>
      <c r="U43" s="34"/>
      <c r="V43" s="31"/>
      <c r="W43" s="31"/>
      <c r="X43" s="32"/>
      <c r="Y43" s="60"/>
    </row>
    <row r="44" spans="1:32">
      <c r="A44" s="61"/>
      <c r="B44" s="42"/>
      <c r="C44" s="42"/>
      <c r="D44" s="42"/>
      <c r="E44" s="4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81" t="s">
        <v>10</v>
      </c>
      <c r="W44" s="31"/>
      <c r="X44" s="37" t="s">
        <v>24</v>
      </c>
      <c r="Y44" s="60"/>
    </row>
    <row r="45" spans="1:32" s="32" customFormat="1" ht="12.75" customHeight="1">
      <c r="A45" s="62"/>
      <c r="B45" s="63"/>
      <c r="C45" s="63"/>
      <c r="D45" s="63"/>
      <c r="E45" s="63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5"/>
      <c r="W45" s="65"/>
      <c r="X45" s="64"/>
      <c r="Y45" s="66"/>
    </row>
    <row r="46" spans="1:32" s="36" customFormat="1" ht="12.75" customHeight="1">
      <c r="A46" s="21"/>
      <c r="B46" s="21"/>
      <c r="C46" s="21"/>
      <c r="D46" s="21"/>
      <c r="E46" s="21"/>
      <c r="F46" s="21"/>
      <c r="G46" s="21"/>
      <c r="H46" s="22"/>
      <c r="I46" s="23"/>
      <c r="J46" s="23"/>
      <c r="K46" s="24"/>
      <c r="L46" s="24"/>
      <c r="M46" s="24"/>
      <c r="N46" s="24"/>
      <c r="O46" s="25"/>
      <c r="P46" s="25"/>
      <c r="Q46" s="26"/>
      <c r="R46" s="26"/>
      <c r="S46" s="26"/>
      <c r="T46" s="26"/>
      <c r="U46" s="26"/>
      <c r="V46" s="26"/>
      <c r="W46" s="26"/>
      <c r="X46" s="29"/>
      <c r="Y46" s="22"/>
    </row>
    <row r="47" spans="1:32" s="32" customFormat="1" ht="12.75" customHeight="1">
      <c r="A47" s="21"/>
      <c r="B47" s="21"/>
      <c r="C47" s="21"/>
      <c r="D47" s="21"/>
      <c r="E47" s="21"/>
      <c r="F47" s="21"/>
      <c r="G47" s="21"/>
      <c r="H47" s="22"/>
      <c r="I47" s="23"/>
      <c r="J47" s="23"/>
      <c r="K47" s="24"/>
      <c r="L47" s="24"/>
      <c r="M47" s="24"/>
      <c r="N47" s="24"/>
      <c r="O47" s="25"/>
      <c r="P47" s="25"/>
      <c r="Q47" s="26"/>
      <c r="R47" s="26"/>
      <c r="S47" s="26"/>
      <c r="T47" s="26"/>
      <c r="U47" s="26"/>
      <c r="V47" s="26"/>
      <c r="W47" s="26"/>
      <c r="X47" s="29"/>
      <c r="Y47" s="22"/>
    </row>
    <row r="48" spans="1:32" s="32" customFormat="1" ht="12.75" customHeight="1">
      <c r="A48" s="21"/>
      <c r="B48" s="21"/>
      <c r="C48" s="21"/>
      <c r="D48" s="21"/>
      <c r="E48" s="21"/>
      <c r="F48" s="21"/>
      <c r="G48" s="21"/>
      <c r="H48" s="22"/>
      <c r="I48" s="23"/>
      <c r="J48" s="23"/>
      <c r="K48" s="24"/>
      <c r="L48" s="24"/>
      <c r="M48" s="24"/>
      <c r="N48" s="24"/>
      <c r="O48" s="25"/>
      <c r="P48" s="25"/>
      <c r="Q48" s="26"/>
      <c r="R48" s="26"/>
      <c r="S48" s="26"/>
      <c r="T48" s="26"/>
      <c r="U48" s="26"/>
      <c r="V48" s="26"/>
      <c r="W48" s="26"/>
      <c r="X48" s="29"/>
      <c r="Y48" s="22"/>
    </row>
    <row r="49" spans="1:25" s="32" customFormat="1" ht="12.75" customHeight="1">
      <c r="A49" s="21"/>
      <c r="B49" s="21"/>
      <c r="C49" s="21"/>
      <c r="D49" s="21"/>
      <c r="E49" s="21"/>
      <c r="F49" s="21"/>
      <c r="G49" s="21"/>
      <c r="H49" s="22"/>
      <c r="I49" s="23"/>
      <c r="J49" s="23"/>
      <c r="K49" s="24"/>
      <c r="L49" s="24"/>
      <c r="M49" s="24"/>
      <c r="N49" s="24"/>
      <c r="O49" s="25"/>
      <c r="P49" s="25"/>
      <c r="Q49" s="26"/>
      <c r="R49" s="26"/>
      <c r="S49" s="26"/>
      <c r="T49" s="26"/>
      <c r="U49" s="26"/>
      <c r="V49" s="26"/>
      <c r="W49" s="26"/>
      <c r="X49" s="29"/>
      <c r="Y49" s="22"/>
    </row>
  </sheetData>
  <mergeCells count="8">
    <mergeCell ref="X40:Y40"/>
    <mergeCell ref="B37:H37"/>
    <mergeCell ref="X37:Y37"/>
    <mergeCell ref="A1:Y1"/>
    <mergeCell ref="A2:Y2"/>
    <mergeCell ref="A3:Y3"/>
    <mergeCell ref="X38:Y38"/>
    <mergeCell ref="X39:Y39"/>
  </mergeCells>
  <phoneticPr fontId="3" type="noConversion"/>
  <conditionalFormatting sqref="F16:F25">
    <cfRule type="containsText" dxfId="2" priority="3" operator="containsText" text="18K">
      <formula>NOT(ISERROR(SEARCH("18K",F16)))</formula>
    </cfRule>
  </conditionalFormatting>
  <conditionalFormatting sqref="F29">
    <cfRule type="containsText" dxfId="1" priority="2" operator="containsText" text="18K">
      <formula>NOT(ISERROR(SEARCH("18K",F29)))</formula>
    </cfRule>
  </conditionalFormatting>
  <conditionalFormatting sqref="F33">
    <cfRule type="containsText" dxfId="0" priority="1" operator="containsText" text="18K">
      <formula>NOT(ISERROR(SEARCH("18K",F33)))</formula>
    </cfRule>
  </conditionalFormatting>
  <pageMargins left="0" right="0" top="0.19685039370078741" bottom="0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2025-04-24T12:52:41Z</dcterms:modified>
</cp:coreProperties>
</file>