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217\Sharing EPO Team\GOLD EXPORT\250426\CLEARANCE\"/>
    </mc:Choice>
  </mc:AlternateContent>
  <xr:revisionPtr revIDLastSave="0" documentId="13_ncr:1_{F9BE07F5-C5BF-4459-86C7-312A84529ADF}" xr6:coauthVersionLast="45" xr6:coauthVersionMax="45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PI!$A$1:$Y$37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" i="1" l="1"/>
  <c r="AD27" i="1"/>
  <c r="AA27" i="1"/>
  <c r="K26" i="1" l="1"/>
  <c r="X26" i="1" s="1"/>
  <c r="K24" i="1"/>
  <c r="Y24" i="1" s="1"/>
  <c r="K22" i="1"/>
  <c r="X22" i="1" s="1"/>
  <c r="K20" i="1"/>
  <c r="Y14" i="1"/>
  <c r="Y26" i="1" l="1"/>
  <c r="X24" i="1"/>
  <c r="Y22" i="1"/>
  <c r="X20" i="1"/>
  <c r="Y20" i="1"/>
  <c r="AF20" i="1" l="1"/>
  <c r="S27" i="1"/>
  <c r="K17" i="1"/>
  <c r="K18" i="1"/>
  <c r="K19" i="1"/>
  <c r="K21" i="1"/>
  <c r="Z21" i="1" s="1"/>
  <c r="K23" i="1"/>
  <c r="Z24" i="1"/>
  <c r="K25" i="1"/>
  <c r="AD25" i="1" s="1"/>
  <c r="AB25" i="1" s="1"/>
  <c r="K16" i="1"/>
  <c r="Z25" i="1" l="1"/>
  <c r="Z26" i="1"/>
  <c r="AD26" i="1"/>
  <c r="AB26" i="1" s="1"/>
  <c r="AD17" i="1"/>
  <c r="AB17" i="1" s="1"/>
  <c r="AD24" i="1"/>
  <c r="AB24" i="1" s="1"/>
  <c r="AD21" i="1"/>
  <c r="AB21" i="1" s="1"/>
  <c r="Z23" i="1"/>
  <c r="AD23" i="1"/>
  <c r="AB23" i="1" s="1"/>
  <c r="Z22" i="1"/>
  <c r="AD22" i="1"/>
  <c r="AB22" i="1" s="1"/>
  <c r="AD19" i="1"/>
  <c r="AB19" i="1" s="1"/>
  <c r="Z19" i="1"/>
  <c r="Z20" i="1"/>
  <c r="AD20" i="1"/>
  <c r="AB20" i="1" s="1"/>
  <c r="Z18" i="1"/>
  <c r="AD18" i="1"/>
  <c r="AB18" i="1" s="1"/>
  <c r="Z17" i="1"/>
  <c r="Z16" i="1"/>
  <c r="V27" i="1" l="1"/>
  <c r="R27" i="1"/>
  <c r="Q27" i="1"/>
  <c r="P27" i="1"/>
  <c r="G27" i="1"/>
  <c r="Y25" i="1"/>
  <c r="Y23" i="1"/>
  <c r="Y21" i="1"/>
  <c r="AA20" i="1"/>
  <c r="AC20" i="1" s="1"/>
  <c r="Y18" i="1"/>
  <c r="Y17" i="1"/>
  <c r="Y16" i="1"/>
  <c r="Y19" i="1" l="1"/>
  <c r="AD16" i="1"/>
  <c r="AB16" i="1" s="1"/>
  <c r="AB27" i="1" s="1"/>
  <c r="T27" i="1"/>
  <c r="AF24" i="1"/>
  <c r="AA24" i="1" s="1"/>
  <c r="AC24" i="1" s="1"/>
  <c r="U27" i="1"/>
  <c r="AF26" i="1"/>
  <c r="AA26" i="1" s="1"/>
  <c r="AC26" i="1" s="1"/>
  <c r="X25" i="1"/>
  <c r="AF25" i="1" s="1"/>
  <c r="AA25" i="1" s="1"/>
  <c r="AC25" i="1" s="1"/>
  <c r="W27" i="1"/>
  <c r="X18" i="1"/>
  <c r="AF18" i="1" s="1"/>
  <c r="AA18" i="1" s="1"/>
  <c r="AC18" i="1" s="1"/>
  <c r="X17" i="1"/>
  <c r="AF17" i="1" s="1"/>
  <c r="AA17" i="1" s="1"/>
  <c r="AC17" i="1" s="1"/>
  <c r="X16" i="1"/>
  <c r="AF16" i="1" s="1"/>
  <c r="AA16" i="1" s="1"/>
  <c r="X19" i="1"/>
  <c r="AF19" i="1" s="1"/>
  <c r="AA19" i="1" s="1"/>
  <c r="AC19" i="1" s="1"/>
  <c r="K27" i="1"/>
  <c r="X21" i="1"/>
  <c r="AF21" i="1" s="1"/>
  <c r="AA21" i="1" s="1"/>
  <c r="AC21" i="1" s="1"/>
  <c r="X23" i="1"/>
  <c r="AF23" i="1" s="1"/>
  <c r="AA23" i="1" s="1"/>
  <c r="AC23" i="1" s="1"/>
  <c r="AF22" i="1"/>
  <c r="AA22" i="1" s="1"/>
  <c r="AC22" i="1" s="1"/>
  <c r="AC16" i="1" l="1"/>
  <c r="AC27" i="1" s="1"/>
  <c r="X27" i="1"/>
  <c r="Y27" i="1"/>
  <c r="X29" i="1" l="1"/>
  <c r="X31" i="1" s="1"/>
</calcChain>
</file>

<file path=xl/sharedStrings.xml><?xml version="1.0" encoding="utf-8"?>
<sst xmlns="http://schemas.openxmlformats.org/spreadsheetml/2006/main" count="95" uniqueCount="81">
  <si>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</si>
  <si>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</si>
  <si>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</si>
  <si>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</si>
  <si>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</si>
  <si>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</si>
  <si>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</si>
  <si>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</si>
  <si>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</si>
  <si>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</si>
  <si>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</si>
  <si>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</si>
  <si>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</si>
  <si>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</si>
  <si>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</si>
  <si>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</si>
  <si>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</si>
  <si>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</si>
  <si>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</si>
  <si>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</si>
  <si>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</si>
  <si>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</si>
  <si>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</si>
  <si>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</si>
  <si>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</si>
  <si>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</si>
  <si>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</si>
  <si>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</si>
  <si>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</si>
  <si>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</si>
  <si>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</si>
  <si>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</si>
  <si>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</si>
  <si>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</si>
  <si>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</si>
  <si>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</si>
  <si>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</si>
  <si>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</si>
  <si>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</si>
  <si>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</si>
  <si>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</si>
  <si>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</si>
  <si>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</si>
  <si>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</si>
  <si>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</si>
  <si>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</si>
  <si>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</si>
  <si>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</si>
  <si>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</si>
  <si>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</si>
  <si>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</si>
  <si>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</si>
  <si>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</si>
  <si>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</si>
  <si>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</si>
  <si>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</si>
  <si>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</si>
  <si>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</si>
  <si>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</si>
  <si>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</si>
  <si>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</si>
  <si>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</si>
  <si>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SUBTOTAL</t>
  </si>
  <si>
    <t>PO#</t>
  </si>
  <si>
    <t>Buyer Dia</t>
  </si>
  <si>
    <t>old labor</t>
  </si>
  <si>
    <t>labor amount</t>
  </si>
  <si>
    <t>Dia Handling Service Fee</t>
  </si>
  <si>
    <t>PI SH250424</t>
  </si>
  <si>
    <t>SHEFI DIAMOND</t>
  </si>
  <si>
    <t>8 Apr London AM + 1%</t>
  </si>
  <si>
    <t>SH250327RM-14K</t>
  </si>
  <si>
    <t>K0296E16 OV</t>
  </si>
  <si>
    <t>14K WG</t>
  </si>
  <si>
    <t>K0296E17 OV</t>
  </si>
  <si>
    <t>K0296E18 OV</t>
  </si>
  <si>
    <t>K0296E11</t>
  </si>
  <si>
    <t>14K YG</t>
  </si>
  <si>
    <t>K0296E13</t>
  </si>
  <si>
    <t>K0296E14</t>
  </si>
  <si>
    <t>K0296E15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</si>
</sst>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42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41"/>
  <sheetViews>
    <sheetView showGridLines="0" tabSelected="1" view="pageBreakPreview" topLeftCell="P9" zoomScaleSheetLayoutView="100" workbookViewId="0">
      <selection activeCell="AD27" sqref="AD27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81640625" style="24" customWidth="1"/>
    <col min="13" max="14" width="8.54296875" style="24" customWidth="1"/>
    <col min="15" max="15" width="11.81640625" style="25" customWidth="1"/>
    <col min="16" max="16" width="9.1796875" style="25" customWidth="1"/>
    <col min="17" max="19" width="12.453125" style="26" customWidth="1"/>
    <col min="20" max="21" width="8.453125" style="26" customWidth="1"/>
    <col min="22" max="22" width="9.1796875" style="26" customWidth="1"/>
    <col min="23" max="23" width="10" style="26" customWidth="1"/>
    <col min="24" max="24" width="13.453125" style="29" customWidth="1"/>
    <col min="25" max="25" width="14.54296875" style="22" customWidth="1"/>
    <col min="26" max="27" width="11.26953125" style="22" customWidth="1"/>
    <col min="28" max="29" width="8.7265625" style="22"/>
    <col min="30" max="30" width="8.81640625" style="22" bestFit="1" customWidth="1"/>
    <col min="31" max="16384" width="8.7265625" style="22"/>
  </cols>
  <sheetData>
    <row r="1" spans="1:32" s="1" customFormat="1" ht="31.5" customHeight="1">
      <c r="A1" s="131" t="s">
        <v>38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3"/>
    </row>
    <row r="2" spans="1:32" s="2" customFormat="1" ht="15.5">
      <c r="A2" s="134" t="s">
        <v>42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spans="1:32" s="3" customFormat="1" ht="20">
      <c r="A3" s="137" t="s">
        <v>44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9"/>
    </row>
    <row r="4" spans="1:32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/>
      <c r="O4" s="6" t="s">
        <v>68</v>
      </c>
      <c r="P4" s="6"/>
      <c r="Q4" s="6"/>
      <c r="R4" s="6"/>
      <c r="S4" s="6"/>
      <c r="T4" s="6"/>
      <c r="U4" s="6"/>
      <c r="V4" s="83"/>
      <c r="W4" s="6"/>
      <c r="X4" s="6"/>
      <c r="Y4" s="49">
        <v>45771</v>
      </c>
      <c r="Z4" s="7" t="s">
        <v>60</v>
      </c>
      <c r="AA4" s="7">
        <v>0.24</v>
      </c>
    </row>
    <row r="5" spans="1:32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9"/>
    </row>
    <row r="6" spans="1:32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1"/>
    </row>
    <row r="7" spans="1:32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20"/>
    </row>
    <row r="8" spans="1:32" s="7" customFormat="1" ht="12" customHeight="1">
      <c r="A8" s="4" t="s">
        <v>1</v>
      </c>
      <c r="B8" s="46" t="s">
        <v>69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9"/>
    </row>
    <row r="9" spans="1:32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1"/>
    </row>
    <row r="10" spans="1:32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4"/>
    </row>
    <row r="11" spans="1:32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4"/>
    </row>
    <row r="12" spans="1:32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20"/>
    </row>
    <row r="13" spans="1:32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9"/>
      <c r="AA13" s="7" t="s">
        <v>58</v>
      </c>
      <c r="AB13" s="7">
        <v>73</v>
      </c>
    </row>
    <row r="14" spans="1:32" ht="16" customHeight="1">
      <c r="A14" s="56" t="s">
        <v>64</v>
      </c>
      <c r="K14" s="51"/>
      <c r="L14" s="51"/>
      <c r="M14" s="51"/>
      <c r="N14" s="51"/>
      <c r="W14" s="52"/>
      <c r="X14" s="91" t="s">
        <v>70</v>
      </c>
      <c r="Y14" s="101">
        <f>3002.7*1.01</f>
        <v>3032.7269999999999</v>
      </c>
      <c r="AA14" s="22" t="s">
        <v>59</v>
      </c>
    </row>
    <row r="15" spans="1:32" s="100" customFormat="1" ht="28">
      <c r="A15" s="95" t="s">
        <v>63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67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53" t="s">
        <v>21</v>
      </c>
      <c r="AA15" s="100" t="s">
        <v>55</v>
      </c>
      <c r="AB15" s="100" t="s">
        <v>56</v>
      </c>
      <c r="AC15" s="100" t="s">
        <v>57</v>
      </c>
      <c r="AD15" s="100" t="s">
        <v>61</v>
      </c>
      <c r="AE15" s="100" t="s">
        <v>65</v>
      </c>
      <c r="AF15" s="100" t="s">
        <v>66</v>
      </c>
    </row>
    <row r="16" spans="1:32" s="27" customFormat="1" ht="28">
      <c r="A16" s="103" t="s">
        <v>71</v>
      </c>
      <c r="B16" s="102" t="s">
        <v>72</v>
      </c>
      <c r="C16" s="105"/>
      <c r="D16" s="105"/>
      <c r="E16" s="102"/>
      <c r="F16" s="102" t="s">
        <v>73</v>
      </c>
      <c r="G16" s="104">
        <v>1</v>
      </c>
      <c r="H16" s="112">
        <v>4.72</v>
      </c>
      <c r="I16" s="112"/>
      <c r="J16" s="112"/>
      <c r="K16" s="113">
        <f>H16-I16-J16</f>
        <v>4.72</v>
      </c>
      <c r="L16" s="106">
        <v>2.1</v>
      </c>
      <c r="M16" s="106"/>
      <c r="N16" s="107">
        <v>26</v>
      </c>
      <c r="O16" s="115">
        <v>7.75</v>
      </c>
      <c r="P16" s="124"/>
      <c r="Q16" s="38"/>
      <c r="R16" s="38"/>
      <c r="S16" s="38"/>
      <c r="T16" s="38"/>
      <c r="U16" s="38"/>
      <c r="V16" s="38"/>
      <c r="W16" s="38"/>
      <c r="X16" s="38">
        <f t="shared" ref="X16:X25" si="0">K16*O16</f>
        <v>36.58</v>
      </c>
      <c r="Y16" s="116">
        <f>$Y$14/31.1035*K16*IF(LEFT(F16,3)="10K",0.417*1.07,IF(LEFT(F16,3)="14K",0.585*1.05,IF(LEFT(F16,3)="18K",0.75*1.05,0)))</f>
        <v>282.69050370601371</v>
      </c>
      <c r="Z16" s="27">
        <f>2*K16</f>
        <v>9.44</v>
      </c>
      <c r="AA16" s="109">
        <f>(SUM(Q16:W16)+AF16)-Z16</f>
        <v>27.14</v>
      </c>
      <c r="AB16" s="109">
        <f>AD16*$AB$13+P16*$AB$14</f>
        <v>211.64597999999995</v>
      </c>
      <c r="AC16" s="109">
        <f t="shared" ref="AC16" si="1">SUM(AA16:AB16)</f>
        <v>238.78597999999994</v>
      </c>
      <c r="AD16" s="27">
        <f t="shared" ref="AD16" si="2">K16*IF(LEFT(F16,3)="10K",0.417*1.07,IF(LEFT(F16,3)="14K",0.585*1.05,IF(LEFT(F16,3)="18K",0.75*1.05,0)))</f>
        <v>2.8992599999999995</v>
      </c>
      <c r="AF16" s="27">
        <f>IF(AE16&gt;0,AE16*K16,X16)</f>
        <v>36.58</v>
      </c>
    </row>
    <row r="17" spans="1:32" s="27" customFormat="1" ht="28">
      <c r="A17" s="119">
        <v>2</v>
      </c>
      <c r="B17" s="120" t="s">
        <v>74</v>
      </c>
      <c r="C17" s="121"/>
      <c r="D17" s="121"/>
      <c r="E17" s="120"/>
      <c r="F17" s="102" t="s">
        <v>73</v>
      </c>
      <c r="G17" s="122">
        <v>1</v>
      </c>
      <c r="H17" s="112">
        <v>5.82</v>
      </c>
      <c r="I17" s="123"/>
      <c r="J17" s="123"/>
      <c r="K17" s="113">
        <f t="shared" ref="K17:K25" si="3">H17-I17-J17</f>
        <v>5.82</v>
      </c>
      <c r="L17" s="106">
        <v>2.1</v>
      </c>
      <c r="M17" s="106"/>
      <c r="N17" s="107">
        <v>38</v>
      </c>
      <c r="O17" s="115">
        <v>7.75</v>
      </c>
      <c r="P17" s="124"/>
      <c r="Q17" s="38"/>
      <c r="R17" s="38"/>
      <c r="S17" s="38"/>
      <c r="T17" s="38"/>
      <c r="U17" s="38"/>
      <c r="V17" s="38"/>
      <c r="W17" s="38"/>
      <c r="X17" s="38">
        <f t="shared" si="0"/>
        <v>45.105000000000004</v>
      </c>
      <c r="Y17" s="116">
        <f t="shared" ref="Y17:Y25" si="4">$Y$14/31.1035*K17*IF(LEFT(F17,3)="10K",0.417*1.07,IF(LEFT(F17,3)="14K",0.585*1.05,IF(LEFT(F17,3)="18K",0.75*1.05,0)))</f>
        <v>348.57176516292378</v>
      </c>
      <c r="Z17" s="27">
        <f t="shared" ref="Z17:Z26" si="5">2*K17</f>
        <v>11.64</v>
      </c>
      <c r="AA17" s="109">
        <f t="shared" ref="AA17:AA26" si="6">(SUM(Q17:W17)+AF17)-Z17</f>
        <v>33.465000000000003</v>
      </c>
      <c r="AB17" s="109">
        <f t="shared" ref="AB17:AB26" si="7">AD17*$AB$13+P17*$AB$14</f>
        <v>260.97025500000001</v>
      </c>
      <c r="AC17" s="109">
        <f t="shared" ref="AC17:AC26" si="8">SUM(AA17:AB17)</f>
        <v>294.43525499999998</v>
      </c>
      <c r="AD17" s="27">
        <f t="shared" ref="AD17:AD26" si="9">K17*IF(LEFT(F17,3)="10K",0.417*1.07,IF(LEFT(F17,3)="14K",0.585*1.05,IF(LEFT(F17,3)="18K",0.75*1.05,0)))</f>
        <v>3.574935</v>
      </c>
      <c r="AF17" s="27">
        <f>IF(AE17&gt;0,AE17*K17,X17)</f>
        <v>45.105000000000004</v>
      </c>
    </row>
    <row r="18" spans="1:32" s="27" customFormat="1" ht="28">
      <c r="A18" s="119">
        <v>3</v>
      </c>
      <c r="B18" s="120" t="s">
        <v>75</v>
      </c>
      <c r="C18" s="121"/>
      <c r="D18" s="121"/>
      <c r="E18" s="120"/>
      <c r="F18" s="102" t="s">
        <v>73</v>
      </c>
      <c r="G18" s="122">
        <v>1</v>
      </c>
      <c r="H18" s="112">
        <v>6.86</v>
      </c>
      <c r="I18" s="123"/>
      <c r="J18" s="123"/>
      <c r="K18" s="113">
        <f t="shared" si="3"/>
        <v>6.86</v>
      </c>
      <c r="L18" s="106">
        <v>2.1</v>
      </c>
      <c r="M18" s="106"/>
      <c r="N18" s="107">
        <v>48</v>
      </c>
      <c r="O18" s="115">
        <v>7.75</v>
      </c>
      <c r="P18" s="124"/>
      <c r="Q18" s="38"/>
      <c r="R18" s="38"/>
      <c r="S18" s="38"/>
      <c r="T18" s="38"/>
      <c r="U18" s="38"/>
      <c r="V18" s="38"/>
      <c r="W18" s="38"/>
      <c r="X18" s="38">
        <f t="shared" si="0"/>
        <v>53.164999999999999</v>
      </c>
      <c r="Y18" s="116">
        <f t="shared" si="4"/>
        <v>410.85950326763862</v>
      </c>
      <c r="Z18" s="27">
        <f t="shared" si="5"/>
        <v>13.72</v>
      </c>
      <c r="AA18" s="109">
        <f t="shared" si="6"/>
        <v>39.445</v>
      </c>
      <c r="AB18" s="109">
        <f t="shared" si="7"/>
        <v>307.60411499999998</v>
      </c>
      <c r="AC18" s="109">
        <f t="shared" si="8"/>
        <v>347.04911499999997</v>
      </c>
      <c r="AD18" s="27">
        <f t="shared" si="9"/>
        <v>4.2137549999999999</v>
      </c>
      <c r="AF18" s="27">
        <f t="shared" ref="AF18:AF26" si="10">IF(AE18&gt;0,AE18*K18,X18)</f>
        <v>53.164999999999999</v>
      </c>
    </row>
    <row r="19" spans="1:32" s="27" customFormat="1">
      <c r="A19" s="119">
        <v>4</v>
      </c>
      <c r="B19" s="120" t="s">
        <v>76</v>
      </c>
      <c r="C19" s="121"/>
      <c r="D19" s="121"/>
      <c r="E19" s="120"/>
      <c r="F19" s="120" t="s">
        <v>73</v>
      </c>
      <c r="G19" s="122">
        <v>1</v>
      </c>
      <c r="H19" s="112">
        <v>4.87</v>
      </c>
      <c r="I19" s="123"/>
      <c r="J19" s="123"/>
      <c r="K19" s="113">
        <f t="shared" si="3"/>
        <v>4.87</v>
      </c>
      <c r="L19" s="106">
        <v>2.1</v>
      </c>
      <c r="M19" s="106"/>
      <c r="N19" s="107">
        <v>26</v>
      </c>
      <c r="O19" s="115">
        <v>7.75</v>
      </c>
      <c r="P19" s="124"/>
      <c r="Q19" s="38"/>
      <c r="R19" s="38"/>
      <c r="S19" s="38"/>
      <c r="T19" s="38"/>
      <c r="U19" s="38"/>
      <c r="V19" s="38"/>
      <c r="W19" s="38"/>
      <c r="X19" s="38">
        <f t="shared" si="0"/>
        <v>37.7425</v>
      </c>
      <c r="Y19" s="116">
        <f t="shared" si="4"/>
        <v>291.67431208650152</v>
      </c>
      <c r="Z19" s="27">
        <f t="shared" si="5"/>
        <v>9.74</v>
      </c>
      <c r="AA19" s="109">
        <f t="shared" si="6"/>
        <v>28.002499999999998</v>
      </c>
      <c r="AB19" s="109">
        <f t="shared" si="7"/>
        <v>218.37201749999997</v>
      </c>
      <c r="AC19" s="109">
        <f t="shared" si="8"/>
        <v>246.37451749999997</v>
      </c>
      <c r="AD19" s="27">
        <f t="shared" si="9"/>
        <v>2.9913974999999997</v>
      </c>
      <c r="AF19" s="27">
        <f t="shared" si="10"/>
        <v>37.7425</v>
      </c>
    </row>
    <row r="20" spans="1:32" s="27" customFormat="1">
      <c r="A20" s="119">
        <v>4</v>
      </c>
      <c r="B20" s="120" t="s">
        <v>76</v>
      </c>
      <c r="C20" s="121"/>
      <c r="D20" s="121"/>
      <c r="E20" s="120"/>
      <c r="F20" s="120" t="s">
        <v>77</v>
      </c>
      <c r="G20" s="122">
        <v>1</v>
      </c>
      <c r="H20" s="112">
        <v>4.75</v>
      </c>
      <c r="I20" s="123"/>
      <c r="J20" s="123"/>
      <c r="K20" s="113">
        <f t="shared" ref="K20" si="11">H20-I20-J20</f>
        <v>4.75</v>
      </c>
      <c r="L20" s="106">
        <v>2.1</v>
      </c>
      <c r="M20" s="106"/>
      <c r="N20" s="107">
        <v>26</v>
      </c>
      <c r="O20" s="115">
        <v>7.75</v>
      </c>
      <c r="P20" s="124"/>
      <c r="Q20" s="38"/>
      <c r="R20" s="38"/>
      <c r="S20" s="38"/>
      <c r="T20" s="38"/>
      <c r="U20" s="38"/>
      <c r="V20" s="38"/>
      <c r="W20" s="38"/>
      <c r="X20" s="38">
        <f t="shared" ref="X20" si="12">K20*O20</f>
        <v>36.8125</v>
      </c>
      <c r="Y20" s="116">
        <f t="shared" ref="Y20" si="13">$Y$14/31.1035*K20*IF(LEFT(F20,3)="10K",0.417*1.07,IF(LEFT(F20,3)="14K",0.585*1.05,IF(LEFT(F20,3)="18K",0.75*1.05,0)))</f>
        <v>284.48726538211133</v>
      </c>
      <c r="Z20" s="27">
        <f t="shared" si="5"/>
        <v>9.5</v>
      </c>
      <c r="AA20" s="109">
        <f t="shared" si="6"/>
        <v>27.3125</v>
      </c>
      <c r="AB20" s="109">
        <f t="shared" si="7"/>
        <v>212.9911875</v>
      </c>
      <c r="AC20" s="109">
        <f t="shared" si="8"/>
        <v>240.3036875</v>
      </c>
      <c r="AD20" s="27">
        <f t="shared" si="9"/>
        <v>2.9176875</v>
      </c>
      <c r="AF20" s="27">
        <f t="shared" si="10"/>
        <v>36.8125</v>
      </c>
    </row>
    <row r="21" spans="1:32" s="27" customFormat="1">
      <c r="A21" s="103">
        <v>5</v>
      </c>
      <c r="B21" s="102" t="s">
        <v>78</v>
      </c>
      <c r="C21" s="105"/>
      <c r="D21" s="105"/>
      <c r="E21" s="102"/>
      <c r="F21" s="102" t="s">
        <v>73</v>
      </c>
      <c r="G21" s="104">
        <v>1</v>
      </c>
      <c r="H21" s="112">
        <v>6.76</v>
      </c>
      <c r="I21" s="112"/>
      <c r="J21" s="112"/>
      <c r="K21" s="113">
        <f t="shared" si="3"/>
        <v>6.76</v>
      </c>
      <c r="L21" s="106">
        <v>2.1</v>
      </c>
      <c r="M21" s="106"/>
      <c r="N21" s="107">
        <v>46</v>
      </c>
      <c r="O21" s="115">
        <v>7.75</v>
      </c>
      <c r="P21" s="124"/>
      <c r="Q21" s="38"/>
      <c r="R21" s="38"/>
      <c r="S21" s="38"/>
      <c r="T21" s="38"/>
      <c r="U21" s="38"/>
      <c r="V21" s="38"/>
      <c r="W21" s="38"/>
      <c r="X21" s="38">
        <f t="shared" si="0"/>
        <v>52.39</v>
      </c>
      <c r="Y21" s="116">
        <f t="shared" si="4"/>
        <v>404.87029768064684</v>
      </c>
      <c r="Z21" s="27">
        <f t="shared" si="5"/>
        <v>13.52</v>
      </c>
      <c r="AA21" s="109">
        <f t="shared" si="6"/>
        <v>38.870000000000005</v>
      </c>
      <c r="AB21" s="109">
        <f t="shared" si="7"/>
        <v>303.12008999999995</v>
      </c>
      <c r="AC21" s="109">
        <f t="shared" si="8"/>
        <v>341.99008999999995</v>
      </c>
      <c r="AD21" s="27">
        <f t="shared" si="9"/>
        <v>4.1523299999999992</v>
      </c>
      <c r="AF21" s="27">
        <f t="shared" si="10"/>
        <v>52.39</v>
      </c>
    </row>
    <row r="22" spans="1:32" s="27" customFormat="1">
      <c r="A22" s="103">
        <v>5</v>
      </c>
      <c r="B22" s="102" t="s">
        <v>78</v>
      </c>
      <c r="C22" s="121"/>
      <c r="D22" s="121"/>
      <c r="E22" s="120"/>
      <c r="F22" s="120" t="s">
        <v>77</v>
      </c>
      <c r="G22" s="122">
        <v>1</v>
      </c>
      <c r="H22" s="112">
        <v>6.73</v>
      </c>
      <c r="I22" s="123"/>
      <c r="J22" s="112"/>
      <c r="K22" s="113">
        <f t="shared" ref="K22" si="14">H22-I22-J22</f>
        <v>6.73</v>
      </c>
      <c r="L22" s="106">
        <v>2.1</v>
      </c>
      <c r="M22" s="106"/>
      <c r="N22" s="107">
        <v>46</v>
      </c>
      <c r="O22" s="115">
        <v>7.75</v>
      </c>
      <c r="P22" s="124"/>
      <c r="Q22" s="38"/>
      <c r="R22" s="38"/>
      <c r="S22" s="38"/>
      <c r="T22" s="38"/>
      <c r="U22" s="38"/>
      <c r="V22" s="38"/>
      <c r="W22" s="38"/>
      <c r="X22" s="38">
        <f t="shared" ref="X22" si="15">K22*O22</f>
        <v>52.157500000000006</v>
      </c>
      <c r="Y22" s="116">
        <f t="shared" ref="Y22" si="16">$Y$14/31.1035*K22*IF(LEFT(F22,3)="10K",0.417*1.07,IF(LEFT(F22,3)="14K",0.585*1.05,IF(LEFT(F22,3)="18K",0.75*1.05,0)))</f>
        <v>403.07353600454928</v>
      </c>
      <c r="Z22" s="27">
        <f t="shared" si="5"/>
        <v>13.46</v>
      </c>
      <c r="AA22" s="109">
        <f t="shared" si="6"/>
        <v>38.697500000000005</v>
      </c>
      <c r="AB22" s="109">
        <f t="shared" si="7"/>
        <v>301.77488249999999</v>
      </c>
      <c r="AC22" s="109">
        <f t="shared" si="8"/>
        <v>340.47238249999998</v>
      </c>
      <c r="AD22" s="27">
        <f t="shared" si="9"/>
        <v>4.1339024999999996</v>
      </c>
      <c r="AF22" s="27">
        <f t="shared" si="10"/>
        <v>52.157500000000006</v>
      </c>
    </row>
    <row r="23" spans="1:32" s="27" customFormat="1">
      <c r="A23" s="119">
        <v>6</v>
      </c>
      <c r="B23" s="120" t="s">
        <v>79</v>
      </c>
      <c r="C23" s="121"/>
      <c r="D23" s="121"/>
      <c r="E23" s="120"/>
      <c r="F23" s="120" t="s">
        <v>73</v>
      </c>
      <c r="G23" s="122">
        <v>1</v>
      </c>
      <c r="H23" s="112">
        <v>8.73</v>
      </c>
      <c r="I23" s="123"/>
      <c r="J23" s="123"/>
      <c r="K23" s="113">
        <f t="shared" si="3"/>
        <v>8.73</v>
      </c>
      <c r="L23" s="106">
        <v>2.1</v>
      </c>
      <c r="M23" s="106"/>
      <c r="N23" s="107">
        <v>60</v>
      </c>
      <c r="O23" s="115">
        <v>7.75</v>
      </c>
      <c r="P23" s="124"/>
      <c r="Q23" s="38"/>
      <c r="R23" s="38"/>
      <c r="S23" s="38"/>
      <c r="T23" s="38"/>
      <c r="U23" s="38"/>
      <c r="V23" s="38"/>
      <c r="W23" s="38"/>
      <c r="X23" s="38">
        <f t="shared" si="0"/>
        <v>67.657499999999999</v>
      </c>
      <c r="Y23" s="116">
        <f t="shared" si="4"/>
        <v>522.85764774438564</v>
      </c>
      <c r="Z23" s="27">
        <f t="shared" si="5"/>
        <v>17.46</v>
      </c>
      <c r="AA23" s="109">
        <f t="shared" si="6"/>
        <v>50.197499999999998</v>
      </c>
      <c r="AB23" s="109">
        <f t="shared" si="7"/>
        <v>391.45538249999998</v>
      </c>
      <c r="AC23" s="109">
        <f t="shared" si="8"/>
        <v>441.65288249999998</v>
      </c>
      <c r="AD23" s="27">
        <f t="shared" si="9"/>
        <v>5.3624025</v>
      </c>
      <c r="AF23" s="27">
        <f t="shared" si="10"/>
        <v>67.657499999999999</v>
      </c>
    </row>
    <row r="24" spans="1:32" s="27" customFormat="1">
      <c r="A24" s="119">
        <v>6</v>
      </c>
      <c r="B24" s="120" t="s">
        <v>79</v>
      </c>
      <c r="C24" s="121"/>
      <c r="D24" s="121"/>
      <c r="E24" s="120"/>
      <c r="F24" s="120" t="s">
        <v>77</v>
      </c>
      <c r="G24" s="122">
        <v>1</v>
      </c>
      <c r="H24" s="112">
        <v>8.81</v>
      </c>
      <c r="I24" s="123"/>
      <c r="J24" s="123"/>
      <c r="K24" s="113">
        <f t="shared" ref="K24" si="17">H24-I24-J24</f>
        <v>8.81</v>
      </c>
      <c r="L24" s="106">
        <v>2.1</v>
      </c>
      <c r="M24" s="106"/>
      <c r="N24" s="107">
        <v>60</v>
      </c>
      <c r="O24" s="115">
        <v>7.75</v>
      </c>
      <c r="P24" s="124"/>
      <c r="Q24" s="38"/>
      <c r="R24" s="38"/>
      <c r="S24" s="38"/>
      <c r="T24" s="38"/>
      <c r="U24" s="38"/>
      <c r="V24" s="38"/>
      <c r="W24" s="38"/>
      <c r="X24" s="38">
        <f t="shared" ref="X24" si="18">K24*O24</f>
        <v>68.277500000000003</v>
      </c>
      <c r="Y24" s="116">
        <f t="shared" ref="Y24" si="19">$Y$14/31.1035*K24*IF(LEFT(F24,3)="10K",0.417*1.07,IF(LEFT(F24,3)="14K",0.585*1.05,IF(LEFT(F24,3)="18K",0.75*1.05,0)))</f>
        <v>527.64901221397918</v>
      </c>
      <c r="Z24" s="27">
        <f t="shared" si="5"/>
        <v>17.62</v>
      </c>
      <c r="AA24" s="109">
        <f t="shared" si="6"/>
        <v>50.657499999999999</v>
      </c>
      <c r="AB24" s="109">
        <f t="shared" si="7"/>
        <v>395.04260250000004</v>
      </c>
      <c r="AC24" s="109">
        <f t="shared" si="8"/>
        <v>445.70010250000007</v>
      </c>
      <c r="AD24" s="27">
        <f t="shared" si="9"/>
        <v>5.4115425000000004</v>
      </c>
      <c r="AF24" s="27">
        <f t="shared" si="10"/>
        <v>68.277500000000003</v>
      </c>
    </row>
    <row r="25" spans="1:32" s="27" customFormat="1">
      <c r="A25" s="119">
        <v>7</v>
      </c>
      <c r="B25" s="120" t="s">
        <v>80</v>
      </c>
      <c r="C25" s="121"/>
      <c r="D25" s="121"/>
      <c r="E25" s="120"/>
      <c r="F25" s="120" t="s">
        <v>73</v>
      </c>
      <c r="G25" s="122">
        <v>1</v>
      </c>
      <c r="H25" s="112">
        <v>10.210000000000001</v>
      </c>
      <c r="I25" s="123"/>
      <c r="J25" s="123"/>
      <c r="K25" s="113">
        <f t="shared" si="3"/>
        <v>10.210000000000001</v>
      </c>
      <c r="L25" s="106">
        <v>2.1</v>
      </c>
      <c r="M25" s="106"/>
      <c r="N25" s="107">
        <v>74</v>
      </c>
      <c r="O25" s="115">
        <v>7.75</v>
      </c>
      <c r="P25" s="124"/>
      <c r="Q25" s="38"/>
      <c r="R25" s="38"/>
      <c r="S25" s="38"/>
      <c r="T25" s="38"/>
      <c r="U25" s="38"/>
      <c r="V25" s="38"/>
      <c r="W25" s="38"/>
      <c r="X25" s="38">
        <f t="shared" si="0"/>
        <v>79.127500000000012</v>
      </c>
      <c r="Y25" s="116">
        <f t="shared" si="4"/>
        <v>611.49789043186456</v>
      </c>
      <c r="Z25" s="27">
        <f t="shared" si="5"/>
        <v>20.420000000000002</v>
      </c>
      <c r="AA25" s="109">
        <f t="shared" si="6"/>
        <v>58.70750000000001</v>
      </c>
      <c r="AB25" s="109">
        <f t="shared" si="7"/>
        <v>457.81895249999997</v>
      </c>
      <c r="AC25" s="109">
        <f t="shared" si="8"/>
        <v>516.5264525</v>
      </c>
      <c r="AD25" s="27">
        <f t="shared" si="9"/>
        <v>6.2714924999999999</v>
      </c>
      <c r="AF25" s="27">
        <f t="shared" si="10"/>
        <v>79.127500000000012</v>
      </c>
    </row>
    <row r="26" spans="1:32" s="27" customFormat="1" ht="14.5" thickBot="1">
      <c r="A26" s="119">
        <v>7</v>
      </c>
      <c r="B26" s="120" t="s">
        <v>80</v>
      </c>
      <c r="C26" s="121"/>
      <c r="D26" s="121"/>
      <c r="E26" s="120"/>
      <c r="F26" s="120" t="s">
        <v>77</v>
      </c>
      <c r="G26" s="122">
        <v>1</v>
      </c>
      <c r="H26" s="112">
        <v>10.67</v>
      </c>
      <c r="I26" s="123"/>
      <c r="J26" s="123"/>
      <c r="K26" s="113">
        <f t="shared" ref="K26" si="20">H26-I26-J26</f>
        <v>10.67</v>
      </c>
      <c r="L26" s="106">
        <v>2.1</v>
      </c>
      <c r="M26" s="106"/>
      <c r="N26" s="107">
        <v>74</v>
      </c>
      <c r="O26" s="115">
        <v>7.75</v>
      </c>
      <c r="P26" s="124"/>
      <c r="Q26" s="38"/>
      <c r="R26" s="38"/>
      <c r="S26" s="38"/>
      <c r="T26" s="38"/>
      <c r="U26" s="38"/>
      <c r="V26" s="38"/>
      <c r="W26" s="38"/>
      <c r="X26" s="38">
        <f t="shared" ref="X26" si="21">K26*O26</f>
        <v>82.692499999999995</v>
      </c>
      <c r="Y26" s="116">
        <f t="shared" ref="Y26" si="22">$Y$14/31.1035*K26*IF(LEFT(F26,3)="10K",0.417*1.07,IF(LEFT(F26,3)="14K",0.585*1.05,IF(LEFT(F26,3)="18K",0.75*1.05,0)))</f>
        <v>639.04823613202689</v>
      </c>
      <c r="Z26" s="27">
        <f t="shared" si="5"/>
        <v>21.34</v>
      </c>
      <c r="AA26" s="109">
        <f t="shared" si="6"/>
        <v>61.352499999999992</v>
      </c>
      <c r="AB26" s="109">
        <f t="shared" si="7"/>
        <v>478.44546749999995</v>
      </c>
      <c r="AC26" s="109">
        <f t="shared" si="8"/>
        <v>539.79796749999991</v>
      </c>
      <c r="AD26" s="27">
        <f t="shared" si="9"/>
        <v>6.5540474999999994</v>
      </c>
      <c r="AF26" s="27">
        <f t="shared" si="10"/>
        <v>82.692499999999995</v>
      </c>
    </row>
    <row r="27" spans="1:32" s="28" customFormat="1" ht="16" customHeight="1">
      <c r="A27" s="94" t="s">
        <v>62</v>
      </c>
      <c r="B27" s="72"/>
      <c r="C27" s="72"/>
      <c r="D27" s="72"/>
      <c r="E27" s="72"/>
      <c r="F27" s="72"/>
      <c r="G27" s="73">
        <f>SUM(G16:G26)</f>
        <v>11</v>
      </c>
      <c r="H27" s="114"/>
      <c r="I27" s="114"/>
      <c r="J27" s="114"/>
      <c r="K27" s="114">
        <f>SUM(K16:K26)</f>
        <v>78.930000000000021</v>
      </c>
      <c r="L27" s="74"/>
      <c r="M27" s="74"/>
      <c r="N27" s="74"/>
      <c r="O27" s="75"/>
      <c r="P27" s="125">
        <f t="shared" ref="P27:Y27" si="23">SUM(P16:P26)</f>
        <v>0</v>
      </c>
      <c r="Q27" s="76">
        <f t="shared" si="23"/>
        <v>0</v>
      </c>
      <c r="R27" s="76">
        <f t="shared" si="23"/>
        <v>0</v>
      </c>
      <c r="S27" s="76">
        <f t="shared" si="23"/>
        <v>0</v>
      </c>
      <c r="T27" s="76">
        <f t="shared" si="23"/>
        <v>0</v>
      </c>
      <c r="U27" s="76">
        <f t="shared" si="23"/>
        <v>0</v>
      </c>
      <c r="V27" s="76">
        <f t="shared" si="23"/>
        <v>0</v>
      </c>
      <c r="W27" s="76">
        <f t="shared" si="23"/>
        <v>0</v>
      </c>
      <c r="X27" s="76">
        <f t="shared" si="23"/>
        <v>611.7075000000001</v>
      </c>
      <c r="Y27" s="117">
        <f t="shared" si="23"/>
        <v>4727.2799698126419</v>
      </c>
      <c r="AA27" s="110">
        <f>SUM(AA16:AA26)</f>
        <v>453.84749999999997</v>
      </c>
      <c r="AB27" s="110">
        <f>SUM(AB16:AB26)</f>
        <v>3539.2409324999999</v>
      </c>
      <c r="AC27" s="110">
        <f>SUM(AC16:AC26)</f>
        <v>3993.0884324999997</v>
      </c>
      <c r="AD27" s="110">
        <f>SUM(AD16:AD26)</f>
        <v>48.482752500000004</v>
      </c>
      <c r="AF27" s="110">
        <f>SUM(AF16:AF26)</f>
        <v>611.7075000000001</v>
      </c>
    </row>
    <row r="28" spans="1:32" s="28" customFormat="1" ht="16" customHeight="1" thickBot="1">
      <c r="A28" s="77"/>
      <c r="B28" s="78"/>
      <c r="C28" s="78"/>
      <c r="D28" s="78"/>
      <c r="E28" s="78"/>
      <c r="F28" s="78"/>
      <c r="G28" s="78"/>
      <c r="H28" s="78"/>
      <c r="I28" s="78"/>
      <c r="J28" s="67"/>
      <c r="K28" s="68"/>
      <c r="L28" s="68"/>
      <c r="M28" s="68"/>
      <c r="N28" s="68"/>
      <c r="O28" s="69"/>
      <c r="P28" s="69"/>
      <c r="Q28" s="70"/>
      <c r="R28" s="70"/>
      <c r="S28" s="70"/>
      <c r="T28" s="70"/>
      <c r="U28" s="70"/>
      <c r="V28" s="71"/>
      <c r="W28" s="79" t="s">
        <v>25</v>
      </c>
      <c r="X28" s="71"/>
      <c r="Y28" s="118"/>
    </row>
    <row r="29" spans="1:32" s="28" customFormat="1" ht="18.5" thickTop="1">
      <c r="A29" s="50"/>
      <c r="B29" s="128"/>
      <c r="C29" s="128"/>
      <c r="D29" s="128"/>
      <c r="E29" s="128"/>
      <c r="F29" s="128"/>
      <c r="G29" s="128"/>
      <c r="H29" s="128"/>
      <c r="I29" s="23"/>
      <c r="J29" s="54"/>
      <c r="K29" s="25"/>
      <c r="L29" s="25"/>
      <c r="M29" s="25"/>
      <c r="N29" s="25"/>
      <c r="O29" s="26"/>
      <c r="P29" s="26"/>
      <c r="Q29" s="55"/>
      <c r="R29" s="55"/>
      <c r="S29" s="55"/>
      <c r="T29" s="55"/>
      <c r="U29" s="55"/>
      <c r="W29" s="80" t="s">
        <v>15</v>
      </c>
      <c r="X29" s="129">
        <f>SUM(Q27:Y27)</f>
        <v>5338.9874698126423</v>
      </c>
      <c r="Y29" s="130"/>
    </row>
    <row r="30" spans="1:32" s="28" customFormat="1" ht="18">
      <c r="A30" s="108" t="s">
        <v>53</v>
      </c>
      <c r="B30" s="89"/>
      <c r="C30" s="89"/>
      <c r="D30" s="89"/>
      <c r="E30" s="89"/>
      <c r="F30" s="90"/>
      <c r="G30" s="90"/>
      <c r="H30" s="90"/>
      <c r="I30" s="23"/>
      <c r="J30" s="54"/>
      <c r="K30" s="25"/>
      <c r="L30" s="25"/>
      <c r="M30" s="25"/>
      <c r="N30" s="25"/>
      <c r="O30" s="26"/>
      <c r="P30" s="26"/>
      <c r="Q30" s="55"/>
      <c r="R30" s="55"/>
      <c r="S30" s="55"/>
      <c r="T30" s="55"/>
      <c r="U30" s="55"/>
      <c r="W30" s="80" t="s">
        <v>16</v>
      </c>
      <c r="X30" s="140"/>
      <c r="Y30" s="141"/>
    </row>
    <row r="31" spans="1:32" ht="15.5">
      <c r="A31" s="50"/>
      <c r="B31" s="40"/>
      <c r="C31" s="40"/>
      <c r="D31" s="40"/>
      <c r="E31" s="40"/>
      <c r="G31" s="22"/>
      <c r="H31" s="23"/>
      <c r="J31" s="54"/>
      <c r="K31" s="25"/>
      <c r="L31" s="25"/>
      <c r="M31" s="25"/>
      <c r="N31" s="25"/>
      <c r="O31" s="26"/>
      <c r="P31" s="26"/>
      <c r="V31" s="22"/>
      <c r="W31" s="80" t="s">
        <v>17</v>
      </c>
      <c r="X31" s="140">
        <f>X29-X30</f>
        <v>5338.9874698126423</v>
      </c>
      <c r="Y31" s="141"/>
      <c r="AC31" s="111"/>
    </row>
    <row r="32" spans="1:32" ht="20">
      <c r="A32" s="56"/>
      <c r="G32" s="22"/>
      <c r="H32" s="23"/>
      <c r="J32" s="54"/>
      <c r="K32" s="25"/>
      <c r="L32" s="25"/>
      <c r="M32" s="25"/>
      <c r="N32" s="25"/>
      <c r="O32" s="26"/>
      <c r="P32" s="26"/>
      <c r="V32" s="41"/>
      <c r="W32" s="41"/>
      <c r="X32" s="126"/>
      <c r="Y32" s="127"/>
    </row>
    <row r="33" spans="1:25" ht="22.5" customHeight="1">
      <c r="A33" s="56"/>
      <c r="B33" s="42"/>
      <c r="C33" s="42"/>
      <c r="D33" s="42"/>
      <c r="E33" s="42"/>
      <c r="G33" s="22"/>
      <c r="H33" s="23"/>
      <c r="J33" s="54"/>
      <c r="K33" s="25"/>
      <c r="L33" s="25"/>
      <c r="M33" s="25"/>
      <c r="N33" s="25"/>
      <c r="O33" s="26"/>
      <c r="P33" s="26"/>
      <c r="V33" s="41"/>
      <c r="W33" s="41"/>
      <c r="X33" s="30"/>
      <c r="Y33" s="57"/>
    </row>
    <row r="34" spans="1:25" ht="16" customHeight="1">
      <c r="A34" s="58"/>
      <c r="B34" s="42"/>
      <c r="C34" s="42"/>
      <c r="D34" s="42"/>
      <c r="E34" s="42"/>
      <c r="F34" s="32"/>
      <c r="G34" s="32"/>
      <c r="H34" s="32"/>
      <c r="I34" s="32"/>
      <c r="J34" s="33"/>
      <c r="K34" s="32"/>
      <c r="L34" s="32"/>
      <c r="M34" s="32"/>
      <c r="N34" s="32"/>
      <c r="O34" s="34"/>
      <c r="P34" s="34"/>
      <c r="Q34" s="34"/>
      <c r="R34" s="34"/>
      <c r="S34" s="34"/>
      <c r="T34" s="34"/>
      <c r="U34" s="34"/>
      <c r="V34" s="22"/>
      <c r="W34" s="35"/>
      <c r="X34" s="36"/>
      <c r="Y34" s="59"/>
    </row>
    <row r="35" spans="1:25" ht="16" customHeight="1">
      <c r="A35" s="58"/>
      <c r="B35" s="42"/>
      <c r="C35" s="42"/>
      <c r="D35" s="42"/>
      <c r="E35" s="42"/>
      <c r="F35" s="32"/>
      <c r="G35" s="32"/>
      <c r="H35" s="32"/>
      <c r="I35" s="32"/>
      <c r="J35" s="32"/>
      <c r="K35" s="32"/>
      <c r="L35" s="32"/>
      <c r="M35" s="32"/>
      <c r="N35" s="32"/>
      <c r="O35" s="34"/>
      <c r="P35" s="34"/>
      <c r="Q35" s="34"/>
      <c r="R35" s="34"/>
      <c r="S35" s="34"/>
      <c r="T35" s="34"/>
      <c r="U35" s="34"/>
      <c r="V35" s="31"/>
      <c r="W35" s="31"/>
      <c r="X35" s="32"/>
      <c r="Y35" s="60"/>
    </row>
    <row r="36" spans="1:25">
      <c r="A36" s="61"/>
      <c r="B36" s="42"/>
      <c r="C36" s="42"/>
      <c r="D36" s="42"/>
      <c r="E36" s="4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81" t="s">
        <v>10</v>
      </c>
      <c r="W36" s="31"/>
      <c r="X36" s="37" t="s">
        <v>24</v>
      </c>
      <c r="Y36" s="60"/>
    </row>
    <row r="37" spans="1:25" s="32" customFormat="1" ht="12.75" customHeight="1">
      <c r="A37" s="62"/>
      <c r="B37" s="63"/>
      <c r="C37" s="63"/>
      <c r="D37" s="63"/>
      <c r="E37" s="63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5"/>
      <c r="W37" s="65"/>
      <c r="X37" s="64"/>
      <c r="Y37" s="66"/>
    </row>
    <row r="38" spans="1:25" s="36" customFormat="1" ht="12.75" customHeight="1">
      <c r="A38" s="21"/>
      <c r="B38" s="21"/>
      <c r="C38" s="21"/>
      <c r="D38" s="21"/>
      <c r="E38" s="21"/>
      <c r="F38" s="21"/>
      <c r="G38" s="21"/>
      <c r="H38" s="22"/>
      <c r="I38" s="23"/>
      <c r="J38" s="23"/>
      <c r="K38" s="24"/>
      <c r="L38" s="24"/>
      <c r="M38" s="24"/>
      <c r="N38" s="24"/>
      <c r="O38" s="25"/>
      <c r="P38" s="25"/>
      <c r="Q38" s="26"/>
      <c r="R38" s="26"/>
      <c r="S38" s="26"/>
      <c r="T38" s="26"/>
      <c r="U38" s="26"/>
      <c r="V38" s="26"/>
      <c r="W38" s="26"/>
      <c r="X38" s="29"/>
      <c r="Y38" s="22"/>
    </row>
    <row r="39" spans="1:25" s="32" customFormat="1" ht="12.75" customHeight="1">
      <c r="A39" s="21"/>
      <c r="B39" s="21"/>
      <c r="C39" s="21"/>
      <c r="D39" s="21"/>
      <c r="E39" s="21"/>
      <c r="F39" s="21"/>
      <c r="G39" s="21"/>
      <c r="H39" s="22"/>
      <c r="I39" s="23"/>
      <c r="J39" s="23"/>
      <c r="K39" s="24"/>
      <c r="L39" s="24"/>
      <c r="M39" s="24"/>
      <c r="N39" s="24"/>
      <c r="O39" s="25"/>
      <c r="P39" s="25"/>
      <c r="Q39" s="26"/>
      <c r="R39" s="26"/>
      <c r="S39" s="26"/>
      <c r="T39" s="26"/>
      <c r="U39" s="26"/>
      <c r="V39" s="26"/>
      <c r="W39" s="26"/>
      <c r="X39" s="29"/>
      <c r="Y39" s="22"/>
    </row>
    <row r="40" spans="1:25" s="32" customFormat="1" ht="12.75" customHeight="1">
      <c r="A40" s="21"/>
      <c r="B40" s="21"/>
      <c r="C40" s="21"/>
      <c r="D40" s="21"/>
      <c r="E40" s="21"/>
      <c r="F40" s="21"/>
      <c r="G40" s="21"/>
      <c r="H40" s="22"/>
      <c r="I40" s="23"/>
      <c r="J40" s="23"/>
      <c r="K40" s="24"/>
      <c r="L40" s="24"/>
      <c r="M40" s="24"/>
      <c r="N40" s="24"/>
      <c r="O40" s="25"/>
      <c r="P40" s="25"/>
      <c r="Q40" s="26"/>
      <c r="R40" s="26"/>
      <c r="S40" s="26"/>
      <c r="T40" s="26"/>
      <c r="U40" s="26"/>
      <c r="V40" s="26"/>
      <c r="W40" s="26"/>
      <c r="X40" s="29"/>
      <c r="Y40" s="22"/>
    </row>
    <row r="41" spans="1:25" s="32" customFormat="1" ht="12.75" customHeight="1">
      <c r="A41" s="21"/>
      <c r="B41" s="21"/>
      <c r="C41" s="21"/>
      <c r="D41" s="21"/>
      <c r="E41" s="21"/>
      <c r="F41" s="21"/>
      <c r="G41" s="21"/>
      <c r="H41" s="22"/>
      <c r="I41" s="23"/>
      <c r="J41" s="23"/>
      <c r="K41" s="24"/>
      <c r="L41" s="24"/>
      <c r="M41" s="24"/>
      <c r="N41" s="24"/>
      <c r="O41" s="25"/>
      <c r="P41" s="25"/>
      <c r="Q41" s="26"/>
      <c r="R41" s="26"/>
      <c r="S41" s="26"/>
      <c r="T41" s="26"/>
      <c r="U41" s="26"/>
      <c r="V41" s="26"/>
      <c r="W41" s="26"/>
      <c r="X41" s="29"/>
      <c r="Y41" s="22"/>
    </row>
  </sheetData>
  <mergeCells count="8">
    <mergeCell ref="X32:Y32"/>
    <mergeCell ref="B29:H29"/>
    <mergeCell ref="X29:Y29"/>
    <mergeCell ref="A1:Y1"/>
    <mergeCell ref="A2:Y2"/>
    <mergeCell ref="A3:Y3"/>
    <mergeCell ref="X30:Y30"/>
    <mergeCell ref="X31:Y31"/>
  </mergeCells>
  <phoneticPr fontId="3" type="noConversion"/>
  <conditionalFormatting sqref="F16:F18">
    <cfRule type="containsText" dxfId="3" priority="8" operator="containsText" text="18K">
      <formula>NOT(ISERROR(SEARCH("18K",F16)))</formula>
    </cfRule>
  </conditionalFormatting>
  <conditionalFormatting sqref="F26">
    <cfRule type="containsText" dxfId="2" priority="6" operator="containsText" text="18K">
      <formula>NOT(ISERROR(SEARCH("18K",F26)))</formula>
    </cfRule>
  </conditionalFormatting>
  <conditionalFormatting sqref="F21:F25">
    <cfRule type="containsText" dxfId="1" priority="5" operator="containsText" text="18K">
      <formula>NOT(ISERROR(SEARCH("18K",F21)))</formula>
    </cfRule>
  </conditionalFormatting>
  <conditionalFormatting sqref="F19:F20">
    <cfRule type="containsText" dxfId="0" priority="4" operator="containsText" text="18K">
      <formula>NOT(ISERROR(SEARCH("18K",F19)))</formula>
    </cfRule>
  </conditionalFormatting>
  <pageMargins left="0" right="0" top="0.19685039370078741" bottom="0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2025-04-24T12:53:30Z</dcterms:modified>
</cp:coreProperties>
</file>