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nds\OneDrive\temp\"/>
    </mc:Choice>
  </mc:AlternateContent>
  <bookViews>
    <workbookView xWindow="0" yWindow="0" windowWidth="28800" windowHeight="12210"/>
  </bookViews>
  <sheets>
    <sheet name="main" sheetId="1" r:id="rId1"/>
    <sheet name="static" sheetId="2" r:id="rId2"/>
    <sheet name="adhoc" sheetId="3" r:id="rId3"/>
  </sheets>
  <calcPr calcId="171027"/>
</workbook>
</file>

<file path=xl/calcChain.xml><?xml version="1.0" encoding="utf-8"?>
<calcChain xmlns="http://schemas.openxmlformats.org/spreadsheetml/2006/main">
  <c r="F19" i="2" l="1"/>
  <c r="F26" i="2" s="1"/>
  <c r="K4" i="1" s="1"/>
  <c r="F18" i="2"/>
  <c r="F25" i="2" s="1"/>
  <c r="E18" i="2"/>
  <c r="E25" i="2" s="1"/>
  <c r="V54" i="1"/>
  <c r="V46" i="1"/>
  <c r="V38" i="1"/>
  <c r="V30" i="1"/>
  <c r="L63" i="1"/>
  <c r="R8" i="1"/>
  <c r="V8" i="1" s="1"/>
  <c r="P56" i="1"/>
  <c r="R55" i="1"/>
  <c r="V55" i="1" s="1"/>
  <c r="R54" i="1"/>
  <c r="R53" i="1"/>
  <c r="V53" i="1" s="1"/>
  <c r="R52" i="1"/>
  <c r="V52" i="1" s="1"/>
  <c r="R51" i="1"/>
  <c r="V51" i="1" s="1"/>
  <c r="R50" i="1"/>
  <c r="V50" i="1" s="1"/>
  <c r="R49" i="1"/>
  <c r="V49" i="1" s="1"/>
  <c r="R48" i="1"/>
  <c r="V48" i="1" s="1"/>
  <c r="R47" i="1"/>
  <c r="V47" i="1" s="1"/>
  <c r="R46" i="1"/>
  <c r="R45" i="1"/>
  <c r="V45" i="1" s="1"/>
  <c r="R44" i="1"/>
  <c r="V44" i="1" s="1"/>
  <c r="R43" i="1"/>
  <c r="V43" i="1" s="1"/>
  <c r="R42" i="1"/>
  <c r="V42" i="1" s="1"/>
  <c r="R41" i="1"/>
  <c r="V41" i="1" s="1"/>
  <c r="R40" i="1"/>
  <c r="V40" i="1" s="1"/>
  <c r="R39" i="1"/>
  <c r="V39" i="1" s="1"/>
  <c r="R38" i="1"/>
  <c r="R37" i="1"/>
  <c r="V37" i="1" s="1"/>
  <c r="R36" i="1"/>
  <c r="V36" i="1" s="1"/>
  <c r="R35" i="1"/>
  <c r="V35" i="1" s="1"/>
  <c r="R34" i="1"/>
  <c r="V34" i="1" s="1"/>
  <c r="R33" i="1"/>
  <c r="V33" i="1" s="1"/>
  <c r="R32" i="1"/>
  <c r="V32" i="1" s="1"/>
  <c r="R31" i="1"/>
  <c r="V31" i="1" s="1"/>
  <c r="R30" i="1"/>
  <c r="R29" i="1"/>
  <c r="V29" i="1" s="1"/>
  <c r="R28" i="1"/>
  <c r="V28" i="1" s="1"/>
  <c r="R27" i="1"/>
  <c r="V27" i="1" s="1"/>
  <c r="R26" i="1"/>
  <c r="V26" i="1" s="1"/>
  <c r="R25" i="1"/>
  <c r="V25" i="1" s="1"/>
  <c r="R24" i="1"/>
  <c r="V24" i="1" s="1"/>
  <c r="R23" i="1"/>
  <c r="V23" i="1" s="1"/>
  <c r="R22" i="1"/>
  <c r="V22" i="1" s="1"/>
  <c r="R21" i="1"/>
  <c r="V21" i="1" s="1"/>
  <c r="R20" i="1"/>
  <c r="V20" i="1" s="1"/>
  <c r="R19" i="1"/>
  <c r="V19" i="1" s="1"/>
  <c r="R18" i="1"/>
  <c r="V18" i="1" s="1"/>
  <c r="R17" i="1"/>
  <c r="V17" i="1" s="1"/>
  <c r="R16" i="1"/>
  <c r="V16" i="1" s="1"/>
  <c r="R15" i="1"/>
  <c r="V15" i="1" s="1"/>
  <c r="R14" i="1"/>
  <c r="V14" i="1" s="1"/>
  <c r="R13" i="1"/>
  <c r="V13" i="1" s="1"/>
  <c r="R12" i="1"/>
  <c r="V12" i="1" s="1"/>
  <c r="R11" i="1"/>
  <c r="V11" i="1" s="1"/>
  <c r="R10" i="1"/>
  <c r="V10" i="1" s="1"/>
  <c r="R9" i="1"/>
  <c r="V9" i="1" s="1"/>
  <c r="L68" i="1"/>
  <c r="L61" i="1"/>
  <c r="L56" i="1"/>
  <c r="L57" i="1" s="1"/>
  <c r="K58" i="1"/>
  <c r="J58" i="1"/>
  <c r="I58" i="1"/>
  <c r="H58" i="1"/>
  <c r="G58" i="1"/>
  <c r="F58" i="1"/>
  <c r="K56" i="1"/>
  <c r="K59" i="1" s="1"/>
  <c r="K64" i="1" s="1"/>
  <c r="J56" i="1"/>
  <c r="J59" i="1" s="1"/>
  <c r="J64" i="1" s="1"/>
  <c r="I56" i="1"/>
  <c r="I59" i="1" s="1"/>
  <c r="I64" i="1" s="1"/>
  <c r="H56" i="1"/>
  <c r="G56" i="1"/>
  <c r="F56" i="1"/>
  <c r="C6" i="2"/>
  <c r="L1" i="2" s="1"/>
  <c r="G6" i="2"/>
  <c r="G5" i="2"/>
  <c r="G4" i="2"/>
  <c r="L59" i="1" l="1"/>
  <c r="L64" i="1" s="1"/>
  <c r="L4" i="2"/>
  <c r="H59" i="1"/>
  <c r="H64" i="1" s="1"/>
  <c r="F59" i="1"/>
  <c r="F64" i="1" s="1"/>
  <c r="G59" i="1"/>
  <c r="G64" i="1" s="1"/>
  <c r="C8" i="2"/>
  <c r="M58" i="1"/>
  <c r="M6" i="1" s="1"/>
  <c r="R56" i="1"/>
  <c r="L2" i="2"/>
  <c r="L8" i="2" s="1"/>
  <c r="I66" i="1" l="1"/>
  <c r="M64" i="1"/>
  <c r="H19" i="2"/>
  <c r="I20" i="2"/>
  <c r="H18" i="2"/>
  <c r="I19" i="2"/>
  <c r="I18" i="2"/>
  <c r="H20" i="2"/>
  <c r="L66" i="1"/>
  <c r="F66" i="1"/>
  <c r="G66" i="1"/>
  <c r="J66" i="1"/>
  <c r="H66" i="1"/>
  <c r="K66" i="1"/>
  <c r="L7" i="2"/>
  <c r="L6" i="2"/>
  <c r="L5" i="2"/>
  <c r="L9" i="2"/>
  <c r="F7" i="3"/>
  <c r="F6" i="3"/>
  <c r="H25" i="2" l="1"/>
  <c r="I27" i="2"/>
  <c r="H27" i="2"/>
  <c r="I26" i="2"/>
  <c r="H26" i="2"/>
  <c r="I25" i="2"/>
  <c r="F20" i="2"/>
  <c r="E20" i="2"/>
  <c r="D20" i="2"/>
  <c r="C20" i="2"/>
  <c r="C18" i="2"/>
  <c r="D18" i="2"/>
  <c r="E19" i="2"/>
  <c r="D19" i="2"/>
  <c r="C19" i="2"/>
  <c r="I7" i="3"/>
  <c r="K61" i="1"/>
  <c r="K63" i="1" s="1"/>
  <c r="J61" i="1"/>
  <c r="J63" i="1" s="1"/>
  <c r="I61" i="1"/>
  <c r="I63" i="1" s="1"/>
  <c r="H61" i="1"/>
  <c r="H63" i="1" s="1"/>
  <c r="G61" i="1"/>
  <c r="G63" i="1" s="1"/>
  <c r="F61" i="1"/>
  <c r="F63" i="1" s="1"/>
  <c r="F68" i="1"/>
  <c r="F71" i="1" s="1"/>
  <c r="K65" i="1" l="1"/>
  <c r="J65" i="1"/>
  <c r="M63" i="1"/>
  <c r="G65" i="1"/>
  <c r="F65" i="1"/>
  <c r="L65" i="1"/>
  <c r="I65" i="1"/>
  <c r="H65" i="1"/>
  <c r="E26" i="2"/>
  <c r="J4" i="1" s="1"/>
  <c r="C26" i="2"/>
  <c r="H4" i="1" s="1"/>
  <c r="D26" i="2"/>
  <c r="I4" i="1" s="1"/>
  <c r="C27" i="2"/>
  <c r="F27" i="2"/>
  <c r="E27" i="2"/>
  <c r="D27" i="2"/>
  <c r="D25" i="2"/>
  <c r="C25" i="2"/>
  <c r="K68" i="1"/>
  <c r="J68" i="1"/>
  <c r="J71" i="1" s="1"/>
  <c r="I68" i="1"/>
  <c r="I71" i="1" s="1"/>
  <c r="H68" i="1"/>
  <c r="H71" i="1" s="1"/>
  <c r="G68" i="1"/>
  <c r="G71" i="1" s="1"/>
  <c r="D6" i="1" l="1"/>
  <c r="K69" i="1"/>
  <c r="J69" i="1"/>
  <c r="I69" i="1"/>
  <c r="H69" i="1"/>
  <c r="G69" i="1"/>
  <c r="F69" i="1" l="1"/>
  <c r="J73" i="1" s="1"/>
  <c r="K57" i="1"/>
  <c r="J57" i="1"/>
  <c r="G57" i="1"/>
  <c r="I57" i="1"/>
  <c r="H57" i="1"/>
  <c r="F57" i="1"/>
  <c r="M57" i="1" l="1"/>
  <c r="I73" i="1"/>
  <c r="I72" i="1"/>
  <c r="F70" i="1"/>
  <c r="G70" i="1"/>
  <c r="H70" i="1"/>
  <c r="I70" i="1"/>
  <c r="G72" i="1"/>
  <c r="J70" i="1"/>
  <c r="H73" i="1"/>
  <c r="K70" i="1"/>
  <c r="G73" i="1"/>
  <c r="F72" i="1"/>
  <c r="H72" i="1"/>
  <c r="J72" i="1"/>
  <c r="E4" i="1" l="1"/>
  <c r="S40" i="1"/>
  <c r="T40" i="1" s="1"/>
  <c r="M31" i="1"/>
  <c r="M42" i="1"/>
  <c r="M18" i="1"/>
  <c r="S24" i="1"/>
  <c r="T24" i="1" s="1"/>
  <c r="U24" i="1" s="1"/>
  <c r="M10" i="1"/>
  <c r="S28" i="1"/>
  <c r="T28" i="1" s="1"/>
  <c r="S26" i="1"/>
  <c r="T26" i="1" s="1"/>
  <c r="U26" i="1" s="1"/>
  <c r="M53" i="1"/>
  <c r="S21" i="1"/>
  <c r="S25" i="1"/>
  <c r="T25" i="1" s="1"/>
  <c r="S9" i="1"/>
  <c r="T9" i="1" s="1"/>
  <c r="S12" i="1"/>
  <c r="T12" i="1" s="1"/>
  <c r="S23" i="1"/>
  <c r="M20" i="1"/>
  <c r="S49" i="1"/>
  <c r="T49" i="1" s="1"/>
  <c r="M54" i="1"/>
  <c r="S42" i="1"/>
  <c r="T42" i="1" s="1"/>
  <c r="S17" i="1"/>
  <c r="T17" i="1" s="1"/>
  <c r="M22" i="1"/>
  <c r="S35" i="1"/>
  <c r="T35" i="1" s="1"/>
  <c r="M28" i="1"/>
  <c r="M15" i="1"/>
  <c r="S48" i="1"/>
  <c r="T48" i="1" s="1"/>
  <c r="S18" i="1"/>
  <c r="S52" i="1"/>
  <c r="S29" i="1"/>
  <c r="T29" i="1" s="1"/>
  <c r="S39" i="1"/>
  <c r="M45" i="1"/>
  <c r="S43" i="1"/>
  <c r="T43" i="1" s="1"/>
  <c r="S20" i="1"/>
  <c r="T20" i="1" s="1"/>
  <c r="M48" i="1"/>
  <c r="S55" i="1"/>
  <c r="S38" i="1"/>
  <c r="M50" i="1"/>
  <c r="M49" i="1"/>
  <c r="S8" i="1"/>
  <c r="M41" i="1"/>
  <c r="S37" i="1"/>
  <c r="M47" i="1"/>
  <c r="M38" i="1"/>
  <c r="M37" i="1"/>
  <c r="M11" i="1"/>
  <c r="S30" i="1"/>
  <c r="T30" i="1" s="1"/>
  <c r="M55" i="1"/>
  <c r="S53" i="1"/>
  <c r="M39" i="1"/>
  <c r="M30" i="1"/>
  <c r="M21" i="1"/>
  <c r="S27" i="1"/>
  <c r="M12" i="1"/>
  <c r="S33" i="1"/>
  <c r="T33" i="1" s="1"/>
  <c r="U33" i="1" s="1"/>
  <c r="S13" i="1"/>
  <c r="S34" i="1"/>
  <c r="M25" i="1"/>
  <c r="S50" i="1"/>
  <c r="T50" i="1" s="1"/>
  <c r="M24" i="1"/>
  <c r="S54" i="1"/>
  <c r="T54" i="1" s="1"/>
  <c r="S15" i="1"/>
  <c r="T15" i="1" s="1"/>
  <c r="S16" i="1"/>
  <c r="M44" i="1"/>
  <c r="S11" i="1"/>
  <c r="T11" i="1" s="1"/>
  <c r="S10" i="1"/>
  <c r="T10" i="1" s="1"/>
  <c r="M17" i="1"/>
  <c r="M19" i="1"/>
  <c r="M16" i="1"/>
  <c r="D4" i="1"/>
  <c r="M66" i="1"/>
  <c r="E6" i="1" s="1"/>
  <c r="S47" i="1"/>
  <c r="T47" i="1" s="1"/>
  <c r="S32" i="1"/>
  <c r="M13" i="1"/>
  <c r="M51" i="1"/>
  <c r="M26" i="1"/>
  <c r="S44" i="1"/>
  <c r="S46" i="1"/>
  <c r="T46" i="1" s="1"/>
  <c r="M43" i="1"/>
  <c r="M32" i="1"/>
  <c r="M23" i="1"/>
  <c r="M46" i="1"/>
  <c r="S22" i="1"/>
  <c r="T22" i="1" s="1"/>
  <c r="S14" i="1"/>
  <c r="T14" i="1" s="1"/>
  <c r="M35" i="1"/>
  <c r="M34" i="1"/>
  <c r="M27" i="1"/>
  <c r="M33" i="1"/>
  <c r="M52" i="1"/>
  <c r="S45" i="1"/>
  <c r="T45" i="1" s="1"/>
  <c r="M8" i="1"/>
  <c r="S31" i="1"/>
  <c r="M14" i="1"/>
  <c r="M29" i="1"/>
  <c r="S41" i="1"/>
  <c r="S51" i="1"/>
  <c r="S19" i="1"/>
  <c r="T19" i="1" s="1"/>
  <c r="M36" i="1"/>
  <c r="S36" i="1"/>
  <c r="T36" i="1" s="1"/>
  <c r="M9" i="1"/>
  <c r="M40" i="1"/>
  <c r="N4" i="1"/>
  <c r="N3" i="1"/>
  <c r="E5" i="3" s="1"/>
  <c r="F5" i="3" s="1"/>
  <c r="I6" i="3" s="1"/>
  <c r="N40" i="1" l="1"/>
  <c r="C40" i="1" s="1"/>
  <c r="N9" i="1"/>
  <c r="C9" i="1" s="1"/>
  <c r="T37" i="1"/>
  <c r="U37" i="1" s="1"/>
  <c r="T8" i="1"/>
  <c r="U8" i="1" s="1"/>
  <c r="T23" i="1"/>
  <c r="U23" i="1" s="1"/>
  <c r="T32" i="1"/>
  <c r="U32" i="1" s="1"/>
  <c r="N15" i="1"/>
  <c r="C15" i="1" s="1"/>
  <c r="T53" i="1"/>
  <c r="U53" i="1" s="1"/>
  <c r="T31" i="1"/>
  <c r="T27" i="1"/>
  <c r="U27" i="1" s="1"/>
  <c r="T44" i="1"/>
  <c r="U44" i="1" s="1"/>
  <c r="T39" i="1"/>
  <c r="U39" i="1" s="1"/>
  <c r="T52" i="1"/>
  <c r="U52" i="1" s="1"/>
  <c r="U22" i="1"/>
  <c r="T18" i="1"/>
  <c r="U18" i="1" s="1"/>
  <c r="T13" i="1"/>
  <c r="U13" i="1" s="1"/>
  <c r="T55" i="1"/>
  <c r="U55" i="1" s="1"/>
  <c r="U10" i="1"/>
  <c r="U40" i="1"/>
  <c r="U49" i="1"/>
  <c r="T16" i="1"/>
  <c r="U16" i="1" s="1"/>
  <c r="T34" i="1"/>
  <c r="U34" i="1" s="1"/>
  <c r="T51" i="1"/>
  <c r="T21" i="1"/>
  <c r="U21" i="1" s="1"/>
  <c r="T38" i="1"/>
  <c r="U38" i="1" s="1"/>
  <c r="T41" i="1"/>
  <c r="U41" i="1" s="1"/>
  <c r="N29" i="1"/>
  <c r="C29" i="1" s="1"/>
  <c r="N18" i="1"/>
  <c r="C18" i="1" s="1"/>
  <c r="U14" i="1"/>
  <c r="U29" i="1"/>
  <c r="U17" i="1"/>
  <c r="U46" i="1"/>
  <c r="U28" i="1"/>
  <c r="N39" i="1"/>
  <c r="C39" i="1" s="1"/>
  <c r="U20" i="1"/>
  <c r="U12" i="1"/>
  <c r="N8" i="1"/>
  <c r="C8" i="1" s="1"/>
  <c r="N46" i="1"/>
  <c r="C46" i="1" s="1"/>
  <c r="N32" i="1"/>
  <c r="C32" i="1" s="1"/>
  <c r="U43" i="1"/>
  <c r="N11" i="1"/>
  <c r="C11" i="1" s="1"/>
  <c r="N41" i="1"/>
  <c r="C41" i="1" s="1"/>
  <c r="N50" i="1"/>
  <c r="C50" i="1" s="1"/>
  <c r="U47" i="1"/>
  <c r="U11" i="1"/>
  <c r="U54" i="1"/>
  <c r="U30" i="1"/>
  <c r="U48" i="1"/>
  <c r="N45" i="1"/>
  <c r="C45" i="1" s="1"/>
  <c r="N37" i="1"/>
  <c r="C37" i="1" s="1"/>
  <c r="U15" i="1"/>
  <c r="N10" i="1"/>
  <c r="C10" i="1" s="1"/>
  <c r="N14" i="1"/>
  <c r="C14" i="1" s="1"/>
  <c r="N33" i="1"/>
  <c r="C33" i="1" s="1"/>
  <c r="N16" i="1"/>
  <c r="C16" i="1" s="1"/>
  <c r="U45" i="1"/>
  <c r="N36" i="1"/>
  <c r="C36" i="1" s="1"/>
  <c r="S56" i="1"/>
  <c r="U50" i="1"/>
  <c r="U9" i="1"/>
  <c r="U19" i="1"/>
  <c r="M56" i="1"/>
  <c r="N51" i="1"/>
  <c r="C51" i="1" s="1"/>
  <c r="U35" i="1"/>
  <c r="U42" i="1"/>
  <c r="U25" i="1"/>
  <c r="N54" i="1"/>
  <c r="C54" i="1" s="1"/>
  <c r="N55" i="1"/>
  <c r="C55" i="1" s="1"/>
  <c r="N28" i="1"/>
  <c r="C28" i="1" s="1"/>
  <c r="N17" i="1"/>
  <c r="C17" i="1" s="1"/>
  <c r="N43" i="1"/>
  <c r="C43" i="1" s="1"/>
  <c r="N31" i="1"/>
  <c r="C31" i="1" s="1"/>
  <c r="N47" i="1"/>
  <c r="C47" i="1" s="1"/>
  <c r="N48" i="1"/>
  <c r="C48" i="1" s="1"/>
  <c r="N21" i="1"/>
  <c r="C21" i="1" s="1"/>
  <c r="N52" i="1"/>
  <c r="C52" i="1" s="1"/>
  <c r="N26" i="1"/>
  <c r="C26" i="1" s="1"/>
  <c r="N35" i="1"/>
  <c r="C35" i="1" s="1"/>
  <c r="N12" i="1"/>
  <c r="C12" i="1" s="1"/>
  <c r="N13" i="1"/>
  <c r="C13" i="1" s="1"/>
  <c r="N38" i="1"/>
  <c r="C38" i="1" s="1"/>
  <c r="N44" i="1"/>
  <c r="C44" i="1" s="1"/>
  <c r="N34" i="1"/>
  <c r="C34" i="1" s="1"/>
  <c r="N24" i="1"/>
  <c r="C24" i="1" s="1"/>
  <c r="N19" i="1"/>
  <c r="C19" i="1" s="1"/>
  <c r="N20" i="1"/>
  <c r="C20" i="1" s="1"/>
  <c r="N53" i="1"/>
  <c r="C53" i="1" s="1"/>
  <c r="N22" i="1"/>
  <c r="C22" i="1" s="1"/>
  <c r="N27" i="1"/>
  <c r="C27" i="1" s="1"/>
  <c r="N23" i="1"/>
  <c r="C23" i="1" s="1"/>
  <c r="N49" i="1"/>
  <c r="C49" i="1" s="1"/>
  <c r="N42" i="1"/>
  <c r="C42" i="1" s="1"/>
  <c r="N30" i="1"/>
  <c r="C30" i="1" s="1"/>
  <c r="N25" i="1"/>
  <c r="C25" i="1" s="1"/>
  <c r="T56" i="1" l="1"/>
  <c r="U31" i="1"/>
  <c r="U36" i="1"/>
  <c r="U51" i="1"/>
  <c r="N56" i="1"/>
  <c r="T58" i="1" l="1"/>
  <c r="U56" i="1"/>
  <c r="E4" i="3"/>
  <c r="F4" i="3" s="1"/>
  <c r="I4" i="3" s="1"/>
  <c r="X55" i="1" l="1"/>
  <c r="X23" i="1"/>
  <c r="Z46" i="1"/>
  <c r="X54" i="1"/>
  <c r="X46" i="1"/>
  <c r="X38" i="1"/>
  <c r="X30" i="1"/>
  <c r="X22" i="1"/>
  <c r="X14" i="1"/>
  <c r="X51" i="1"/>
  <c r="X27" i="1"/>
  <c r="X50" i="1"/>
  <c r="X26" i="1"/>
  <c r="X48" i="1"/>
  <c r="X16" i="1"/>
  <c r="X39" i="1"/>
  <c r="Z13" i="1"/>
  <c r="X53" i="1"/>
  <c r="X45" i="1"/>
  <c r="X37" i="1"/>
  <c r="X29" i="1"/>
  <c r="X21" i="1"/>
  <c r="X13" i="1"/>
  <c r="X43" i="1"/>
  <c r="X35" i="1"/>
  <c r="X10" i="1"/>
  <c r="X40" i="1"/>
  <c r="X8" i="1"/>
  <c r="X47" i="1"/>
  <c r="Z44" i="1"/>
  <c r="X52" i="1"/>
  <c r="X44" i="1"/>
  <c r="X36" i="1"/>
  <c r="X28" i="1"/>
  <c r="X20" i="1"/>
  <c r="X12" i="1"/>
  <c r="X11" i="1"/>
  <c r="X42" i="1"/>
  <c r="X18" i="1"/>
  <c r="X24" i="1"/>
  <c r="X15" i="1"/>
  <c r="X19" i="1"/>
  <c r="X31" i="1"/>
  <c r="Z50" i="1"/>
  <c r="Z18" i="1"/>
  <c r="X34" i="1"/>
  <c r="Z33" i="1"/>
  <c r="X49" i="1"/>
  <c r="X41" i="1"/>
  <c r="X33" i="1"/>
  <c r="X25" i="1"/>
  <c r="X17" i="1"/>
  <c r="X9" i="1"/>
  <c r="Z32" i="1"/>
  <c r="X32" i="1"/>
  <c r="Z15" i="1"/>
  <c r="Y52" i="1"/>
  <c r="Y43" i="1"/>
  <c r="Y35" i="1"/>
  <c r="Y53" i="1"/>
  <c r="Y39" i="1"/>
  <c r="Y29" i="1"/>
  <c r="Y40" i="1"/>
  <c r="Y48" i="1"/>
  <c r="Y36" i="1"/>
  <c r="Y22" i="1"/>
  <c r="Y8" i="1"/>
  <c r="Y21" i="1"/>
  <c r="Y23" i="1"/>
  <c r="Y12" i="1"/>
  <c r="Y20" i="1"/>
  <c r="Y9" i="1"/>
  <c r="Y17" i="1"/>
  <c r="Y41" i="1"/>
  <c r="Y32" i="1"/>
  <c r="Y24" i="1"/>
  <c r="Y28" i="1"/>
  <c r="Y25" i="1"/>
  <c r="Y49" i="1"/>
  <c r="Y34" i="1"/>
  <c r="Y26" i="1"/>
  <c r="Y11" i="1"/>
  <c r="Y37" i="1"/>
  <c r="Y16" i="1"/>
  <c r="Y46" i="1"/>
  <c r="Y19" i="1"/>
  <c r="Y50" i="1"/>
  <c r="Y45" i="1"/>
  <c r="Y31" i="1"/>
  <c r="Y33" i="1"/>
  <c r="Y51" i="1"/>
  <c r="Y44" i="1"/>
  <c r="Y47" i="1"/>
  <c r="Y30" i="1"/>
  <c r="Y38" i="1"/>
  <c r="Y15" i="1"/>
  <c r="Y54" i="1"/>
  <c r="Y14" i="1"/>
  <c r="Y55" i="1"/>
  <c r="Y10" i="1"/>
  <c r="Y13" i="1"/>
  <c r="Y27" i="1"/>
  <c r="Y42" i="1"/>
  <c r="Y18" i="1"/>
  <c r="U58" i="1"/>
  <c r="Z55" i="1" s="1"/>
  <c r="V56" i="1"/>
  <c r="I5" i="3"/>
  <c r="I2" i="3" s="1"/>
  <c r="D10" i="3" s="1"/>
  <c r="F4" i="1" s="1"/>
  <c r="Z41" i="1" l="1"/>
  <c r="Z52" i="1"/>
  <c r="Z35" i="1"/>
  <c r="Z21" i="1"/>
  <c r="Z54" i="1"/>
  <c r="Z16" i="1"/>
  <c r="Z49" i="1"/>
  <c r="Z8" i="1"/>
  <c r="Z29" i="1"/>
  <c r="Z24" i="1"/>
  <c r="Z37" i="1"/>
  <c r="Z19" i="1"/>
  <c r="Z11" i="1"/>
  <c r="Z12" i="1"/>
  <c r="Z45" i="1"/>
  <c r="Z14" i="1"/>
  <c r="Z31" i="1"/>
  <c r="Z40" i="1"/>
  <c r="Z9" i="1"/>
  <c r="Z26" i="1"/>
  <c r="Z51" i="1"/>
  <c r="Z43" i="1"/>
  <c r="Z20" i="1"/>
  <c r="Z53" i="1"/>
  <c r="Z27" i="1"/>
  <c r="Z22" i="1"/>
  <c r="Z39" i="1"/>
  <c r="Z48" i="1"/>
  <c r="Z17" i="1"/>
  <c r="Z34" i="1"/>
  <c r="Z28" i="1"/>
  <c r="Z10" i="1"/>
  <c r="Z30" i="1"/>
  <c r="Z47" i="1"/>
  <c r="Z25" i="1"/>
  <c r="Z42" i="1"/>
  <c r="Z23" i="1"/>
  <c r="Z36" i="1"/>
  <c r="Z38" i="1"/>
  <c r="V58" i="1"/>
  <c r="AA25" i="1"/>
  <c r="AA33" i="1"/>
  <c r="AA41" i="1"/>
  <c r="AA49" i="1"/>
  <c r="AA28" i="1"/>
  <c r="AA52" i="1"/>
  <c r="AA37" i="1"/>
  <c r="AA53" i="1"/>
  <c r="AA40" i="1"/>
  <c r="AA26" i="1"/>
  <c r="AA34" i="1"/>
  <c r="AA42" i="1"/>
  <c r="AA50" i="1"/>
  <c r="AA12" i="1"/>
  <c r="AA44" i="1"/>
  <c r="AA31" i="1"/>
  <c r="AA39" i="1"/>
  <c r="AA47" i="1"/>
  <c r="AA55" i="1"/>
  <c r="AA32" i="1"/>
  <c r="AA48" i="1"/>
  <c r="AA27" i="1"/>
  <c r="AA35" i="1"/>
  <c r="AA43" i="1"/>
  <c r="AA51" i="1"/>
  <c r="AA36" i="1"/>
  <c r="AA13" i="1"/>
  <c r="AA29" i="1"/>
  <c r="AA45" i="1"/>
  <c r="AA30" i="1"/>
  <c r="AA38" i="1"/>
  <c r="AA46" i="1"/>
  <c r="AA54" i="1"/>
  <c r="AA10" i="1"/>
  <c r="AA8" i="1"/>
  <c r="AA19" i="1"/>
  <c r="AA21" i="1"/>
  <c r="AA18" i="1"/>
  <c r="AA9" i="1"/>
  <c r="AA14" i="1"/>
  <c r="AA11" i="1"/>
  <c r="AA24" i="1"/>
  <c r="AA22" i="1"/>
  <c r="AA16" i="1"/>
  <c r="AA20" i="1"/>
  <c r="AA17" i="1"/>
  <c r="AA15" i="1"/>
  <c r="AA23" i="1"/>
  <c r="D11" i="3"/>
</calcChain>
</file>

<file path=xl/sharedStrings.xml><?xml version="1.0" encoding="utf-8"?>
<sst xmlns="http://schemas.openxmlformats.org/spreadsheetml/2006/main" count="186" uniqueCount="160">
  <si>
    <t>City</t>
  </si>
  <si>
    <t>Connection</t>
  </si>
  <si>
    <t>Atlanta</t>
  </si>
  <si>
    <t>Montreal</t>
  </si>
  <si>
    <t>Chicago</t>
  </si>
  <si>
    <t>New York</t>
  </si>
  <si>
    <t>San Francisco</t>
  </si>
  <si>
    <t>Washington</t>
  </si>
  <si>
    <t>Essen</t>
  </si>
  <si>
    <t>London</t>
  </si>
  <si>
    <t>Madrid</t>
  </si>
  <si>
    <t>Milan</t>
  </si>
  <si>
    <t>Paris</t>
  </si>
  <si>
    <t>St. Petersburg</t>
  </si>
  <si>
    <t>#</t>
  </si>
  <si>
    <t>Los Angelas</t>
  </si>
  <si>
    <t>Mexico City</t>
  </si>
  <si>
    <t>Miami</t>
  </si>
  <si>
    <t>Bogota</t>
  </si>
  <si>
    <t>Lima</t>
  </si>
  <si>
    <t>Santiago</t>
  </si>
  <si>
    <t>Buenos Aires</t>
  </si>
  <si>
    <t>Saopaulo</t>
  </si>
  <si>
    <t>Largos</t>
  </si>
  <si>
    <t>Kahartoum</t>
  </si>
  <si>
    <t>Kinshasa</t>
  </si>
  <si>
    <t>Johannesburg</t>
  </si>
  <si>
    <t>Algiers</t>
  </si>
  <si>
    <t>Istanbul</t>
  </si>
  <si>
    <t>Cairo</t>
  </si>
  <si>
    <t>Moscow</t>
  </si>
  <si>
    <t>Baghdad</t>
  </si>
  <si>
    <t>Riyadh</t>
  </si>
  <si>
    <t>Tehran</t>
  </si>
  <si>
    <t>Karachi</t>
  </si>
  <si>
    <t>Delhi</t>
  </si>
  <si>
    <t>Mumbai</t>
  </si>
  <si>
    <t>Chennai</t>
  </si>
  <si>
    <t>Kolkata</t>
  </si>
  <si>
    <t>Bangkok</t>
  </si>
  <si>
    <t>Hong Kong</t>
  </si>
  <si>
    <t>Jakarta</t>
  </si>
  <si>
    <t>Ho Chi Minh City</t>
  </si>
  <si>
    <t>Manila</t>
  </si>
  <si>
    <t>Sydney</t>
  </si>
  <si>
    <t>Shanghai</t>
  </si>
  <si>
    <t>Beijing</t>
  </si>
  <si>
    <t>Seoul</t>
  </si>
  <si>
    <t>Tokoyo</t>
  </si>
  <si>
    <t>Osaka</t>
  </si>
  <si>
    <t>Taipei</t>
  </si>
  <si>
    <t>B2, Y1</t>
  </si>
  <si>
    <t>B3, Y2</t>
  </si>
  <si>
    <t>B3</t>
  </si>
  <si>
    <t>B4</t>
  </si>
  <si>
    <t>B1, Y1, R2</t>
  </si>
  <si>
    <t>B3, Y1</t>
  </si>
  <si>
    <t>B3, Y1, K1</t>
  </si>
  <si>
    <t>B2, K1</t>
  </si>
  <si>
    <t>B4, K1</t>
  </si>
  <si>
    <t>B1, K2</t>
  </si>
  <si>
    <t>Y2, B2, R1</t>
  </si>
  <si>
    <t>Y4, B1</t>
  </si>
  <si>
    <t>Y2, B2</t>
  </si>
  <si>
    <t>Y5</t>
  </si>
  <si>
    <t>Y4</t>
  </si>
  <si>
    <t>Y2</t>
  </si>
  <si>
    <t>Y3, B1</t>
  </si>
  <si>
    <t>Y3</t>
  </si>
  <si>
    <t>Y3, K1</t>
  </si>
  <si>
    <t>K2, B2</t>
  </si>
  <si>
    <t>K4, B2</t>
  </si>
  <si>
    <t>K2, B1</t>
  </si>
  <si>
    <t>K4</t>
  </si>
  <si>
    <t>K4, Y1</t>
  </si>
  <si>
    <t>K5</t>
  </si>
  <si>
    <t>K3</t>
  </si>
  <si>
    <t>K3, R1</t>
  </si>
  <si>
    <t>K2, R2</t>
  </si>
  <si>
    <t>R3, K1</t>
  </si>
  <si>
    <t>R5, K1</t>
  </si>
  <si>
    <t>R4</t>
  </si>
  <si>
    <t>R4, B1</t>
  </si>
  <si>
    <t>R2, Y1</t>
  </si>
  <si>
    <t>R2</t>
  </si>
  <si>
    <t>R3</t>
  </si>
  <si>
    <t>R5</t>
  </si>
  <si>
    <t>R3, B1</t>
  </si>
  <si>
    <t>IsComingSoon</t>
  </si>
  <si>
    <t>IsComingLater</t>
  </si>
  <si>
    <t>Alert</t>
  </si>
  <si>
    <t>IsDiscarded</t>
  </si>
  <si>
    <t>Safe Turns</t>
  </si>
  <si>
    <t>Explosion Turn</t>
  </si>
  <si>
    <t>Total Turns</t>
  </si>
  <si>
    <t>1st Epid</t>
  </si>
  <si>
    <t>2nd Epid</t>
  </si>
  <si>
    <t>3rd Epid</t>
  </si>
  <si>
    <t>4th Epid</t>
  </si>
  <si>
    <t>5th Epid</t>
  </si>
  <si>
    <t>Funded Cards</t>
  </si>
  <si>
    <t>Safe</t>
  </si>
  <si>
    <t xml:space="preserve">Next Explosion </t>
  </si>
  <si>
    <t># Turn</t>
  </si>
  <si>
    <t>Infection Rate</t>
  </si>
  <si>
    <t>Initiated Cities</t>
  </si>
  <si>
    <t>Explosion Coming</t>
  </si>
  <si>
    <t>InfectProb2</t>
  </si>
  <si>
    <t>InfectProb1</t>
  </si>
  <si>
    <t>InfectProb3</t>
  </si>
  <si>
    <t>IsExhausted</t>
  </si>
  <si>
    <t>Is1stBatch</t>
  </si>
  <si>
    <t>Cities (N)</t>
  </si>
  <si>
    <t>Default</t>
  </si>
  <si>
    <t>Infection Rate (M)</t>
  </si>
  <si>
    <t>Full Cities (K)</t>
  </si>
  <si>
    <t>Exact L Explosions</t>
  </si>
  <si>
    <t>At Least L Explosions</t>
  </si>
  <si>
    <t>Explosions (L)</t>
  </si>
  <si>
    <t>Prob.</t>
  </si>
  <si>
    <t>Check</t>
  </si>
  <si>
    <t>N &gt;= M</t>
  </si>
  <si>
    <t>M &gt;= L</t>
  </si>
  <si>
    <t>K &gt;= L</t>
  </si>
  <si>
    <t>N &gt;= K</t>
  </si>
  <si>
    <t>Constraint</t>
  </si>
  <si>
    <t>Final</t>
  </si>
  <si>
    <t>Explostion Cards</t>
  </si>
  <si>
    <t>One Quiet Night</t>
  </si>
  <si>
    <t>IsRemoved</t>
  </si>
  <si>
    <t># of Quiet Nights</t>
  </si>
  <si>
    <t>Initial Hands</t>
  </si>
  <si>
    <t>Population Resilience</t>
  </si>
  <si>
    <t>Active Cities</t>
  </si>
  <si>
    <t>Players</t>
  </si>
  <si>
    <t># Players</t>
  </si>
  <si>
    <t># Explosions</t>
  </si>
  <si>
    <t>Player Deck Group Size</t>
  </si>
  <si>
    <t>IsActive</t>
  </si>
  <si>
    <t>Total Actions</t>
  </si>
  <si>
    <t># Cards</t>
  </si>
  <si>
    <t>ProbAdhoc</t>
  </si>
  <si>
    <t>IsColumnActivated</t>
  </si>
  <si>
    <t>IsExplosionTriggered</t>
  </si>
  <si>
    <t>6th Epid</t>
  </si>
  <si>
    <t>Actions Left</t>
  </si>
  <si>
    <t>Is2ndBatch</t>
  </si>
  <si>
    <t>Is3rdBatch</t>
  </si>
  <si>
    <t>Group Size</t>
  </si>
  <si>
    <t>Cards Left</t>
  </si>
  <si>
    <t>Turns Taken</t>
  </si>
  <si>
    <t>Safe cards left until next explosion</t>
  </si>
  <si>
    <t>Cards drawn</t>
  </si>
  <si>
    <t>Turns since last explosion</t>
  </si>
  <si>
    <t>Player 1</t>
  </si>
  <si>
    <t>Player 2</t>
  </si>
  <si>
    <t>Player 3</t>
  </si>
  <si>
    <t>Player 4</t>
  </si>
  <si>
    <t>EpidProb</t>
  </si>
  <si>
    <t>Pre-Epid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</si>
</sst>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2" fillId="12" borderId="22" applyNumberFormat="0" applyAlignment="0" applyProtection="0"/>
    <xf numFmtId="0" fontId="13" fillId="13" borderId="22" applyNumberFormat="0" applyAlignment="0" applyProtection="0"/>
    <xf numFmtId="0" fontId="10" fillId="14" borderId="23" applyNumberFormat="0" applyFont="0" applyAlignment="0" applyProtection="0"/>
  </cellStyleXfs>
  <cellXfs count="105">
    <xf numFmtId="0" fontId="0" fillId="0" borderId="0" xfId="0"/>
    <xf numFmtId="0" fontId="1" fillId="0" borderId="0" xfId="0" applyFont="1"/>
    <xf numFmtId="0" fontId="0" fillId="0" borderId="3" xfId="0" applyBorder="1"/>
    <xf numFmtId="0" fontId="6" fillId="0" borderId="3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4" xfId="0" applyFont="1" applyFill="1" applyBorder="1"/>
    <xf numFmtId="0" fontId="5" fillId="6" borderId="7" xfId="0" applyFont="1" applyFill="1" applyBorder="1"/>
    <xf numFmtId="0" fontId="5" fillId="4" borderId="7" xfId="0" applyFont="1" applyFill="1" applyBorder="1"/>
    <xf numFmtId="0" fontId="5" fillId="4" borderId="9" xfId="0" applyFont="1" applyFill="1" applyBorder="1"/>
    <xf numFmtId="0" fontId="5" fillId="4" borderId="4" xfId="0" applyFont="1" applyFill="1" applyBorder="1"/>
    <xf numFmtId="0" fontId="1" fillId="3" borderId="7" xfId="0" applyFont="1" applyFill="1" applyBorder="1"/>
    <xf numFmtId="0" fontId="1" fillId="0" borderId="7" xfId="0" applyFont="1" applyBorder="1"/>
    <xf numFmtId="0" fontId="1" fillId="2" borderId="7" xfId="0" applyFont="1" applyFill="1" applyBorder="1"/>
    <xf numFmtId="0" fontId="6" fillId="4" borderId="7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6" fillId="0" borderId="4" xfId="0" applyFont="1" applyBorder="1"/>
    <xf numFmtId="0" fontId="0" fillId="8" borderId="10" xfId="0" applyFill="1" applyBorder="1"/>
    <xf numFmtId="0" fontId="0" fillId="7" borderId="10" xfId="0" applyFill="1" applyBorder="1"/>
    <xf numFmtId="0" fontId="2" fillId="4" borderId="10" xfId="0" applyFont="1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0" xfId="0" applyFont="1"/>
    <xf numFmtId="0" fontId="1" fillId="0" borderId="15" xfId="0" applyFont="1" applyBorder="1"/>
    <xf numFmtId="0" fontId="0" fillId="0" borderId="16" xfId="0" applyBorder="1"/>
    <xf numFmtId="0" fontId="0" fillId="0" borderId="17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19" xfId="0" applyFill="1" applyBorder="1"/>
    <xf numFmtId="0" fontId="6" fillId="0" borderId="2" xfId="0" applyFont="1" applyBorder="1"/>
    <xf numFmtId="0" fontId="8" fillId="0" borderId="5" xfId="0" applyFont="1" applyFill="1" applyBorder="1"/>
    <xf numFmtId="0" fontId="8" fillId="0" borderId="18" xfId="0" applyFont="1" applyFill="1" applyBorder="1"/>
    <xf numFmtId="0" fontId="8" fillId="0" borderId="19" xfId="0" applyFont="1" applyFill="1" applyBorder="1"/>
    <xf numFmtId="0" fontId="0" fillId="5" borderId="20" xfId="0" applyFill="1" applyBorder="1"/>
    <xf numFmtId="0" fontId="0" fillId="8" borderId="20" xfId="0" applyFill="1" applyBorder="1"/>
    <xf numFmtId="0" fontId="0" fillId="7" borderId="20" xfId="0" applyFill="1" applyBorder="1"/>
    <xf numFmtId="0" fontId="2" fillId="4" borderId="20" xfId="0" applyFont="1" applyFill="1" applyBorder="1"/>
    <xf numFmtId="0" fontId="0" fillId="0" borderId="21" xfId="0" applyBorder="1"/>
    <xf numFmtId="0" fontId="9" fillId="0" borderId="0" xfId="0" applyFont="1"/>
    <xf numFmtId="0" fontId="15" fillId="11" borderId="0" xfId="0" applyFont="1" applyFill="1"/>
    <xf numFmtId="0" fontId="16" fillId="11" borderId="0" xfId="0" applyFont="1" applyFill="1"/>
    <xf numFmtId="0" fontId="1" fillId="0" borderId="24" xfId="0" applyFont="1" applyBorder="1"/>
    <xf numFmtId="0" fontId="12" fillId="12" borderId="22" xfId="2"/>
    <xf numFmtId="0" fontId="0" fillId="0" borderId="25" xfId="0" applyBorder="1"/>
    <xf numFmtId="10" fontId="0" fillId="0" borderId="0" xfId="1" applyNumberFormat="1" applyFont="1"/>
    <xf numFmtId="10" fontId="0" fillId="0" borderId="0" xfId="0" applyNumberFormat="1"/>
    <xf numFmtId="0" fontId="0" fillId="14" borderId="23" xfId="4" applyFont="1"/>
    <xf numFmtId="0" fontId="1" fillId="0" borderId="0" xfId="0" applyFont="1" applyFill="1" applyBorder="1"/>
    <xf numFmtId="0" fontId="1" fillId="0" borderId="0" xfId="0" quotePrefix="1" applyFont="1"/>
    <xf numFmtId="10" fontId="8" fillId="0" borderId="0" xfId="0" applyNumberFormat="1" applyFont="1"/>
    <xf numFmtId="0" fontId="11" fillId="14" borderId="28" xfId="4" applyFont="1" applyBorder="1"/>
    <xf numFmtId="0" fontId="11" fillId="14" borderId="30" xfId="4" applyFont="1" applyBorder="1"/>
    <xf numFmtId="0" fontId="12" fillId="12" borderId="31" xfId="2" applyBorder="1"/>
    <xf numFmtId="0" fontId="13" fillId="13" borderId="33" xfId="3" applyBorder="1"/>
    <xf numFmtId="0" fontId="1" fillId="0" borderId="27" xfId="0" applyFont="1" applyBorder="1"/>
    <xf numFmtId="0" fontId="1" fillId="0" borderId="29" xfId="0" applyFont="1" applyBorder="1"/>
    <xf numFmtId="0" fontId="1" fillId="0" borderId="32" xfId="0" applyFont="1" applyBorder="1"/>
    <xf numFmtId="0" fontId="1" fillId="0" borderId="11" xfId="0" applyFont="1" applyBorder="1"/>
    <xf numFmtId="0" fontId="0" fillId="0" borderId="34" xfId="0" applyBorder="1"/>
    <xf numFmtId="0" fontId="0" fillId="0" borderId="35" xfId="0" applyBorder="1"/>
    <xf numFmtId="0" fontId="1" fillId="0" borderId="13" xfId="0" applyFont="1" applyBorder="1"/>
    <xf numFmtId="0" fontId="1" fillId="0" borderId="6" xfId="0" applyFont="1" applyBorder="1"/>
    <xf numFmtId="0" fontId="1" fillId="0" borderId="26" xfId="0" applyFont="1" applyBorder="1"/>
    <xf numFmtId="0" fontId="1" fillId="7" borderId="1" xfId="0" applyFont="1" applyFill="1" applyBorder="1"/>
    <xf numFmtId="0" fontId="13" fillId="13" borderId="22" xfId="3"/>
    <xf numFmtId="0" fontId="17" fillId="4" borderId="36" xfId="2" applyFont="1" applyFill="1" applyBorder="1"/>
    <xf numFmtId="0" fontId="12" fillId="12" borderId="37" xfId="2" applyBorder="1"/>
    <xf numFmtId="0" fontId="12" fillId="12" borderId="38" xfId="2" applyBorder="1"/>
    <xf numFmtId="0" fontId="18" fillId="12" borderId="39" xfId="2" applyFont="1" applyBorder="1"/>
    <xf numFmtId="0" fontId="19" fillId="0" borderId="14" xfId="0" applyFont="1" applyFill="1" applyBorder="1"/>
    <xf numFmtId="0" fontId="19" fillId="0" borderId="40" xfId="0" applyFont="1" applyFill="1" applyBorder="1"/>
    <xf numFmtId="0" fontId="13" fillId="13" borderId="31" xfId="3" applyBorder="1"/>
    <xf numFmtId="0" fontId="1" fillId="0" borderId="41" xfId="0" applyFont="1" applyBorder="1"/>
    <xf numFmtId="0" fontId="1" fillId="0" borderId="35" xfId="0" applyFont="1" applyBorder="1"/>
    <xf numFmtId="0" fontId="20" fillId="0" borderId="0" xfId="0" applyFont="1"/>
    <xf numFmtId="0" fontId="1" fillId="0" borderId="1" xfId="0" applyFont="1" applyBorder="1"/>
    <xf numFmtId="0" fontId="1" fillId="0" borderId="12" xfId="0" applyFont="1" applyBorder="1"/>
    <xf numFmtId="0" fontId="21" fillId="0" borderId="0" xfId="0" applyFont="1"/>
    <xf numFmtId="0" fontId="21" fillId="7" borderId="0" xfId="0" applyFont="1" applyFill="1"/>
    <xf numFmtId="0" fontId="9" fillId="7" borderId="0" xfId="0" applyFont="1" applyFill="1"/>
    <xf numFmtId="0" fontId="4" fillId="0" borderId="43" xfId="0" applyFont="1" applyBorder="1"/>
    <xf numFmtId="0" fontId="1" fillId="10" borderId="42" xfId="0" applyFont="1" applyFill="1" applyBorder="1"/>
    <xf numFmtId="0" fontId="1" fillId="0" borderId="36" xfId="0" applyFont="1" applyBorder="1"/>
    <xf numFmtId="0" fontId="1" fillId="9" borderId="11" xfId="0" applyFont="1" applyFill="1" applyBorder="1"/>
    <xf numFmtId="0" fontId="14" fillId="7" borderId="25" xfId="0" applyFont="1" applyFill="1" applyBorder="1"/>
    <xf numFmtId="0" fontId="1" fillId="0" borderId="34" xfId="0" applyFont="1" applyBorder="1"/>
    <xf numFmtId="0" fontId="1" fillId="7" borderId="32" xfId="0" applyFont="1" applyFill="1" applyBorder="1"/>
    <xf numFmtId="0" fontId="1" fillId="7" borderId="6" xfId="0" applyFont="1" applyFill="1" applyBorder="1"/>
    <xf numFmtId="0" fontId="1" fillId="7" borderId="25" xfId="0" applyFont="1" applyFill="1" applyBorder="1"/>
    <xf numFmtId="0" fontId="1" fillId="15" borderId="41" xfId="0" applyFont="1" applyFill="1" applyBorder="1"/>
    <xf numFmtId="0" fontId="1" fillId="15" borderId="35" xfId="0" applyFont="1" applyFill="1" applyBorder="1"/>
    <xf numFmtId="0" fontId="0" fillId="15" borderId="29" xfId="0" applyFill="1" applyBorder="1"/>
    <xf numFmtId="0" fontId="0" fillId="15" borderId="16" xfId="0" applyFill="1" applyBorder="1"/>
    <xf numFmtId="0" fontId="0" fillId="15" borderId="32" xfId="0" applyFill="1" applyBorder="1"/>
    <xf numFmtId="0" fontId="0" fillId="15" borderId="25" xfId="0" applyFill="1" applyBorder="1"/>
    <xf numFmtId="0" fontId="0" fillId="15" borderId="0" xfId="0" applyFill="1"/>
    <xf numFmtId="0" fontId="1" fillId="15" borderId="0" xfId="0" applyFont="1" applyFill="1"/>
    <xf numFmtId="0" fontId="20" fillId="15" borderId="0" xfId="0" applyFont="1" applyFill="1"/>
    <xf numFmtId="1" fontId="20" fillId="15" borderId="0" xfId="0" applyNumberFormat="1" applyFont="1" applyFill="1"/>
  </cellXfs>
  <cellStyles count="5">
    <cellStyle name="Calculation" xfId="3" builtinId="22"/>
    <cellStyle name="Input" xfId="2" builtinId="20"/>
    <cellStyle name="Normal" xfId="0" builtinId="0"/>
    <cellStyle name="Note" xfId="4" builtinId="1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E7:N55" totalsRowShown="0" headerRowDxfId="4" tableBorderDxfId="3">
  <tableColumns count="10">
    <tableColumn id="1" name="Connection"/>
    <tableColumn id="2" name="Pre-Epid"/>
    <tableColumn id="3" name="1st Epid"/>
    <tableColumn id="4" name="2nd Epid"/>
    <tableColumn id="5" name="3rd Epid"/>
    <tableColumn id="6" name="4th Epid"/>
    <tableColumn id="7" name="5th Epid"/>
    <tableColumn id="10" name="6th Epid"/>
    <tableColumn id="8" name="IsComingSoon" dataDxfId="2">
      <calculatedColumnFormula>IF(AND(IFERROR(HLOOKUP($M$57-1,$F$6:$L$55,ROW()-ROW(M$5),0),"")&lt;&gt;"",HLOOKUP($M$57,$F$6:$L$55,ROW()-ROW(M$5),0)=""),TRUE,FALSE)</calculatedColumnFormula>
    </tableColumn>
    <tableColumn id="9" name="IsComingLater" dataDxfId="1">
      <calculatedColumnFormula>IF(AND($R8,NOT($S8),NOT(表1[[#This Row],[IsComingSoon]])),TRUE,FALSE)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AA73"/>
  <sheetViews>
    <sheetView tabSelected="1" zoomScale="80" zoomScaleNormal="80" workbookViewId="0">
      <selection activeCell="K4" sqref="K4"/>
    </sheetView>
  </sheetViews>
  <sheetFormatPr defaultRowHeight="15" x14ac:dyDescent="0.25"/>
  <cols>
    <col min="1" max="1" width="3.28515625" bestFit="1" customWidth="1"/>
    <col min="4" max="4" width="15.85546875" bestFit="1" customWidth="1"/>
    <col min="5" max="5" width="11.140625" customWidth="1"/>
    <col min="6" max="6" width="10" customWidth="1"/>
    <col min="7" max="7" width="7.85546875" customWidth="1"/>
    <col min="8" max="8" width="8.5703125" customWidth="1"/>
    <col min="9" max="9" width="8.28515625" customWidth="1"/>
    <col min="10" max="10" width="9.28515625" customWidth="1"/>
    <col min="11" max="12" width="8.28515625" customWidth="1"/>
    <col min="13" max="14" width="13.7109375" customWidth="1"/>
    <col min="15" max="15" width="1.7109375" customWidth="1"/>
    <col min="16" max="16" width="11.140625" customWidth="1"/>
    <col min="17" max="17" width="1.7109375" customWidth="1"/>
    <col min="18" max="18" width="9.140625" style="45" hidden="1" customWidth="1"/>
    <col min="19" max="19" width="12.85546875" style="45" hidden="1" customWidth="1"/>
    <col min="20" max="22" width="11.140625" style="45" hidden="1" customWidth="1"/>
    <col min="23" max="23" width="2" customWidth="1"/>
    <col min="24" max="25" width="11.28515625" customWidth="1"/>
    <col min="26" max="26" width="11.28515625" bestFit="1" customWidth="1"/>
    <col min="27" max="27" width="12.28515625" bestFit="1" customWidth="1"/>
  </cols>
  <sheetData>
    <row r="2" spans="1:27" ht="15.75" thickBot="1" x14ac:dyDescent="0.3">
      <c r="H2" s="80">
        <v>2</v>
      </c>
      <c r="I2" s="80">
        <v>3</v>
      </c>
      <c r="J2" s="80">
        <v>4</v>
      </c>
      <c r="K2" s="80">
        <v>5</v>
      </c>
    </row>
    <row r="3" spans="1:27" ht="15.75" thickBot="1" x14ac:dyDescent="0.3">
      <c r="C3" s="81" t="s">
        <v>140</v>
      </c>
      <c r="D3" s="82" t="s">
        <v>102</v>
      </c>
      <c r="E3" s="79" t="s">
        <v>101</v>
      </c>
      <c r="F3" s="53" t="s">
        <v>141</v>
      </c>
      <c r="H3" s="78" t="s">
        <v>154</v>
      </c>
      <c r="I3" s="91" t="s">
        <v>155</v>
      </c>
      <c r="J3" s="91" t="s">
        <v>156</v>
      </c>
      <c r="K3" s="79" t="s">
        <v>157</v>
      </c>
      <c r="M3" s="1" t="s">
        <v>104</v>
      </c>
      <c r="N3" s="70">
        <f>HLOOKUP($M$57,$F$61:$K$62,2,0)</f>
        <v>2</v>
      </c>
    </row>
    <row r="4" spans="1:27" ht="15.75" thickBot="1" x14ac:dyDescent="0.3">
      <c r="D4" s="25">
        <f>HLOOKUP($M$57+1,$F$61:$L$65,5,0)</f>
        <v>8</v>
      </c>
      <c r="E4" s="49">
        <f>HLOOKUP($M$57,$F$61:$L$65,5,0)</f>
        <v>-1</v>
      </c>
      <c r="F4" s="55">
        <f>adhoc!$D$10</f>
        <v>0</v>
      </c>
      <c r="G4" s="28"/>
      <c r="H4" s="92">
        <f>VLOOKUP(static!$C$5,static!$B$25:$F$27,H$2,0)</f>
        <v>6</v>
      </c>
      <c r="I4" s="93">
        <f>VLOOKUP(static!$C$5,static!$B$25:$F$27,I$2,0)</f>
        <v>5</v>
      </c>
      <c r="J4" s="93">
        <f>VLOOKUP(static!$C$5,static!$B$25:$F$27,J$2,0)</f>
        <v>6</v>
      </c>
      <c r="K4" s="94">
        <f>VLOOKUP(static!$C$5,static!$B$25:$F$27,K$2,0)</f>
        <v>0</v>
      </c>
      <c r="L4" s="28"/>
      <c r="M4" s="1" t="s">
        <v>153</v>
      </c>
      <c r="N4" s="70">
        <f>HLOOKUP($M$57,$F$68:$K$73,2,0)</f>
        <v>3</v>
      </c>
    </row>
    <row r="5" spans="1:27" ht="15.75" thickBot="1" x14ac:dyDescent="0.3">
      <c r="D5" s="82" t="s">
        <v>133</v>
      </c>
      <c r="E5" s="79" t="s">
        <v>149</v>
      </c>
      <c r="F5" s="1"/>
      <c r="M5" s="88" t="s">
        <v>136</v>
      </c>
      <c r="R5" s="46"/>
      <c r="X5" s="51"/>
      <c r="Y5" s="51"/>
    </row>
    <row r="6" spans="1:27" ht="15.75" thickBot="1" x14ac:dyDescent="0.3">
      <c r="D6" s="89">
        <f>$R$56</f>
        <v>14</v>
      </c>
      <c r="E6" s="90">
        <f>M63-M66</f>
        <v>34</v>
      </c>
      <c r="F6" s="28">
        <v>0</v>
      </c>
      <c r="G6" s="28">
        <v>1</v>
      </c>
      <c r="H6" s="28">
        <v>2</v>
      </c>
      <c r="I6" s="28">
        <v>3</v>
      </c>
      <c r="J6" s="28">
        <v>4</v>
      </c>
      <c r="K6" s="28">
        <v>5</v>
      </c>
      <c r="L6" s="28">
        <v>6</v>
      </c>
      <c r="M6" s="87">
        <f>$M$58</f>
        <v>1</v>
      </c>
      <c r="P6" s="69" t="s">
        <v>132</v>
      </c>
    </row>
    <row r="7" spans="1:27" x14ac:dyDescent="0.25">
      <c r="B7" s="26" t="s">
        <v>14</v>
      </c>
      <c r="C7" s="35" t="s">
        <v>90</v>
      </c>
      <c r="D7" s="86" t="s">
        <v>0</v>
      </c>
      <c r="E7" s="5" t="s">
        <v>1</v>
      </c>
      <c r="F7" s="5" t="s">
        <v>159</v>
      </c>
      <c r="G7" s="5" t="s">
        <v>95</v>
      </c>
      <c r="H7" s="5" t="s">
        <v>96</v>
      </c>
      <c r="I7" s="5" t="s">
        <v>97</v>
      </c>
      <c r="J7" s="5" t="s">
        <v>98</v>
      </c>
      <c r="K7" s="5" t="s">
        <v>99</v>
      </c>
      <c r="L7" s="5" t="s">
        <v>144</v>
      </c>
      <c r="M7" s="29" t="s">
        <v>88</v>
      </c>
      <c r="N7" s="47" t="s">
        <v>89</v>
      </c>
      <c r="P7" s="71" t="s">
        <v>129</v>
      </c>
      <c r="R7" s="45" t="s">
        <v>138</v>
      </c>
      <c r="S7" s="45" t="s">
        <v>91</v>
      </c>
      <c r="T7" s="45" t="s">
        <v>111</v>
      </c>
      <c r="U7" s="45" t="s">
        <v>146</v>
      </c>
      <c r="V7" s="45" t="s">
        <v>147</v>
      </c>
      <c r="X7" s="1" t="s">
        <v>108</v>
      </c>
      <c r="Y7" s="1" t="s">
        <v>107</v>
      </c>
      <c r="Z7" s="1" t="s">
        <v>109</v>
      </c>
      <c r="AA7" s="1" t="s">
        <v>158</v>
      </c>
    </row>
    <row r="8" spans="1:27" x14ac:dyDescent="0.25">
      <c r="A8">
        <v>1</v>
      </c>
      <c r="B8" s="21">
        <v>1</v>
      </c>
      <c r="C8" s="32">
        <f>IF(表1[[#This Row],[IsComingSoon]],3,IF(表1[[#This Row],[IsComingLater]],2,IF($P8,"Removed",IF(NOT(R8),"Inactive",1))))</f>
        <v>1</v>
      </c>
      <c r="D8" s="7" t="s">
        <v>2</v>
      </c>
      <c r="E8" s="2" t="s">
        <v>51</v>
      </c>
      <c r="F8">
        <v>3</v>
      </c>
      <c r="G8">
        <v>1</v>
      </c>
      <c r="M8" s="2" t="b">
        <f>IF(AND(IFERROR(HLOOKUP($M$57-1,$F$6:$L$55,ROW()-ROW(M$5),0),"")&lt;&gt;"",HLOOKUP($M$57,$F$6:$L$55,ROW()-ROW(M$5),0)=""),TRUE,FALSE)</f>
        <v>0</v>
      </c>
      <c r="N8" s="30" t="b">
        <f>IF(AND($R8,NOT($S8),NOT(表1[[#This Row],[IsComingSoon]])),TRUE,FALSE)</f>
        <v>0</v>
      </c>
      <c r="P8" s="72"/>
      <c r="R8" s="45" t="b">
        <f>IF(NOT($P8),IF(COUNT($F8:$L8)&gt;0,TRUE,FALSE),FALSE)</f>
        <v>1</v>
      </c>
      <c r="S8" s="45" t="b">
        <f t="shared" ref="S8:S22" si="0">IF(HLOOKUP($M$57,$F$6:$L$55,ROW()-ROW($M$5),0)&lt;&gt;"",TRUE,FALSE)</f>
        <v>1</v>
      </c>
      <c r="T8" s="45" t="b">
        <f>IF(AND($R8,HLOOKUP(MAX($M$57-1,0),$F$6:$L$55,ROW()-ROW($M$5),0)&lt;&gt;"",NOT($S8)),TRUE,FALSE)</f>
        <v>0</v>
      </c>
      <c r="U8" s="45" t="b">
        <f>IF(AND(R8,NOT(S8),NOT(T8)),TRUE,FALSE)</f>
        <v>0</v>
      </c>
      <c r="V8" s="45" t="b">
        <f>IF(AND(NOT($R8),NOT($P8)),TRUE,FALSE)</f>
        <v>0</v>
      </c>
      <c r="X8" s="50" t="str">
        <f>IF(AND(NOT($T$58),$T8,NOT($S8)),$N$3/$T$56,"")</f>
        <v/>
      </c>
      <c r="Y8" s="50" t="str">
        <f>IF(AND($T$58,$U8,NOT($S8)),$N$3/$U$56,"")</f>
        <v/>
      </c>
      <c r="Z8" s="50" t="str">
        <f>IF(AND($T$58,,$U$58,$V8),$N$3/$V$56,"")</f>
        <v/>
      </c>
      <c r="AA8" s="50" t="str">
        <f>IF($V8,1/$V$56,"")</f>
        <v/>
      </c>
    </row>
    <row r="9" spans="1:27" x14ac:dyDescent="0.25">
      <c r="A9">
        <v>2</v>
      </c>
      <c r="B9" s="21">
        <v>2</v>
      </c>
      <c r="C9" s="33">
        <f>IF(表1[[#This Row],[IsComingSoon]],3,IF(表1[[#This Row],[IsComingLater]],2,IF($P9,"Removed",IF(NOT(R9),"Inactive",1))))</f>
        <v>1</v>
      </c>
      <c r="D9" s="7" t="s">
        <v>4</v>
      </c>
      <c r="E9" s="2" t="s">
        <v>52</v>
      </c>
      <c r="F9">
        <v>3</v>
      </c>
      <c r="G9">
        <v>1</v>
      </c>
      <c r="M9" s="2" t="b">
        <f t="shared" ref="M9:M55" si="1">IF(AND(IFERROR(HLOOKUP($M$57-1,$F$6:$L$55,ROW()-ROW(M$5),0),"")&lt;&gt;"",HLOOKUP($M$57,$F$6:$L$55,ROW()-ROW(M$5),0)=""),TRUE,FALSE)</f>
        <v>0</v>
      </c>
      <c r="N9" s="30" t="b">
        <f>IF(AND($R9,NOT($S9),NOT(表1[[#This Row],[IsComingSoon]])),TRUE,FALSE)</f>
        <v>0</v>
      </c>
      <c r="P9" s="73"/>
      <c r="R9" s="45" t="b">
        <f t="shared" ref="R9:R55" si="2">IF(NOT($P9),IF(COUNT($F9:$L9)&gt;0,TRUE,FALSE),FALSE)</f>
        <v>1</v>
      </c>
      <c r="S9" s="45" t="b">
        <f t="shared" si="0"/>
        <v>1</v>
      </c>
      <c r="T9" s="45" t="b">
        <f t="shared" ref="T9:T55" si="3">IF(AND($R9,HLOOKUP(MAX($M$57-1,0),$F$6:$L$55,ROW()-ROW($M$5),0)&lt;&gt;"",NOT($S9)),TRUE,FALSE)</f>
        <v>0</v>
      </c>
      <c r="U9" s="45" t="b">
        <f t="shared" ref="U9:U55" si="4">IF(AND(R9,NOT(S9),NOT(T9)),TRUE,FALSE)</f>
        <v>0</v>
      </c>
      <c r="V9" s="45" t="b">
        <f t="shared" ref="V9:V55" si="5">IF(AND(NOT($R9),NOT($P9)),TRUE,FALSE)</f>
        <v>0</v>
      </c>
      <c r="X9" s="50" t="str">
        <f t="shared" ref="X9:X55" si="6">IF(AND(NOT($T$58),$T9,NOT($S9)),$N$3/$T$56,"")</f>
        <v/>
      </c>
      <c r="Y9" s="50" t="str">
        <f t="shared" ref="Y9:Y55" si="7">IF(AND($T$58,$U9,NOT($S9)),$N$3/$U$56,"")</f>
        <v/>
      </c>
      <c r="Z9" s="50" t="str">
        <f t="shared" ref="Z9:Z55" si="8">IF(AND($T$58,,$U$58,$V9),$N$3/$V$56,"")</f>
        <v/>
      </c>
      <c r="AA9" s="50" t="str">
        <f t="shared" ref="AA9:AA55" si="9">IF($V9,1/$V$56,"")</f>
        <v/>
      </c>
    </row>
    <row r="10" spans="1:27" x14ac:dyDescent="0.25">
      <c r="A10">
        <v>3</v>
      </c>
      <c r="B10" s="21">
        <v>3</v>
      </c>
      <c r="C10" s="33">
        <f>IF(表1[[#This Row],[IsComingSoon]],3,IF(表1[[#This Row],[IsComingLater]],2,IF($P10,"Removed",IF(NOT(R10),"Inactive",1))))</f>
        <v>1</v>
      </c>
      <c r="D10" s="7" t="s">
        <v>3</v>
      </c>
      <c r="E10" s="2" t="s">
        <v>53</v>
      </c>
      <c r="F10">
        <v>3</v>
      </c>
      <c r="G10">
        <v>1</v>
      </c>
      <c r="M10" s="2" t="b">
        <f t="shared" si="1"/>
        <v>0</v>
      </c>
      <c r="N10" s="30" t="b">
        <f>IF(AND($R10,NOT($S10),NOT(表1[[#This Row],[IsComingSoon]])),TRUE,FALSE)</f>
        <v>0</v>
      </c>
      <c r="P10" s="73"/>
      <c r="R10" s="45" t="b">
        <f t="shared" si="2"/>
        <v>1</v>
      </c>
      <c r="S10" s="45" t="b">
        <f t="shared" si="0"/>
        <v>1</v>
      </c>
      <c r="T10" s="45" t="b">
        <f t="shared" si="3"/>
        <v>0</v>
      </c>
      <c r="U10" s="45" t="b">
        <f t="shared" si="4"/>
        <v>0</v>
      </c>
      <c r="V10" s="45" t="b">
        <f t="shared" si="5"/>
        <v>0</v>
      </c>
      <c r="X10" s="50" t="str">
        <f t="shared" si="6"/>
        <v/>
      </c>
      <c r="Y10" s="50" t="str">
        <f t="shared" si="7"/>
        <v/>
      </c>
      <c r="Z10" s="50" t="str">
        <f t="shared" si="8"/>
        <v/>
      </c>
      <c r="AA10" s="50" t="str">
        <f t="shared" si="9"/>
        <v/>
      </c>
    </row>
    <row r="11" spans="1:27" x14ac:dyDescent="0.25">
      <c r="A11">
        <v>4</v>
      </c>
      <c r="B11" s="21">
        <v>4</v>
      </c>
      <c r="C11" s="33">
        <f>IF(表1[[#This Row],[IsComingSoon]],3,IF(表1[[#This Row],[IsComingLater]],2,IF($P11,"Removed",IF(NOT(R11),"Inactive",1))))</f>
        <v>1</v>
      </c>
      <c r="D11" s="7" t="s">
        <v>5</v>
      </c>
      <c r="E11" s="3" t="s">
        <v>54</v>
      </c>
      <c r="F11">
        <v>2</v>
      </c>
      <c r="G11">
        <v>1</v>
      </c>
      <c r="M11" s="2" t="b">
        <f t="shared" si="1"/>
        <v>0</v>
      </c>
      <c r="N11" s="30" t="b">
        <f>IF(AND($R11,NOT($S11),NOT(表1[[#This Row],[IsComingSoon]])),TRUE,FALSE)</f>
        <v>0</v>
      </c>
      <c r="P11" s="73"/>
      <c r="R11" s="45" t="b">
        <f t="shared" si="2"/>
        <v>1</v>
      </c>
      <c r="S11" s="45" t="b">
        <f t="shared" si="0"/>
        <v>1</v>
      </c>
      <c r="T11" s="45" t="b">
        <f t="shared" si="3"/>
        <v>0</v>
      </c>
      <c r="U11" s="45" t="b">
        <f t="shared" si="4"/>
        <v>0</v>
      </c>
      <c r="V11" s="45" t="b">
        <f t="shared" si="5"/>
        <v>0</v>
      </c>
      <c r="X11" s="50" t="str">
        <f t="shared" si="6"/>
        <v/>
      </c>
      <c r="Y11" s="50" t="str">
        <f t="shared" si="7"/>
        <v/>
      </c>
      <c r="Z11" s="50" t="str">
        <f t="shared" si="8"/>
        <v/>
      </c>
      <c r="AA11" s="50" t="str">
        <f t="shared" si="9"/>
        <v/>
      </c>
    </row>
    <row r="12" spans="1:27" x14ac:dyDescent="0.25">
      <c r="A12">
        <v>5</v>
      </c>
      <c r="B12" s="21">
        <v>5</v>
      </c>
      <c r="C12" s="33">
        <f>IF(表1[[#This Row],[IsComingSoon]],3,IF(表1[[#This Row],[IsComingLater]],2,IF($P12,"Removed",IF(NOT(R12),"Inactive",1))))</f>
        <v>1</v>
      </c>
      <c r="D12" s="7" t="s">
        <v>6</v>
      </c>
      <c r="E12" s="2" t="s">
        <v>55</v>
      </c>
      <c r="F12">
        <v>2</v>
      </c>
      <c r="G12">
        <v>1</v>
      </c>
      <c r="M12" s="2" t="b">
        <f t="shared" si="1"/>
        <v>0</v>
      </c>
      <c r="N12" s="30" t="b">
        <f>IF(AND($R12,NOT($S12),NOT(表1[[#This Row],[IsComingSoon]])),TRUE,FALSE)</f>
        <v>0</v>
      </c>
      <c r="P12" s="73"/>
      <c r="R12" s="45" t="b">
        <f t="shared" si="2"/>
        <v>1</v>
      </c>
      <c r="S12" s="45" t="b">
        <f t="shared" si="0"/>
        <v>1</v>
      </c>
      <c r="T12" s="45" t="b">
        <f t="shared" si="3"/>
        <v>0</v>
      </c>
      <c r="U12" s="45" t="b">
        <f t="shared" si="4"/>
        <v>0</v>
      </c>
      <c r="V12" s="45" t="b">
        <f t="shared" si="5"/>
        <v>0</v>
      </c>
      <c r="X12" s="50" t="str">
        <f t="shared" si="6"/>
        <v/>
      </c>
      <c r="Y12" s="50" t="str">
        <f t="shared" si="7"/>
        <v/>
      </c>
      <c r="Z12" s="50" t="str">
        <f t="shared" si="8"/>
        <v/>
      </c>
      <c r="AA12" s="50" t="str">
        <f t="shared" si="9"/>
        <v/>
      </c>
    </row>
    <row r="13" spans="1:27" ht="15.75" thickBot="1" x14ac:dyDescent="0.3">
      <c r="A13">
        <v>6</v>
      </c>
      <c r="B13" s="21">
        <v>6</v>
      </c>
      <c r="C13" s="33">
        <f>IF(表1[[#This Row],[IsComingSoon]],3,IF(表1[[#This Row],[IsComingLater]],2,IF($P13,"Removed",IF(NOT(R13),"Inactive",1))))</f>
        <v>1</v>
      </c>
      <c r="D13" s="8" t="s">
        <v>7</v>
      </c>
      <c r="E13" s="2" t="s">
        <v>56</v>
      </c>
      <c r="F13">
        <v>2</v>
      </c>
      <c r="G13">
        <v>1</v>
      </c>
      <c r="M13" s="2" t="b">
        <f t="shared" si="1"/>
        <v>0</v>
      </c>
      <c r="N13" s="30" t="b">
        <f>IF(AND($R13,NOT($S13),NOT(表1[[#This Row],[IsComingSoon]])),TRUE,FALSE)</f>
        <v>0</v>
      </c>
      <c r="P13" s="73"/>
      <c r="R13" s="45" t="b">
        <f t="shared" si="2"/>
        <v>1</v>
      </c>
      <c r="S13" s="45" t="b">
        <f t="shared" si="0"/>
        <v>1</v>
      </c>
      <c r="T13" s="45" t="b">
        <f t="shared" si="3"/>
        <v>0</v>
      </c>
      <c r="U13" s="45" t="b">
        <f t="shared" si="4"/>
        <v>0</v>
      </c>
      <c r="V13" s="45" t="b">
        <f t="shared" si="5"/>
        <v>0</v>
      </c>
      <c r="X13" s="50" t="str">
        <f t="shared" si="6"/>
        <v/>
      </c>
      <c r="Y13" s="50" t="str">
        <f t="shared" si="7"/>
        <v/>
      </c>
      <c r="Z13" s="50" t="str">
        <f t="shared" si="8"/>
        <v/>
      </c>
      <c r="AA13" s="50" t="str">
        <f t="shared" si="9"/>
        <v/>
      </c>
    </row>
    <row r="14" spans="1:27" x14ac:dyDescent="0.25">
      <c r="A14">
        <v>7</v>
      </c>
      <c r="B14" s="21">
        <v>7</v>
      </c>
      <c r="C14" s="33">
        <f>IF(表1[[#This Row],[IsComingSoon]],3,IF(表1[[#This Row],[IsComingLater]],2,IF($P14,"Removed",IF(NOT(R14),"Inactive",1))))</f>
        <v>3</v>
      </c>
      <c r="D14" s="9" t="s">
        <v>8</v>
      </c>
      <c r="E14" s="3" t="s">
        <v>54</v>
      </c>
      <c r="F14">
        <v>1</v>
      </c>
      <c r="M14" s="2" t="b">
        <f t="shared" si="1"/>
        <v>1</v>
      </c>
      <c r="N14" s="30" t="b">
        <f>IF(AND($R14,NOT($S14),NOT(表1[[#This Row],[IsComingSoon]])),TRUE,FALSE)</f>
        <v>0</v>
      </c>
      <c r="P14" s="73"/>
      <c r="R14" s="45" t="b">
        <f t="shared" si="2"/>
        <v>1</v>
      </c>
      <c r="S14" s="45" t="b">
        <f t="shared" si="0"/>
        <v>0</v>
      </c>
      <c r="T14" s="45" t="b">
        <f t="shared" si="3"/>
        <v>1</v>
      </c>
      <c r="U14" s="45" t="b">
        <f t="shared" si="4"/>
        <v>0</v>
      </c>
      <c r="V14" s="45" t="b">
        <f t="shared" si="5"/>
        <v>0</v>
      </c>
      <c r="X14" s="50">
        <f t="shared" si="6"/>
        <v>0.25</v>
      </c>
      <c r="Y14" s="50" t="str">
        <f t="shared" si="7"/>
        <v/>
      </c>
      <c r="Z14" s="50" t="str">
        <f t="shared" si="8"/>
        <v/>
      </c>
      <c r="AA14" s="50" t="str">
        <f t="shared" si="9"/>
        <v/>
      </c>
    </row>
    <row r="15" spans="1:27" x14ac:dyDescent="0.25">
      <c r="A15">
        <v>8</v>
      </c>
      <c r="B15" s="21">
        <v>8</v>
      </c>
      <c r="C15" s="33">
        <f>IF(表1[[#This Row],[IsComingSoon]],3,IF(表1[[#This Row],[IsComingLater]],2,IF($P15,"Removed",IF(NOT(R15),"Inactive",1))))</f>
        <v>3</v>
      </c>
      <c r="D15" s="7" t="s">
        <v>9</v>
      </c>
      <c r="E15" s="3" t="s">
        <v>54</v>
      </c>
      <c r="F15">
        <v>1</v>
      </c>
      <c r="M15" s="2" t="b">
        <f t="shared" si="1"/>
        <v>1</v>
      </c>
      <c r="N15" s="30" t="b">
        <f>IF(AND($R15,NOT($S15),NOT(表1[[#This Row],[IsComingSoon]])),TRUE,FALSE)</f>
        <v>0</v>
      </c>
      <c r="P15" s="73"/>
      <c r="R15" s="45" t="b">
        <f t="shared" si="2"/>
        <v>1</v>
      </c>
      <c r="S15" s="45" t="b">
        <f t="shared" si="0"/>
        <v>0</v>
      </c>
      <c r="T15" s="45" t="b">
        <f t="shared" si="3"/>
        <v>1</v>
      </c>
      <c r="U15" s="45" t="b">
        <f t="shared" si="4"/>
        <v>0</v>
      </c>
      <c r="V15" s="45" t="b">
        <f t="shared" si="5"/>
        <v>0</v>
      </c>
      <c r="X15" s="50">
        <f t="shared" si="6"/>
        <v>0.25</v>
      </c>
      <c r="Y15" s="50" t="str">
        <f t="shared" si="7"/>
        <v/>
      </c>
      <c r="Z15" s="50" t="str">
        <f t="shared" si="8"/>
        <v/>
      </c>
      <c r="AA15" s="50" t="str">
        <f t="shared" si="9"/>
        <v/>
      </c>
    </row>
    <row r="16" spans="1:27" x14ac:dyDescent="0.25">
      <c r="A16">
        <v>9</v>
      </c>
      <c r="B16" s="21">
        <v>9</v>
      </c>
      <c r="C16" s="33">
        <f>IF(表1[[#This Row],[IsComingSoon]],3,IF(表1[[#This Row],[IsComingLater]],2,IF($P16,"Removed",IF(NOT(R16),"Inactive",1))))</f>
        <v>3</v>
      </c>
      <c r="D16" s="7" t="s">
        <v>10</v>
      </c>
      <c r="E16" s="2" t="s">
        <v>57</v>
      </c>
      <c r="F16">
        <v>1</v>
      </c>
      <c r="M16" s="2" t="b">
        <f t="shared" si="1"/>
        <v>1</v>
      </c>
      <c r="N16" s="30" t="b">
        <f>IF(AND($R16,NOT($S16),NOT(表1[[#This Row],[IsComingSoon]])),TRUE,FALSE)</f>
        <v>0</v>
      </c>
      <c r="P16" s="73"/>
      <c r="R16" s="45" t="b">
        <f t="shared" si="2"/>
        <v>1</v>
      </c>
      <c r="S16" s="45" t="b">
        <f t="shared" si="0"/>
        <v>0</v>
      </c>
      <c r="T16" s="45" t="b">
        <f t="shared" si="3"/>
        <v>1</v>
      </c>
      <c r="U16" s="45" t="b">
        <f t="shared" si="4"/>
        <v>0</v>
      </c>
      <c r="V16" s="45" t="b">
        <f t="shared" si="5"/>
        <v>0</v>
      </c>
      <c r="X16" s="50">
        <f t="shared" si="6"/>
        <v>0.25</v>
      </c>
      <c r="Y16" s="50" t="str">
        <f t="shared" si="7"/>
        <v/>
      </c>
      <c r="Z16" s="50" t="str">
        <f t="shared" si="8"/>
        <v/>
      </c>
      <c r="AA16" s="50" t="str">
        <f t="shared" si="9"/>
        <v/>
      </c>
    </row>
    <row r="17" spans="1:27" x14ac:dyDescent="0.25">
      <c r="A17">
        <v>10</v>
      </c>
      <c r="B17" s="21">
        <v>10</v>
      </c>
      <c r="C17" s="33">
        <f>IF(表1[[#This Row],[IsComingSoon]],3,IF(表1[[#This Row],[IsComingLater]],2,IF($P17,"Removed",IF(NOT(R17),"Inactive",1))))</f>
        <v>3</v>
      </c>
      <c r="D17" s="7" t="s">
        <v>11</v>
      </c>
      <c r="E17" s="2" t="s">
        <v>58</v>
      </c>
      <c r="F17">
        <v>1</v>
      </c>
      <c r="M17" s="2" t="b">
        <f t="shared" si="1"/>
        <v>1</v>
      </c>
      <c r="N17" s="30" t="b">
        <f>IF(AND($R17,NOT($S17),NOT(表1[[#This Row],[IsComingSoon]])),TRUE,FALSE)</f>
        <v>0</v>
      </c>
      <c r="P17" s="73"/>
      <c r="R17" s="45" t="b">
        <f t="shared" si="2"/>
        <v>1</v>
      </c>
      <c r="S17" s="45" t="b">
        <f t="shared" si="0"/>
        <v>0</v>
      </c>
      <c r="T17" s="45" t="b">
        <f t="shared" si="3"/>
        <v>1</v>
      </c>
      <c r="U17" s="45" t="b">
        <f t="shared" si="4"/>
        <v>0</v>
      </c>
      <c r="V17" s="45" t="b">
        <f t="shared" si="5"/>
        <v>0</v>
      </c>
      <c r="X17" s="50">
        <f t="shared" si="6"/>
        <v>0.25</v>
      </c>
      <c r="Y17" s="50" t="str">
        <f t="shared" si="7"/>
        <v/>
      </c>
      <c r="Z17" s="50" t="str">
        <f t="shared" si="8"/>
        <v/>
      </c>
      <c r="AA17" s="50" t="str">
        <f t="shared" si="9"/>
        <v/>
      </c>
    </row>
    <row r="18" spans="1:27" x14ac:dyDescent="0.25">
      <c r="A18">
        <v>11</v>
      </c>
      <c r="B18" s="21">
        <v>11</v>
      </c>
      <c r="C18" s="33">
        <f>IF(表1[[#This Row],[IsComingSoon]],3,IF(表1[[#This Row],[IsComingLater]],2,IF($P18,"Removed",IF(NOT(R18),"Inactive",1))))</f>
        <v>3</v>
      </c>
      <c r="D18" s="7" t="s">
        <v>12</v>
      </c>
      <c r="E18" s="3" t="s">
        <v>59</v>
      </c>
      <c r="F18">
        <v>1</v>
      </c>
      <c r="M18" s="2" t="b">
        <f t="shared" si="1"/>
        <v>1</v>
      </c>
      <c r="N18" s="30" t="b">
        <f>IF(AND($R18,NOT($S18),NOT(表1[[#This Row],[IsComingSoon]])),TRUE,FALSE)</f>
        <v>0</v>
      </c>
      <c r="P18" s="73"/>
      <c r="R18" s="45" t="b">
        <f t="shared" si="2"/>
        <v>1</v>
      </c>
      <c r="S18" s="45" t="b">
        <f t="shared" si="0"/>
        <v>0</v>
      </c>
      <c r="T18" s="45" t="b">
        <f t="shared" si="3"/>
        <v>1</v>
      </c>
      <c r="U18" s="45" t="b">
        <f t="shared" si="4"/>
        <v>0</v>
      </c>
      <c r="V18" s="45" t="b">
        <f t="shared" si="5"/>
        <v>0</v>
      </c>
      <c r="X18" s="50">
        <f t="shared" si="6"/>
        <v>0.25</v>
      </c>
      <c r="Y18" s="50" t="str">
        <f t="shared" si="7"/>
        <v/>
      </c>
      <c r="Z18" s="50" t="str">
        <f t="shared" si="8"/>
        <v/>
      </c>
      <c r="AA18" s="50" t="str">
        <f t="shared" si="9"/>
        <v/>
      </c>
    </row>
    <row r="19" spans="1:27" x14ac:dyDescent="0.25">
      <c r="A19">
        <v>12</v>
      </c>
      <c r="B19" s="40">
        <v>12</v>
      </c>
      <c r="C19" s="34">
        <f>IF(表1[[#This Row],[IsComingSoon]],3,IF(表1[[#This Row],[IsComingLater]],2,IF($P19,"Removed",IF(NOT(R19),"Inactive",1))))</f>
        <v>3</v>
      </c>
      <c r="D19" s="7" t="s">
        <v>13</v>
      </c>
      <c r="E19" s="2" t="s">
        <v>60</v>
      </c>
      <c r="F19">
        <v>1</v>
      </c>
      <c r="M19" s="2" t="b">
        <f t="shared" si="1"/>
        <v>1</v>
      </c>
      <c r="N19" s="30" t="b">
        <f>IF(AND($R19,NOT($S19),NOT(表1[[#This Row],[IsComingSoon]])),TRUE,FALSE)</f>
        <v>0</v>
      </c>
      <c r="P19" s="73"/>
      <c r="R19" s="45" t="b">
        <f t="shared" si="2"/>
        <v>1</v>
      </c>
      <c r="S19" s="45" t="b">
        <f t="shared" si="0"/>
        <v>0</v>
      </c>
      <c r="T19" s="45" t="b">
        <f t="shared" si="3"/>
        <v>1</v>
      </c>
      <c r="U19" s="45" t="b">
        <f t="shared" si="4"/>
        <v>0</v>
      </c>
      <c r="V19" s="45" t="b">
        <f t="shared" si="5"/>
        <v>0</v>
      </c>
      <c r="X19" s="50">
        <f t="shared" si="6"/>
        <v>0.25</v>
      </c>
      <c r="Y19" s="50" t="str">
        <f t="shared" si="7"/>
        <v/>
      </c>
      <c r="Z19" s="50" t="str">
        <f t="shared" si="8"/>
        <v/>
      </c>
      <c r="AA19" s="50" t="str">
        <f t="shared" si="9"/>
        <v/>
      </c>
    </row>
    <row r="20" spans="1:27" x14ac:dyDescent="0.25">
      <c r="A20">
        <v>13</v>
      </c>
      <c r="B20" s="22">
        <v>1</v>
      </c>
      <c r="C20" s="31">
        <f>IF(表1[[#This Row],[IsComingSoon]],3,IF(表1[[#This Row],[IsComingLater]],2,IF($P20,"Removed",IF(NOT(R20),"Inactive",1))))</f>
        <v>3</v>
      </c>
      <c r="D20" s="10" t="s">
        <v>15</v>
      </c>
      <c r="E20" s="2" t="s">
        <v>61</v>
      </c>
      <c r="F20">
        <v>1</v>
      </c>
      <c r="M20" s="2" t="b">
        <f t="shared" si="1"/>
        <v>1</v>
      </c>
      <c r="N20" s="30" t="b">
        <f>IF(AND($R20,NOT($S20),NOT(表1[[#This Row],[IsComingSoon]])),TRUE,FALSE)</f>
        <v>0</v>
      </c>
      <c r="P20" s="73"/>
      <c r="R20" s="45" t="b">
        <f t="shared" si="2"/>
        <v>1</v>
      </c>
      <c r="S20" s="45" t="b">
        <f t="shared" si="0"/>
        <v>0</v>
      </c>
      <c r="T20" s="45" t="b">
        <f t="shared" si="3"/>
        <v>1</v>
      </c>
      <c r="U20" s="45" t="b">
        <f t="shared" si="4"/>
        <v>0</v>
      </c>
      <c r="V20" s="45" t="b">
        <f t="shared" si="5"/>
        <v>0</v>
      </c>
      <c r="X20" s="50">
        <f t="shared" si="6"/>
        <v>0.25</v>
      </c>
      <c r="Y20" s="50" t="str">
        <f t="shared" si="7"/>
        <v/>
      </c>
      <c r="Z20" s="50" t="str">
        <f t="shared" si="8"/>
        <v/>
      </c>
      <c r="AA20" s="50" t="str">
        <f t="shared" si="9"/>
        <v/>
      </c>
    </row>
    <row r="21" spans="1:27" x14ac:dyDescent="0.25">
      <c r="A21">
        <v>14</v>
      </c>
      <c r="B21" s="22">
        <v>2</v>
      </c>
      <c r="C21" s="31">
        <f>IF(表1[[#This Row],[IsComingSoon]],3,IF(表1[[#This Row],[IsComingLater]],2,IF($P21,"Removed",IF(NOT(R21),"Inactive",1))))</f>
        <v>3</v>
      </c>
      <c r="D21" s="10" t="s">
        <v>16</v>
      </c>
      <c r="E21" s="3" t="s">
        <v>62</v>
      </c>
      <c r="F21">
        <v>3</v>
      </c>
      <c r="M21" s="2" t="b">
        <f t="shared" si="1"/>
        <v>1</v>
      </c>
      <c r="N21" s="30" t="b">
        <f>IF(AND($R21,NOT($S21),NOT(表1[[#This Row],[IsComingSoon]])),TRUE,FALSE)</f>
        <v>0</v>
      </c>
      <c r="P21" s="73"/>
      <c r="R21" s="45" t="b">
        <f t="shared" si="2"/>
        <v>1</v>
      </c>
      <c r="S21" s="45" t="b">
        <f t="shared" si="0"/>
        <v>0</v>
      </c>
      <c r="T21" s="45" t="b">
        <f t="shared" si="3"/>
        <v>1</v>
      </c>
      <c r="U21" s="45" t="b">
        <f t="shared" si="4"/>
        <v>0</v>
      </c>
      <c r="V21" s="45" t="b">
        <f t="shared" si="5"/>
        <v>0</v>
      </c>
      <c r="X21" s="50">
        <f t="shared" si="6"/>
        <v>0.25</v>
      </c>
      <c r="Y21" s="50" t="str">
        <f t="shared" si="7"/>
        <v/>
      </c>
      <c r="Z21" s="50" t="str">
        <f t="shared" si="8"/>
        <v/>
      </c>
      <c r="AA21" s="50" t="str">
        <f t="shared" si="9"/>
        <v/>
      </c>
    </row>
    <row r="22" spans="1:27" x14ac:dyDescent="0.25">
      <c r="A22">
        <v>15</v>
      </c>
      <c r="B22" s="22">
        <v>3</v>
      </c>
      <c r="C22" s="31" t="str">
        <f>IF(表1[[#This Row],[IsComingSoon]],3,IF(表1[[#This Row],[IsComingLater]],2,IF($P22,"Removed",IF(NOT(R22),"Inactive",1))))</f>
        <v>Inactive</v>
      </c>
      <c r="D22" s="10" t="s">
        <v>17</v>
      </c>
      <c r="E22" s="2" t="s">
        <v>63</v>
      </c>
      <c r="M22" s="2" t="b">
        <f t="shared" si="1"/>
        <v>0</v>
      </c>
      <c r="N22" s="30" t="b">
        <f>IF(AND($R22,NOT($S22),NOT(表1[[#This Row],[IsComingSoon]])),TRUE,FALSE)</f>
        <v>0</v>
      </c>
      <c r="P22" s="73"/>
      <c r="R22" s="45" t="b">
        <f t="shared" si="2"/>
        <v>0</v>
      </c>
      <c r="S22" s="45" t="b">
        <f t="shared" si="0"/>
        <v>0</v>
      </c>
      <c r="T22" s="45" t="b">
        <f t="shared" si="3"/>
        <v>0</v>
      </c>
      <c r="U22" s="45" t="b">
        <f t="shared" si="4"/>
        <v>0</v>
      </c>
      <c r="V22" s="45" t="b">
        <f t="shared" si="5"/>
        <v>1</v>
      </c>
      <c r="X22" s="50" t="str">
        <f t="shared" si="6"/>
        <v/>
      </c>
      <c r="Y22" s="50" t="str">
        <f t="shared" si="7"/>
        <v/>
      </c>
      <c r="Z22" s="50" t="str">
        <f t="shared" si="8"/>
        <v/>
      </c>
      <c r="AA22" s="50">
        <f t="shared" si="9"/>
        <v>2.9411764705882353E-2</v>
      </c>
    </row>
    <row r="23" spans="1:27" x14ac:dyDescent="0.25">
      <c r="A23">
        <v>16</v>
      </c>
      <c r="B23" s="22">
        <v>4</v>
      </c>
      <c r="C23" s="31" t="str">
        <f>IF(表1[[#This Row],[IsComingSoon]],3,IF(表1[[#This Row],[IsComingLater]],2,IF($P23,"Removed",IF(NOT(R23),"Inactive",1))))</f>
        <v>Inactive</v>
      </c>
      <c r="D23" s="11" t="s">
        <v>18</v>
      </c>
      <c r="E23" s="3" t="s">
        <v>64</v>
      </c>
      <c r="M23" s="2" t="b">
        <f t="shared" si="1"/>
        <v>0</v>
      </c>
      <c r="N23" s="30" t="b">
        <f>IF(AND($R23,NOT($S23),NOT(表1[[#This Row],[IsComingSoon]])),TRUE,FALSE)</f>
        <v>0</v>
      </c>
      <c r="P23" s="73"/>
      <c r="R23" s="45" t="b">
        <f t="shared" si="2"/>
        <v>0</v>
      </c>
      <c r="S23" s="45" t="b">
        <f t="shared" ref="S23:S55" si="10">IF(HLOOKUP($M$57,$F$6:$L$55,ROW()-ROW($M$5),0)&lt;&gt;"",TRUE,FALSE)</f>
        <v>0</v>
      </c>
      <c r="T23" s="45" t="b">
        <f t="shared" si="3"/>
        <v>0</v>
      </c>
      <c r="U23" s="45" t="b">
        <f t="shared" si="4"/>
        <v>0</v>
      </c>
      <c r="V23" s="45" t="b">
        <f t="shared" si="5"/>
        <v>1</v>
      </c>
      <c r="X23" s="50" t="str">
        <f t="shared" si="6"/>
        <v/>
      </c>
      <c r="Y23" s="50" t="str">
        <f t="shared" si="7"/>
        <v/>
      </c>
      <c r="Z23" s="50" t="str">
        <f t="shared" si="8"/>
        <v/>
      </c>
      <c r="AA23" s="50">
        <f t="shared" si="9"/>
        <v>2.9411764705882353E-2</v>
      </c>
    </row>
    <row r="24" spans="1:27" x14ac:dyDescent="0.25">
      <c r="A24">
        <v>17</v>
      </c>
      <c r="B24" s="22">
        <v>5</v>
      </c>
      <c r="C24" s="31" t="str">
        <f>IF(表1[[#This Row],[IsComingSoon]],3,IF(表1[[#This Row],[IsComingLater]],2,IF($P24,"Removed",IF(NOT(R24),"Inactive",1))))</f>
        <v>Inactive</v>
      </c>
      <c r="D24" s="11" t="s">
        <v>21</v>
      </c>
      <c r="E24" s="3" t="s">
        <v>65</v>
      </c>
      <c r="M24" s="2" t="b">
        <f t="shared" si="1"/>
        <v>0</v>
      </c>
      <c r="N24" s="30" t="b">
        <f>IF(AND($R24,NOT($S24),NOT(表1[[#This Row],[IsComingSoon]])),TRUE,FALSE)</f>
        <v>0</v>
      </c>
      <c r="P24" s="73"/>
      <c r="R24" s="45" t="b">
        <f t="shared" si="2"/>
        <v>0</v>
      </c>
      <c r="S24" s="45" t="b">
        <f t="shared" si="10"/>
        <v>0</v>
      </c>
      <c r="T24" s="45" t="b">
        <f t="shared" si="3"/>
        <v>0</v>
      </c>
      <c r="U24" s="45" t="b">
        <f t="shared" si="4"/>
        <v>0</v>
      </c>
      <c r="V24" s="45" t="b">
        <f t="shared" si="5"/>
        <v>1</v>
      </c>
      <c r="X24" s="50" t="str">
        <f t="shared" si="6"/>
        <v/>
      </c>
      <c r="Y24" s="50" t="str">
        <f t="shared" si="7"/>
        <v/>
      </c>
      <c r="Z24" s="50" t="str">
        <f t="shared" si="8"/>
        <v/>
      </c>
      <c r="AA24" s="50">
        <f t="shared" si="9"/>
        <v>2.9411764705882353E-2</v>
      </c>
    </row>
    <row r="25" spans="1:27" x14ac:dyDescent="0.25">
      <c r="A25">
        <v>18</v>
      </c>
      <c r="B25" s="22">
        <v>6</v>
      </c>
      <c r="C25" s="31" t="str">
        <f>IF(表1[[#This Row],[IsComingSoon]],3,IF(表1[[#This Row],[IsComingLater]],2,IF($P25,"Removed",IF(NOT(R25),"Inactive",1))))</f>
        <v>Inactive</v>
      </c>
      <c r="D25" s="11" t="s">
        <v>19</v>
      </c>
      <c r="E25" s="3" t="s">
        <v>65</v>
      </c>
      <c r="M25" s="2" t="b">
        <f t="shared" si="1"/>
        <v>0</v>
      </c>
      <c r="N25" s="30" t="b">
        <f>IF(AND($R25,NOT($S25),NOT(表1[[#This Row],[IsComingSoon]])),TRUE,FALSE)</f>
        <v>0</v>
      </c>
      <c r="P25" s="73"/>
      <c r="R25" s="45" t="b">
        <f t="shared" si="2"/>
        <v>0</v>
      </c>
      <c r="S25" s="45" t="b">
        <f t="shared" si="10"/>
        <v>0</v>
      </c>
      <c r="T25" s="45" t="b">
        <f t="shared" si="3"/>
        <v>0</v>
      </c>
      <c r="U25" s="45" t="b">
        <f t="shared" si="4"/>
        <v>0</v>
      </c>
      <c r="V25" s="45" t="b">
        <f t="shared" si="5"/>
        <v>1</v>
      </c>
      <c r="X25" s="50" t="str">
        <f t="shared" si="6"/>
        <v/>
      </c>
      <c r="Y25" s="50" t="str">
        <f t="shared" si="7"/>
        <v/>
      </c>
      <c r="Z25" s="50" t="str">
        <f t="shared" si="8"/>
        <v/>
      </c>
      <c r="AA25" s="50">
        <f t="shared" si="9"/>
        <v>2.9411764705882353E-2</v>
      </c>
    </row>
    <row r="26" spans="1:27" x14ac:dyDescent="0.25">
      <c r="A26">
        <v>19</v>
      </c>
      <c r="B26" s="22">
        <v>7</v>
      </c>
      <c r="C26" s="31" t="str">
        <f>IF(表1[[#This Row],[IsComingSoon]],3,IF(表1[[#This Row],[IsComingLater]],2,IF($P26,"Removed",IF(NOT(R26),"Inactive",1))))</f>
        <v>Inactive</v>
      </c>
      <c r="D26" s="11" t="s">
        <v>20</v>
      </c>
      <c r="E26" s="2" t="s">
        <v>66</v>
      </c>
      <c r="M26" s="2" t="b">
        <f t="shared" si="1"/>
        <v>0</v>
      </c>
      <c r="N26" s="30" t="b">
        <f>IF(AND($R26,NOT($S26),NOT(表1[[#This Row],[IsComingSoon]])),TRUE,FALSE)</f>
        <v>0</v>
      </c>
      <c r="P26" s="73"/>
      <c r="R26" s="45" t="b">
        <f t="shared" si="2"/>
        <v>0</v>
      </c>
      <c r="S26" s="45" t="b">
        <f t="shared" si="10"/>
        <v>0</v>
      </c>
      <c r="T26" s="45" t="b">
        <f t="shared" si="3"/>
        <v>0</v>
      </c>
      <c r="U26" s="45" t="b">
        <f t="shared" si="4"/>
        <v>0</v>
      </c>
      <c r="V26" s="45" t="b">
        <f t="shared" si="5"/>
        <v>1</v>
      </c>
      <c r="X26" s="50" t="str">
        <f t="shared" si="6"/>
        <v/>
      </c>
      <c r="Y26" s="50" t="str">
        <f t="shared" si="7"/>
        <v/>
      </c>
      <c r="Z26" s="50" t="str">
        <f t="shared" si="8"/>
        <v/>
      </c>
      <c r="AA26" s="50">
        <f t="shared" si="9"/>
        <v>2.9411764705882353E-2</v>
      </c>
    </row>
    <row r="27" spans="1:27" ht="15.75" thickBot="1" x14ac:dyDescent="0.3">
      <c r="A27">
        <v>20</v>
      </c>
      <c r="B27" s="22">
        <v>8</v>
      </c>
      <c r="C27" s="31" t="str">
        <f>IF(表1[[#This Row],[IsComingSoon]],3,IF(表1[[#This Row],[IsComingLater]],2,IF($P27,"Removed",IF(NOT(R27),"Inactive",1))))</f>
        <v>Inactive</v>
      </c>
      <c r="D27" s="12" t="s">
        <v>22</v>
      </c>
      <c r="E27" s="2" t="s">
        <v>67</v>
      </c>
      <c r="M27" s="2" t="b">
        <f t="shared" si="1"/>
        <v>0</v>
      </c>
      <c r="N27" s="30" t="b">
        <f>IF(AND($R27,NOT($S27),NOT(表1[[#This Row],[IsComingSoon]])),TRUE,FALSE)</f>
        <v>0</v>
      </c>
      <c r="P27" s="73"/>
      <c r="R27" s="45" t="b">
        <f t="shared" si="2"/>
        <v>0</v>
      </c>
      <c r="S27" s="45" t="b">
        <f t="shared" si="10"/>
        <v>0</v>
      </c>
      <c r="T27" s="45" t="b">
        <f t="shared" si="3"/>
        <v>0</v>
      </c>
      <c r="U27" s="45" t="b">
        <f t="shared" si="4"/>
        <v>0</v>
      </c>
      <c r="V27" s="45" t="b">
        <f t="shared" si="5"/>
        <v>1</v>
      </c>
      <c r="X27" s="50" t="str">
        <f t="shared" si="6"/>
        <v/>
      </c>
      <c r="Y27" s="50" t="str">
        <f t="shared" si="7"/>
        <v/>
      </c>
      <c r="Z27" s="50" t="str">
        <f t="shared" si="8"/>
        <v/>
      </c>
      <c r="AA27" s="50">
        <f t="shared" si="9"/>
        <v>2.9411764705882353E-2</v>
      </c>
    </row>
    <row r="28" spans="1:27" x14ac:dyDescent="0.25">
      <c r="A28">
        <v>21</v>
      </c>
      <c r="B28" s="22">
        <v>9</v>
      </c>
      <c r="C28" s="31" t="str">
        <f>IF(表1[[#This Row],[IsComingSoon]],3,IF(表1[[#This Row],[IsComingLater]],2,IF($P28,"Removed",IF(NOT(R28),"Inactive",1))))</f>
        <v>Inactive</v>
      </c>
      <c r="D28" s="13" t="s">
        <v>26</v>
      </c>
      <c r="E28" s="2" t="s">
        <v>68</v>
      </c>
      <c r="M28" s="2" t="b">
        <f t="shared" si="1"/>
        <v>0</v>
      </c>
      <c r="N28" s="30" t="b">
        <f>IF(AND($R28,NOT($S28),NOT(表1[[#This Row],[IsComingSoon]])),TRUE,FALSE)</f>
        <v>0</v>
      </c>
      <c r="P28" s="73"/>
      <c r="R28" s="45" t="b">
        <f t="shared" si="2"/>
        <v>0</v>
      </c>
      <c r="S28" s="45" t="b">
        <f t="shared" si="10"/>
        <v>0</v>
      </c>
      <c r="T28" s="45" t="b">
        <f t="shared" si="3"/>
        <v>0</v>
      </c>
      <c r="U28" s="45" t="b">
        <f t="shared" si="4"/>
        <v>0</v>
      </c>
      <c r="V28" s="45" t="b">
        <f t="shared" si="5"/>
        <v>1</v>
      </c>
      <c r="X28" s="50" t="str">
        <f t="shared" si="6"/>
        <v/>
      </c>
      <c r="Y28" s="50" t="str">
        <f t="shared" si="7"/>
        <v/>
      </c>
      <c r="Z28" s="50" t="str">
        <f t="shared" si="8"/>
        <v/>
      </c>
      <c r="AA28" s="50">
        <f t="shared" si="9"/>
        <v>2.9411764705882353E-2</v>
      </c>
    </row>
    <row r="29" spans="1:27" x14ac:dyDescent="0.25">
      <c r="A29">
        <v>22</v>
      </c>
      <c r="B29" s="22">
        <v>10</v>
      </c>
      <c r="C29" s="31" t="str">
        <f>IF(表1[[#This Row],[IsComingSoon]],3,IF(表1[[#This Row],[IsComingLater]],2,IF($P29,"Removed",IF(NOT(R29),"Inactive",1))))</f>
        <v>Inactive</v>
      </c>
      <c r="D29" s="11" t="s">
        <v>24</v>
      </c>
      <c r="E29" s="2" t="s">
        <v>69</v>
      </c>
      <c r="M29" s="2" t="b">
        <f t="shared" si="1"/>
        <v>0</v>
      </c>
      <c r="N29" s="30" t="b">
        <f>IF(AND($R29,NOT($S29),NOT(表1[[#This Row],[IsComingSoon]])),TRUE,FALSE)</f>
        <v>0</v>
      </c>
      <c r="P29" s="73"/>
      <c r="R29" s="45" t="b">
        <f t="shared" si="2"/>
        <v>0</v>
      </c>
      <c r="S29" s="45" t="b">
        <f t="shared" si="10"/>
        <v>0</v>
      </c>
      <c r="T29" s="45" t="b">
        <f t="shared" si="3"/>
        <v>0</v>
      </c>
      <c r="U29" s="45" t="b">
        <f t="shared" si="4"/>
        <v>0</v>
      </c>
      <c r="V29" s="45" t="b">
        <f t="shared" si="5"/>
        <v>1</v>
      </c>
      <c r="X29" s="50" t="str">
        <f t="shared" si="6"/>
        <v/>
      </c>
      <c r="Y29" s="50" t="str">
        <f t="shared" si="7"/>
        <v/>
      </c>
      <c r="Z29" s="50" t="str">
        <f t="shared" si="8"/>
        <v/>
      </c>
      <c r="AA29" s="50">
        <f t="shared" si="9"/>
        <v>2.9411764705882353E-2</v>
      </c>
    </row>
    <row r="30" spans="1:27" x14ac:dyDescent="0.25">
      <c r="A30">
        <v>23</v>
      </c>
      <c r="B30" s="22">
        <v>11</v>
      </c>
      <c r="C30" s="31" t="str">
        <f>IF(表1[[#This Row],[IsComingSoon]],3,IF(表1[[#This Row],[IsComingLater]],2,IF($P30,"Removed",IF(NOT(R30),"Inactive",1))))</f>
        <v>Inactive</v>
      </c>
      <c r="D30" s="11" t="s">
        <v>25</v>
      </c>
      <c r="E30" s="2" t="s">
        <v>68</v>
      </c>
      <c r="M30" s="2" t="b">
        <f t="shared" si="1"/>
        <v>0</v>
      </c>
      <c r="N30" s="30" t="b">
        <f>IF(AND($R30,NOT($S30),NOT(表1[[#This Row],[IsComingSoon]])),TRUE,FALSE)</f>
        <v>0</v>
      </c>
      <c r="P30" s="73"/>
      <c r="R30" s="45" t="b">
        <f t="shared" si="2"/>
        <v>0</v>
      </c>
      <c r="S30" s="45" t="b">
        <f t="shared" si="10"/>
        <v>0</v>
      </c>
      <c r="T30" s="45" t="b">
        <f t="shared" si="3"/>
        <v>0</v>
      </c>
      <c r="U30" s="45" t="b">
        <f t="shared" si="4"/>
        <v>0</v>
      </c>
      <c r="V30" s="45" t="b">
        <f t="shared" si="5"/>
        <v>1</v>
      </c>
      <c r="X30" s="50" t="str">
        <f t="shared" si="6"/>
        <v/>
      </c>
      <c r="Y30" s="50" t="str">
        <f t="shared" si="7"/>
        <v/>
      </c>
      <c r="Z30" s="50" t="str">
        <f t="shared" si="8"/>
        <v/>
      </c>
      <c r="AA30" s="50">
        <f t="shared" si="9"/>
        <v>2.9411764705882353E-2</v>
      </c>
    </row>
    <row r="31" spans="1:27" x14ac:dyDescent="0.25">
      <c r="A31">
        <v>24</v>
      </c>
      <c r="B31" s="41">
        <v>12</v>
      </c>
      <c r="C31" s="31" t="str">
        <f>IF(表1[[#This Row],[IsComingSoon]],3,IF(表1[[#This Row],[IsComingLater]],2,IF($P31,"Removed",IF(NOT(R31),"Inactive",1))))</f>
        <v>Inactive</v>
      </c>
      <c r="D31" s="11" t="s">
        <v>23</v>
      </c>
      <c r="E31" s="2" t="s">
        <v>68</v>
      </c>
      <c r="M31" s="2" t="b">
        <f t="shared" si="1"/>
        <v>0</v>
      </c>
      <c r="N31" s="30" t="b">
        <f>IF(AND($R31,NOT($S31),NOT(表1[[#This Row],[IsComingSoon]])),TRUE,FALSE)</f>
        <v>0</v>
      </c>
      <c r="P31" s="73"/>
      <c r="R31" s="45" t="b">
        <f t="shared" si="2"/>
        <v>0</v>
      </c>
      <c r="S31" s="45" t="b">
        <f t="shared" si="10"/>
        <v>0</v>
      </c>
      <c r="T31" s="45" t="b">
        <f t="shared" si="3"/>
        <v>0</v>
      </c>
      <c r="U31" s="45" t="b">
        <f t="shared" si="4"/>
        <v>0</v>
      </c>
      <c r="V31" s="45" t="b">
        <f t="shared" si="5"/>
        <v>1</v>
      </c>
      <c r="X31" s="50" t="str">
        <f t="shared" si="6"/>
        <v/>
      </c>
      <c r="Y31" s="50" t="str">
        <f t="shared" si="7"/>
        <v/>
      </c>
      <c r="Z31" s="50" t="str">
        <f t="shared" si="8"/>
        <v/>
      </c>
      <c r="AA31" s="50">
        <f t="shared" si="9"/>
        <v>2.9411764705882353E-2</v>
      </c>
    </row>
    <row r="32" spans="1:27" x14ac:dyDescent="0.25">
      <c r="A32">
        <v>25</v>
      </c>
      <c r="B32" s="23">
        <v>1</v>
      </c>
      <c r="C32" s="36" t="str">
        <f>IF(表1[[#This Row],[IsComingSoon]],3,IF(表1[[#This Row],[IsComingLater]],2,IF($P32,"Removed",IF(NOT(R32),"Inactive",1))))</f>
        <v>Inactive</v>
      </c>
      <c r="D32" s="14" t="s">
        <v>27</v>
      </c>
      <c r="E32" s="2" t="s">
        <v>70</v>
      </c>
      <c r="M32" s="2" t="b">
        <f t="shared" si="1"/>
        <v>0</v>
      </c>
      <c r="N32" s="30" t="b">
        <f>IF(AND($R32,NOT($S32),NOT(表1[[#This Row],[IsComingSoon]])),TRUE,FALSE)</f>
        <v>0</v>
      </c>
      <c r="P32" s="73"/>
      <c r="R32" s="45" t="b">
        <f t="shared" si="2"/>
        <v>0</v>
      </c>
      <c r="S32" s="45" t="b">
        <f t="shared" si="10"/>
        <v>0</v>
      </c>
      <c r="T32" s="45" t="b">
        <f t="shared" si="3"/>
        <v>0</v>
      </c>
      <c r="U32" s="45" t="b">
        <f t="shared" si="4"/>
        <v>0</v>
      </c>
      <c r="V32" s="45" t="b">
        <f t="shared" si="5"/>
        <v>1</v>
      </c>
      <c r="X32" s="50" t="str">
        <f t="shared" si="6"/>
        <v/>
      </c>
      <c r="Y32" s="50" t="str">
        <f t="shared" si="7"/>
        <v/>
      </c>
      <c r="Z32" s="50" t="str">
        <f t="shared" si="8"/>
        <v/>
      </c>
      <c r="AA32" s="50">
        <f t="shared" si="9"/>
        <v>2.9411764705882353E-2</v>
      </c>
    </row>
    <row r="33" spans="1:27" x14ac:dyDescent="0.25">
      <c r="A33">
        <v>26</v>
      </c>
      <c r="B33" s="23">
        <v>2</v>
      </c>
      <c r="C33" s="37" t="str">
        <f>IF(表1[[#This Row],[IsComingSoon]],3,IF(表1[[#This Row],[IsComingLater]],2,IF($P33,"Removed",IF(NOT(R33),"Inactive",1))))</f>
        <v>Inactive</v>
      </c>
      <c r="D33" s="14" t="s">
        <v>28</v>
      </c>
      <c r="E33" s="3" t="s">
        <v>71</v>
      </c>
      <c r="M33" s="2" t="b">
        <f t="shared" si="1"/>
        <v>0</v>
      </c>
      <c r="N33" s="30" t="b">
        <f>IF(AND($R33,NOT($S33),NOT(表1[[#This Row],[IsComingSoon]])),TRUE,FALSE)</f>
        <v>0</v>
      </c>
      <c r="P33" s="73"/>
      <c r="R33" s="45" t="b">
        <f t="shared" si="2"/>
        <v>0</v>
      </c>
      <c r="S33" s="45" t="b">
        <f t="shared" si="10"/>
        <v>0</v>
      </c>
      <c r="T33" s="45" t="b">
        <f t="shared" si="3"/>
        <v>0</v>
      </c>
      <c r="U33" s="45" t="b">
        <f t="shared" si="4"/>
        <v>0</v>
      </c>
      <c r="V33" s="45" t="b">
        <f t="shared" si="5"/>
        <v>1</v>
      </c>
      <c r="X33" s="50" t="str">
        <f t="shared" si="6"/>
        <v/>
      </c>
      <c r="Y33" s="50" t="str">
        <f t="shared" si="7"/>
        <v/>
      </c>
      <c r="Z33" s="50" t="str">
        <f t="shared" si="8"/>
        <v/>
      </c>
      <c r="AA33" s="50">
        <f t="shared" si="9"/>
        <v>2.9411764705882353E-2</v>
      </c>
    </row>
    <row r="34" spans="1:27" x14ac:dyDescent="0.25">
      <c r="A34">
        <v>27</v>
      </c>
      <c r="B34" s="23">
        <v>3</v>
      </c>
      <c r="C34" s="37" t="str">
        <f>IF(表1[[#This Row],[IsComingSoon]],3,IF(表1[[#This Row],[IsComingLater]],2,IF($P34,"Removed",IF(NOT(R34),"Inactive",1))))</f>
        <v>Inactive</v>
      </c>
      <c r="D34" s="14" t="s">
        <v>30</v>
      </c>
      <c r="E34" s="2" t="s">
        <v>72</v>
      </c>
      <c r="M34" s="2" t="b">
        <f t="shared" si="1"/>
        <v>0</v>
      </c>
      <c r="N34" s="30" t="b">
        <f>IF(AND($R34,NOT($S34),NOT(表1[[#This Row],[IsComingSoon]])),TRUE,FALSE)</f>
        <v>0</v>
      </c>
      <c r="P34" s="73"/>
      <c r="R34" s="45" t="b">
        <f t="shared" si="2"/>
        <v>0</v>
      </c>
      <c r="S34" s="45" t="b">
        <f t="shared" si="10"/>
        <v>0</v>
      </c>
      <c r="T34" s="45" t="b">
        <f t="shared" si="3"/>
        <v>0</v>
      </c>
      <c r="U34" s="45" t="b">
        <f t="shared" si="4"/>
        <v>0</v>
      </c>
      <c r="V34" s="45" t="b">
        <f t="shared" si="5"/>
        <v>1</v>
      </c>
      <c r="X34" s="50" t="str">
        <f t="shared" si="6"/>
        <v/>
      </c>
      <c r="Y34" s="50" t="str">
        <f t="shared" si="7"/>
        <v/>
      </c>
      <c r="Z34" s="50" t="str">
        <f t="shared" si="8"/>
        <v/>
      </c>
      <c r="AA34" s="50">
        <f t="shared" si="9"/>
        <v>2.9411764705882353E-2</v>
      </c>
    </row>
    <row r="35" spans="1:27" x14ac:dyDescent="0.25">
      <c r="A35">
        <v>28</v>
      </c>
      <c r="B35" s="23">
        <v>4</v>
      </c>
      <c r="C35" s="37" t="str">
        <f>IF(表1[[#This Row],[IsComingSoon]],3,IF(表1[[#This Row],[IsComingLater]],2,IF($P35,"Removed",IF(NOT(R35),"Inactive",1))))</f>
        <v>Inactive</v>
      </c>
      <c r="D35" s="15" t="s">
        <v>31</v>
      </c>
      <c r="E35" s="3" t="s">
        <v>73</v>
      </c>
      <c r="M35" s="2" t="b">
        <f t="shared" si="1"/>
        <v>0</v>
      </c>
      <c r="N35" s="30" t="b">
        <f>IF(AND($R35,NOT($S35),NOT(表1[[#This Row],[IsComingSoon]])),TRUE,FALSE)</f>
        <v>0</v>
      </c>
      <c r="P35" s="73"/>
      <c r="R35" s="45" t="b">
        <f t="shared" si="2"/>
        <v>0</v>
      </c>
      <c r="S35" s="45" t="b">
        <f t="shared" si="10"/>
        <v>0</v>
      </c>
      <c r="T35" s="45" t="b">
        <f t="shared" si="3"/>
        <v>0</v>
      </c>
      <c r="U35" s="45" t="b">
        <f t="shared" si="4"/>
        <v>0</v>
      </c>
      <c r="V35" s="45" t="b">
        <f t="shared" si="5"/>
        <v>1</v>
      </c>
      <c r="X35" s="50" t="str">
        <f t="shared" si="6"/>
        <v/>
      </c>
      <c r="Y35" s="50" t="str">
        <f t="shared" si="7"/>
        <v/>
      </c>
      <c r="Z35" s="50" t="str">
        <f t="shared" si="8"/>
        <v/>
      </c>
      <c r="AA35" s="50">
        <f t="shared" si="9"/>
        <v>2.9411764705882353E-2</v>
      </c>
    </row>
    <row r="36" spans="1:27" x14ac:dyDescent="0.25">
      <c r="A36">
        <v>29</v>
      </c>
      <c r="B36" s="23">
        <v>5</v>
      </c>
      <c r="C36" s="37" t="str">
        <f>IF(表1[[#This Row],[IsComingSoon]],3,IF(表1[[#This Row],[IsComingLater]],2,IF($P36,"Removed",IF(NOT(R36),"Inactive",1))))</f>
        <v>Inactive</v>
      </c>
      <c r="D36" s="15" t="s">
        <v>29</v>
      </c>
      <c r="E36" s="3" t="s">
        <v>74</v>
      </c>
      <c r="M36" s="2" t="b">
        <f t="shared" si="1"/>
        <v>0</v>
      </c>
      <c r="N36" s="30" t="b">
        <f>IF(AND($R36,NOT($S36),NOT(表1[[#This Row],[IsComingSoon]])),TRUE,FALSE)</f>
        <v>0</v>
      </c>
      <c r="P36" s="73"/>
      <c r="R36" s="45" t="b">
        <f t="shared" si="2"/>
        <v>0</v>
      </c>
      <c r="S36" s="45" t="b">
        <f t="shared" si="10"/>
        <v>0</v>
      </c>
      <c r="T36" s="45" t="b">
        <f t="shared" si="3"/>
        <v>0</v>
      </c>
      <c r="U36" s="45" t="b">
        <f t="shared" si="4"/>
        <v>0</v>
      </c>
      <c r="V36" s="45" t="b">
        <f t="shared" si="5"/>
        <v>1</v>
      </c>
      <c r="X36" s="50" t="str">
        <f t="shared" si="6"/>
        <v/>
      </c>
      <c r="Y36" s="50" t="str">
        <f t="shared" si="7"/>
        <v/>
      </c>
      <c r="Z36" s="50" t="str">
        <f t="shared" si="8"/>
        <v/>
      </c>
      <c r="AA36" s="50">
        <f t="shared" si="9"/>
        <v>2.9411764705882353E-2</v>
      </c>
    </row>
    <row r="37" spans="1:27" x14ac:dyDescent="0.25">
      <c r="A37">
        <v>30</v>
      </c>
      <c r="B37" s="23">
        <v>6</v>
      </c>
      <c r="C37" s="37" t="str">
        <f>IF(表1[[#This Row],[IsComingSoon]],3,IF(表1[[#This Row],[IsComingLater]],2,IF($P37,"Removed",IF(NOT(R37),"Inactive",1))))</f>
        <v>Inactive</v>
      </c>
      <c r="D37" s="15" t="s">
        <v>35</v>
      </c>
      <c r="E37" s="3" t="s">
        <v>75</v>
      </c>
      <c r="M37" s="2" t="b">
        <f t="shared" si="1"/>
        <v>0</v>
      </c>
      <c r="N37" s="30" t="b">
        <f>IF(AND($R37,NOT($S37),NOT(表1[[#This Row],[IsComingSoon]])),TRUE,FALSE)</f>
        <v>0</v>
      </c>
      <c r="P37" s="73"/>
      <c r="R37" s="45" t="b">
        <f t="shared" si="2"/>
        <v>0</v>
      </c>
      <c r="S37" s="45" t="b">
        <f t="shared" si="10"/>
        <v>0</v>
      </c>
      <c r="T37" s="45" t="b">
        <f t="shared" si="3"/>
        <v>0</v>
      </c>
      <c r="U37" s="45" t="b">
        <f t="shared" si="4"/>
        <v>0</v>
      </c>
      <c r="V37" s="45" t="b">
        <f t="shared" si="5"/>
        <v>1</v>
      </c>
      <c r="X37" s="50" t="str">
        <f t="shared" si="6"/>
        <v/>
      </c>
      <c r="Y37" s="50" t="str">
        <f t="shared" si="7"/>
        <v/>
      </c>
      <c r="Z37" s="50" t="str">
        <f t="shared" si="8"/>
        <v/>
      </c>
      <c r="AA37" s="50">
        <f t="shared" si="9"/>
        <v>2.9411764705882353E-2</v>
      </c>
    </row>
    <row r="38" spans="1:27" x14ac:dyDescent="0.25">
      <c r="A38">
        <v>31</v>
      </c>
      <c r="B38" s="23">
        <v>7</v>
      </c>
      <c r="C38" s="37" t="str">
        <f>IF(表1[[#This Row],[IsComingSoon]],3,IF(表1[[#This Row],[IsComingLater]],2,IF($P38,"Removed",IF(NOT(R38),"Inactive",1))))</f>
        <v>Inactive</v>
      </c>
      <c r="D38" s="15" t="s">
        <v>34</v>
      </c>
      <c r="E38" s="3" t="s">
        <v>73</v>
      </c>
      <c r="M38" s="2" t="b">
        <f t="shared" si="1"/>
        <v>0</v>
      </c>
      <c r="N38" s="30" t="b">
        <f>IF(AND($R38,NOT($S38),NOT(表1[[#This Row],[IsComingSoon]])),TRUE,FALSE)</f>
        <v>0</v>
      </c>
      <c r="P38" s="73"/>
      <c r="R38" s="45" t="b">
        <f t="shared" si="2"/>
        <v>0</v>
      </c>
      <c r="S38" s="45" t="b">
        <f t="shared" si="10"/>
        <v>0</v>
      </c>
      <c r="T38" s="45" t="b">
        <f t="shared" si="3"/>
        <v>0</v>
      </c>
      <c r="U38" s="45" t="b">
        <f t="shared" si="4"/>
        <v>0</v>
      </c>
      <c r="V38" s="45" t="b">
        <f t="shared" si="5"/>
        <v>1</v>
      </c>
      <c r="X38" s="50" t="str">
        <f t="shared" si="6"/>
        <v/>
      </c>
      <c r="Y38" s="50" t="str">
        <f t="shared" si="7"/>
        <v/>
      </c>
      <c r="Z38" s="50" t="str">
        <f t="shared" si="8"/>
        <v/>
      </c>
      <c r="AA38" s="50">
        <f t="shared" si="9"/>
        <v>2.9411764705882353E-2</v>
      </c>
    </row>
    <row r="39" spans="1:27" x14ac:dyDescent="0.25">
      <c r="A39">
        <v>32</v>
      </c>
      <c r="B39" s="23">
        <v>8</v>
      </c>
      <c r="C39" s="37" t="str">
        <f>IF(表1[[#This Row],[IsComingSoon]],3,IF(表1[[#This Row],[IsComingLater]],2,IF($P39,"Removed",IF(NOT(R39),"Inactive",1))))</f>
        <v>Inactive</v>
      </c>
      <c r="D39" s="15" t="s">
        <v>36</v>
      </c>
      <c r="E39" s="2" t="s">
        <v>76</v>
      </c>
      <c r="M39" s="2" t="b">
        <f t="shared" si="1"/>
        <v>0</v>
      </c>
      <c r="N39" s="30" t="b">
        <f>IF(AND($R39,NOT($S39),NOT(表1[[#This Row],[IsComingSoon]])),TRUE,FALSE)</f>
        <v>0</v>
      </c>
      <c r="P39" s="73"/>
      <c r="R39" s="45" t="b">
        <f t="shared" si="2"/>
        <v>0</v>
      </c>
      <c r="S39" s="45" t="b">
        <f t="shared" si="10"/>
        <v>0</v>
      </c>
      <c r="T39" s="45" t="b">
        <f t="shared" si="3"/>
        <v>0</v>
      </c>
      <c r="U39" s="45" t="b">
        <f t="shared" si="4"/>
        <v>0</v>
      </c>
      <c r="V39" s="45" t="b">
        <f t="shared" si="5"/>
        <v>1</v>
      </c>
      <c r="X39" s="50" t="str">
        <f t="shared" si="6"/>
        <v/>
      </c>
      <c r="Y39" s="50" t="str">
        <f t="shared" si="7"/>
        <v/>
      </c>
      <c r="Z39" s="50" t="str">
        <f t="shared" si="8"/>
        <v/>
      </c>
      <c r="AA39" s="50">
        <f t="shared" si="9"/>
        <v>2.9411764705882353E-2</v>
      </c>
    </row>
    <row r="40" spans="1:27" x14ac:dyDescent="0.25">
      <c r="A40">
        <v>33</v>
      </c>
      <c r="B40" s="23">
        <v>9</v>
      </c>
      <c r="C40" s="37" t="str">
        <f>IF(表1[[#This Row],[IsComingSoon]],3,IF(表1[[#This Row],[IsComingLater]],2,IF($P40,"Removed",IF(NOT(R40),"Inactive",1))))</f>
        <v>Inactive</v>
      </c>
      <c r="D40" s="15" t="s">
        <v>32</v>
      </c>
      <c r="E40" s="2" t="s">
        <v>76</v>
      </c>
      <c r="M40" s="2" t="b">
        <f t="shared" si="1"/>
        <v>0</v>
      </c>
      <c r="N40" s="30" t="b">
        <f>IF(AND($R40,NOT($S40),NOT(表1[[#This Row],[IsComingSoon]])),TRUE,FALSE)</f>
        <v>0</v>
      </c>
      <c r="P40" s="73"/>
      <c r="R40" s="45" t="b">
        <f t="shared" si="2"/>
        <v>0</v>
      </c>
      <c r="S40" s="45" t="b">
        <f t="shared" si="10"/>
        <v>0</v>
      </c>
      <c r="T40" s="45" t="b">
        <f t="shared" si="3"/>
        <v>0</v>
      </c>
      <c r="U40" s="45" t="b">
        <f t="shared" si="4"/>
        <v>0</v>
      </c>
      <c r="V40" s="45" t="b">
        <f t="shared" si="5"/>
        <v>1</v>
      </c>
      <c r="X40" s="50" t="str">
        <f t="shared" si="6"/>
        <v/>
      </c>
      <c r="Y40" s="50" t="str">
        <f t="shared" si="7"/>
        <v/>
      </c>
      <c r="Z40" s="50" t="str">
        <f t="shared" si="8"/>
        <v/>
      </c>
      <c r="AA40" s="50">
        <f t="shared" si="9"/>
        <v>2.9411764705882353E-2</v>
      </c>
    </row>
    <row r="41" spans="1:27" x14ac:dyDescent="0.25">
      <c r="A41">
        <v>34</v>
      </c>
      <c r="B41" s="23">
        <v>10</v>
      </c>
      <c r="C41" s="37" t="str">
        <f>IF(表1[[#This Row],[IsComingSoon]],3,IF(表1[[#This Row],[IsComingLater]],2,IF($P41,"Removed",IF(NOT(R41),"Inactive",1))))</f>
        <v>Inactive</v>
      </c>
      <c r="D41" s="15" t="s">
        <v>33</v>
      </c>
      <c r="E41" s="3" t="s">
        <v>73</v>
      </c>
      <c r="M41" s="2" t="b">
        <f t="shared" si="1"/>
        <v>0</v>
      </c>
      <c r="N41" s="30" t="b">
        <f>IF(AND($R41,NOT($S41),NOT(表1[[#This Row],[IsComingSoon]])),TRUE,FALSE)</f>
        <v>0</v>
      </c>
      <c r="P41" s="73"/>
      <c r="R41" s="45" t="b">
        <f t="shared" si="2"/>
        <v>0</v>
      </c>
      <c r="S41" s="45" t="b">
        <f t="shared" si="10"/>
        <v>0</v>
      </c>
      <c r="T41" s="45" t="b">
        <f t="shared" si="3"/>
        <v>0</v>
      </c>
      <c r="U41" s="45" t="b">
        <f t="shared" si="4"/>
        <v>0</v>
      </c>
      <c r="V41" s="45" t="b">
        <f t="shared" si="5"/>
        <v>1</v>
      </c>
      <c r="X41" s="50" t="str">
        <f t="shared" si="6"/>
        <v/>
      </c>
      <c r="Y41" s="50" t="str">
        <f t="shared" si="7"/>
        <v/>
      </c>
      <c r="Z41" s="50" t="str">
        <f t="shared" si="8"/>
        <v/>
      </c>
      <c r="AA41" s="50">
        <f t="shared" si="9"/>
        <v>2.9411764705882353E-2</v>
      </c>
    </row>
    <row r="42" spans="1:27" x14ac:dyDescent="0.25">
      <c r="A42">
        <v>35</v>
      </c>
      <c r="B42" s="23">
        <v>11</v>
      </c>
      <c r="C42" s="37" t="str">
        <f>IF(表1[[#This Row],[IsComingSoon]],3,IF(表1[[#This Row],[IsComingLater]],2,IF($P42,"Removed",IF(NOT(R42),"Inactive",1))))</f>
        <v>Inactive</v>
      </c>
      <c r="D42" s="16" t="s">
        <v>37</v>
      </c>
      <c r="E42" s="2" t="s">
        <v>77</v>
      </c>
      <c r="M42" s="2" t="b">
        <f t="shared" si="1"/>
        <v>0</v>
      </c>
      <c r="N42" s="30" t="b">
        <f>IF(AND($R42,NOT($S42),NOT(表1[[#This Row],[IsComingSoon]])),TRUE,FALSE)</f>
        <v>0</v>
      </c>
      <c r="P42" s="73"/>
      <c r="R42" s="45" t="b">
        <f t="shared" si="2"/>
        <v>0</v>
      </c>
      <c r="S42" s="45" t="b">
        <f t="shared" si="10"/>
        <v>0</v>
      </c>
      <c r="T42" s="45" t="b">
        <f t="shared" si="3"/>
        <v>0</v>
      </c>
      <c r="U42" s="45" t="b">
        <f t="shared" si="4"/>
        <v>0</v>
      </c>
      <c r="V42" s="45" t="b">
        <f t="shared" si="5"/>
        <v>1</v>
      </c>
      <c r="X42" s="50" t="str">
        <f t="shared" si="6"/>
        <v/>
      </c>
      <c r="Y42" s="50" t="str">
        <f t="shared" si="7"/>
        <v/>
      </c>
      <c r="Z42" s="50" t="str">
        <f t="shared" si="8"/>
        <v/>
      </c>
      <c r="AA42" s="50">
        <f t="shared" si="9"/>
        <v>2.9411764705882353E-2</v>
      </c>
    </row>
    <row r="43" spans="1:27" x14ac:dyDescent="0.25">
      <c r="A43">
        <v>36</v>
      </c>
      <c r="B43" s="42">
        <v>12</v>
      </c>
      <c r="C43" s="38" t="str">
        <f>IF(表1[[#This Row],[IsComingSoon]],3,IF(表1[[#This Row],[IsComingLater]],2,IF($P43,"Removed",IF(NOT(R43),"Inactive",1))))</f>
        <v>Inactive</v>
      </c>
      <c r="D43" s="16" t="s">
        <v>38</v>
      </c>
      <c r="E43" s="2" t="s">
        <v>78</v>
      </c>
      <c r="M43" s="2" t="b">
        <f t="shared" si="1"/>
        <v>0</v>
      </c>
      <c r="N43" s="30" t="b">
        <f>IF(AND($R43,NOT($S43),NOT(表1[[#This Row],[IsComingSoon]])),TRUE,FALSE)</f>
        <v>0</v>
      </c>
      <c r="P43" s="73"/>
      <c r="R43" s="45" t="b">
        <f t="shared" si="2"/>
        <v>0</v>
      </c>
      <c r="S43" s="45" t="b">
        <f t="shared" si="10"/>
        <v>0</v>
      </c>
      <c r="T43" s="45" t="b">
        <f t="shared" si="3"/>
        <v>0</v>
      </c>
      <c r="U43" s="45" t="b">
        <f t="shared" si="4"/>
        <v>0</v>
      </c>
      <c r="V43" s="45" t="b">
        <f t="shared" si="5"/>
        <v>1</v>
      </c>
      <c r="X43" s="50" t="str">
        <f t="shared" si="6"/>
        <v/>
      </c>
      <c r="Y43" s="50" t="str">
        <f t="shared" si="7"/>
        <v/>
      </c>
      <c r="Z43" s="50" t="str">
        <f t="shared" si="8"/>
        <v/>
      </c>
      <c r="AA43" s="50">
        <f t="shared" si="9"/>
        <v>2.9411764705882353E-2</v>
      </c>
    </row>
    <row r="44" spans="1:27" x14ac:dyDescent="0.25">
      <c r="A44">
        <v>37</v>
      </c>
      <c r="B44" s="24">
        <v>1</v>
      </c>
      <c r="C44" s="31" t="str">
        <f>IF(表1[[#This Row],[IsComingSoon]],3,IF(表1[[#This Row],[IsComingLater]],2,IF($P44,"Removed",IF(NOT(R44),"Inactive",1))))</f>
        <v>Inactive</v>
      </c>
      <c r="D44" s="17" t="s">
        <v>39</v>
      </c>
      <c r="E44" s="2" t="s">
        <v>79</v>
      </c>
      <c r="M44" s="2" t="b">
        <f t="shared" si="1"/>
        <v>0</v>
      </c>
      <c r="N44" s="30" t="b">
        <f>IF(AND($R44,NOT($S44),NOT(表1[[#This Row],[IsComingSoon]])),TRUE,FALSE)</f>
        <v>0</v>
      </c>
      <c r="P44" s="73"/>
      <c r="R44" s="45" t="b">
        <f t="shared" si="2"/>
        <v>0</v>
      </c>
      <c r="S44" s="45" t="b">
        <f t="shared" si="10"/>
        <v>0</v>
      </c>
      <c r="T44" s="45" t="b">
        <f t="shared" si="3"/>
        <v>0</v>
      </c>
      <c r="U44" s="45" t="b">
        <f t="shared" si="4"/>
        <v>0</v>
      </c>
      <c r="V44" s="45" t="b">
        <f t="shared" si="5"/>
        <v>1</v>
      </c>
      <c r="X44" s="50" t="str">
        <f t="shared" si="6"/>
        <v/>
      </c>
      <c r="Y44" s="50" t="str">
        <f t="shared" si="7"/>
        <v/>
      </c>
      <c r="Z44" s="50" t="str">
        <f t="shared" si="8"/>
        <v/>
      </c>
      <c r="AA44" s="50">
        <f t="shared" si="9"/>
        <v>2.9411764705882353E-2</v>
      </c>
    </row>
    <row r="45" spans="1:27" x14ac:dyDescent="0.25">
      <c r="A45">
        <v>38</v>
      </c>
      <c r="B45" s="24">
        <v>2</v>
      </c>
      <c r="C45" s="31" t="str">
        <f>IF(表1[[#This Row],[IsComingSoon]],3,IF(表1[[#This Row],[IsComingLater]],2,IF($P45,"Removed",IF(NOT(R45),"Inactive",1))))</f>
        <v>Inactive</v>
      </c>
      <c r="D45" s="17" t="s">
        <v>40</v>
      </c>
      <c r="E45" s="3" t="s">
        <v>80</v>
      </c>
      <c r="M45" s="2" t="b">
        <f t="shared" si="1"/>
        <v>0</v>
      </c>
      <c r="N45" s="30" t="b">
        <f>IF(AND($R45,NOT($S45),NOT(表1[[#This Row],[IsComingSoon]])),TRUE,FALSE)</f>
        <v>0</v>
      </c>
      <c r="P45" s="73"/>
      <c r="R45" s="45" t="b">
        <f t="shared" si="2"/>
        <v>0</v>
      </c>
      <c r="S45" s="45" t="b">
        <f t="shared" si="10"/>
        <v>0</v>
      </c>
      <c r="T45" s="45" t="b">
        <f t="shared" si="3"/>
        <v>0</v>
      </c>
      <c r="U45" s="45" t="b">
        <f t="shared" si="4"/>
        <v>0</v>
      </c>
      <c r="V45" s="45" t="b">
        <f t="shared" si="5"/>
        <v>1</v>
      </c>
      <c r="X45" s="50" t="str">
        <f t="shared" si="6"/>
        <v/>
      </c>
      <c r="Y45" s="50" t="str">
        <f t="shared" si="7"/>
        <v/>
      </c>
      <c r="Z45" s="50" t="str">
        <f t="shared" si="8"/>
        <v/>
      </c>
      <c r="AA45" s="50">
        <f t="shared" si="9"/>
        <v>2.9411764705882353E-2</v>
      </c>
    </row>
    <row r="46" spans="1:27" x14ac:dyDescent="0.25">
      <c r="A46">
        <v>39</v>
      </c>
      <c r="B46" s="24">
        <v>3</v>
      </c>
      <c r="C46" s="31" t="str">
        <f>IF(表1[[#This Row],[IsComingSoon]],3,IF(表1[[#This Row],[IsComingLater]],2,IF($P46,"Removed",IF(NOT(R46),"Inactive",1))))</f>
        <v>Inactive</v>
      </c>
      <c r="D46" s="17" t="s">
        <v>41</v>
      </c>
      <c r="E46" s="2" t="s">
        <v>79</v>
      </c>
      <c r="M46" s="2" t="b">
        <f t="shared" si="1"/>
        <v>0</v>
      </c>
      <c r="N46" s="30" t="b">
        <f>IF(AND($R46,NOT($S46),NOT(表1[[#This Row],[IsComingSoon]])),TRUE,FALSE)</f>
        <v>0</v>
      </c>
      <c r="P46" s="73"/>
      <c r="R46" s="45" t="b">
        <f t="shared" si="2"/>
        <v>0</v>
      </c>
      <c r="S46" s="45" t="b">
        <f t="shared" si="10"/>
        <v>0</v>
      </c>
      <c r="T46" s="45" t="b">
        <f t="shared" si="3"/>
        <v>0</v>
      </c>
      <c r="U46" s="45" t="b">
        <f t="shared" si="4"/>
        <v>0</v>
      </c>
      <c r="V46" s="45" t="b">
        <f t="shared" si="5"/>
        <v>1</v>
      </c>
      <c r="X46" s="50" t="str">
        <f t="shared" si="6"/>
        <v/>
      </c>
      <c r="Y46" s="50" t="str">
        <f t="shared" si="7"/>
        <v/>
      </c>
      <c r="Z46" s="50" t="str">
        <f t="shared" si="8"/>
        <v/>
      </c>
      <c r="AA46" s="50">
        <f t="shared" si="9"/>
        <v>2.9411764705882353E-2</v>
      </c>
    </row>
    <row r="47" spans="1:27" x14ac:dyDescent="0.25">
      <c r="A47">
        <v>40</v>
      </c>
      <c r="B47" s="24">
        <v>4</v>
      </c>
      <c r="C47" s="31" t="str">
        <f>IF(表1[[#This Row],[IsComingSoon]],3,IF(表1[[#This Row],[IsComingLater]],2,IF($P47,"Removed",IF(NOT(R47),"Inactive",1))))</f>
        <v>Inactive</v>
      </c>
      <c r="D47" s="18" t="s">
        <v>42</v>
      </c>
      <c r="E47" s="3" t="s">
        <v>81</v>
      </c>
      <c r="M47" s="2" t="b">
        <f t="shared" si="1"/>
        <v>0</v>
      </c>
      <c r="N47" s="30" t="b">
        <f>IF(AND($R47,NOT($S47),NOT(表1[[#This Row],[IsComingSoon]])),TRUE,FALSE)</f>
        <v>0</v>
      </c>
      <c r="P47" s="73"/>
      <c r="R47" s="45" t="b">
        <f t="shared" si="2"/>
        <v>0</v>
      </c>
      <c r="S47" s="45" t="b">
        <f t="shared" si="10"/>
        <v>0</v>
      </c>
      <c r="T47" s="45" t="b">
        <f t="shared" si="3"/>
        <v>0</v>
      </c>
      <c r="U47" s="45" t="b">
        <f t="shared" si="4"/>
        <v>0</v>
      </c>
      <c r="V47" s="45" t="b">
        <f t="shared" si="5"/>
        <v>1</v>
      </c>
      <c r="X47" s="50" t="str">
        <f t="shared" si="6"/>
        <v/>
      </c>
      <c r="Y47" s="50" t="str">
        <f t="shared" si="7"/>
        <v/>
      </c>
      <c r="Z47" s="50" t="str">
        <f t="shared" si="8"/>
        <v/>
      </c>
      <c r="AA47" s="50">
        <f t="shared" si="9"/>
        <v>2.9411764705882353E-2</v>
      </c>
    </row>
    <row r="48" spans="1:27" x14ac:dyDescent="0.25">
      <c r="A48">
        <v>41</v>
      </c>
      <c r="B48" s="24">
        <v>5</v>
      </c>
      <c r="C48" s="31" t="str">
        <f>IF(表1[[#This Row],[IsComingSoon]],3,IF(表1[[#This Row],[IsComingLater]],2,IF($P48,"Removed",IF(NOT(R48),"Inactive",1))))</f>
        <v>Inactive</v>
      </c>
      <c r="D48" s="18" t="s">
        <v>43</v>
      </c>
      <c r="E48" s="3" t="s">
        <v>82</v>
      </c>
      <c r="M48" s="2" t="b">
        <f t="shared" si="1"/>
        <v>0</v>
      </c>
      <c r="N48" s="30" t="b">
        <f>IF(AND($R48,NOT($S48),NOT(表1[[#This Row],[IsComingSoon]])),TRUE,FALSE)</f>
        <v>0</v>
      </c>
      <c r="P48" s="73"/>
      <c r="R48" s="45" t="b">
        <f t="shared" si="2"/>
        <v>0</v>
      </c>
      <c r="S48" s="45" t="b">
        <f t="shared" si="10"/>
        <v>0</v>
      </c>
      <c r="T48" s="45" t="b">
        <f t="shared" si="3"/>
        <v>0</v>
      </c>
      <c r="U48" s="45" t="b">
        <f t="shared" si="4"/>
        <v>0</v>
      </c>
      <c r="V48" s="45" t="b">
        <f t="shared" si="5"/>
        <v>1</v>
      </c>
      <c r="X48" s="50" t="str">
        <f t="shared" si="6"/>
        <v/>
      </c>
      <c r="Y48" s="50" t="str">
        <f t="shared" si="7"/>
        <v/>
      </c>
      <c r="Z48" s="50" t="str">
        <f t="shared" si="8"/>
        <v/>
      </c>
      <c r="AA48" s="50">
        <f t="shared" si="9"/>
        <v>2.9411764705882353E-2</v>
      </c>
    </row>
    <row r="49" spans="1:27" ht="15.75" thickBot="1" x14ac:dyDescent="0.3">
      <c r="A49">
        <v>42</v>
      </c>
      <c r="B49" s="24">
        <v>6</v>
      </c>
      <c r="C49" s="31" t="str">
        <f>IF(表1[[#This Row],[IsComingSoon]],3,IF(表1[[#This Row],[IsComingLater]],2,IF($P49,"Removed",IF(NOT(R49),"Inactive",1))))</f>
        <v>Inactive</v>
      </c>
      <c r="D49" s="19" t="s">
        <v>44</v>
      </c>
      <c r="E49" s="2" t="s">
        <v>83</v>
      </c>
      <c r="M49" s="2" t="b">
        <f t="shared" si="1"/>
        <v>0</v>
      </c>
      <c r="N49" s="30" t="b">
        <f>IF(AND($R49,NOT($S49),NOT(表1[[#This Row],[IsComingSoon]])),TRUE,FALSE)</f>
        <v>0</v>
      </c>
      <c r="P49" s="73"/>
      <c r="R49" s="45" t="b">
        <f t="shared" si="2"/>
        <v>0</v>
      </c>
      <c r="S49" s="45" t="b">
        <f t="shared" si="10"/>
        <v>0</v>
      </c>
      <c r="T49" s="45" t="b">
        <f t="shared" si="3"/>
        <v>0</v>
      </c>
      <c r="U49" s="45" t="b">
        <f t="shared" si="4"/>
        <v>0</v>
      </c>
      <c r="V49" s="45" t="b">
        <f t="shared" si="5"/>
        <v>1</v>
      </c>
      <c r="X49" s="50" t="str">
        <f t="shared" si="6"/>
        <v/>
      </c>
      <c r="Y49" s="50" t="str">
        <f t="shared" si="7"/>
        <v/>
      </c>
      <c r="Z49" s="50" t="str">
        <f t="shared" si="8"/>
        <v/>
      </c>
      <c r="AA49" s="50">
        <f t="shared" si="9"/>
        <v>2.9411764705882353E-2</v>
      </c>
    </row>
    <row r="50" spans="1:27" x14ac:dyDescent="0.25">
      <c r="A50">
        <v>43</v>
      </c>
      <c r="B50" s="24">
        <v>7</v>
      </c>
      <c r="C50" s="31" t="str">
        <f>IF(表1[[#This Row],[IsComingSoon]],3,IF(表1[[#This Row],[IsComingLater]],2,IF($P50,"Removed",IF(NOT(R50),"Inactive",1))))</f>
        <v>Inactive</v>
      </c>
      <c r="D50" s="20" t="s">
        <v>46</v>
      </c>
      <c r="E50" s="2" t="s">
        <v>84</v>
      </c>
      <c r="M50" s="2" t="b">
        <f t="shared" si="1"/>
        <v>0</v>
      </c>
      <c r="N50" s="30" t="b">
        <f>IF(AND($R50,NOT($S50),NOT(表1[[#This Row],[IsComingSoon]])),TRUE,FALSE)</f>
        <v>0</v>
      </c>
      <c r="P50" s="73"/>
      <c r="R50" s="45" t="b">
        <f t="shared" si="2"/>
        <v>0</v>
      </c>
      <c r="S50" s="45" t="b">
        <f t="shared" si="10"/>
        <v>0</v>
      </c>
      <c r="T50" s="45" t="b">
        <f t="shared" si="3"/>
        <v>0</v>
      </c>
      <c r="U50" s="45" t="b">
        <f t="shared" si="4"/>
        <v>0</v>
      </c>
      <c r="V50" s="45" t="b">
        <f t="shared" si="5"/>
        <v>1</v>
      </c>
      <c r="X50" s="50" t="str">
        <f t="shared" si="6"/>
        <v/>
      </c>
      <c r="Y50" s="50" t="str">
        <f t="shared" si="7"/>
        <v/>
      </c>
      <c r="Z50" s="50" t="str">
        <f t="shared" si="8"/>
        <v/>
      </c>
      <c r="AA50" s="50">
        <f t="shared" si="9"/>
        <v>2.9411764705882353E-2</v>
      </c>
    </row>
    <row r="51" spans="1:27" x14ac:dyDescent="0.25">
      <c r="A51">
        <v>44</v>
      </c>
      <c r="B51" s="24">
        <v>8</v>
      </c>
      <c r="C51" s="31" t="str">
        <f>IF(表1[[#This Row],[IsComingSoon]],3,IF(表1[[#This Row],[IsComingLater]],2,IF($P51,"Removed",IF(NOT(R51),"Inactive",1))))</f>
        <v>Inactive</v>
      </c>
      <c r="D51" s="18" t="s">
        <v>49</v>
      </c>
      <c r="E51" s="2" t="s">
        <v>84</v>
      </c>
      <c r="M51" s="2" t="b">
        <f t="shared" si="1"/>
        <v>0</v>
      </c>
      <c r="N51" s="30" t="b">
        <f>IF(AND($R51,NOT($S51),NOT(表1[[#This Row],[IsComingSoon]])),TRUE,FALSE)</f>
        <v>0</v>
      </c>
      <c r="P51" s="73"/>
      <c r="R51" s="45" t="b">
        <f t="shared" si="2"/>
        <v>0</v>
      </c>
      <c r="S51" s="45" t="b">
        <f t="shared" si="10"/>
        <v>0</v>
      </c>
      <c r="T51" s="45" t="b">
        <f t="shared" si="3"/>
        <v>0</v>
      </c>
      <c r="U51" s="45" t="b">
        <f t="shared" si="4"/>
        <v>0</v>
      </c>
      <c r="V51" s="45" t="b">
        <f t="shared" si="5"/>
        <v>1</v>
      </c>
      <c r="X51" s="50" t="str">
        <f t="shared" si="6"/>
        <v/>
      </c>
      <c r="Y51" s="50" t="str">
        <f t="shared" si="7"/>
        <v/>
      </c>
      <c r="Z51" s="50" t="str">
        <f t="shared" si="8"/>
        <v/>
      </c>
      <c r="AA51" s="50">
        <f t="shared" si="9"/>
        <v>2.9411764705882353E-2</v>
      </c>
    </row>
    <row r="52" spans="1:27" x14ac:dyDescent="0.25">
      <c r="A52">
        <v>45</v>
      </c>
      <c r="B52" s="24">
        <v>9</v>
      </c>
      <c r="C52" s="31" t="str">
        <f>IF(表1[[#This Row],[IsComingSoon]],3,IF(表1[[#This Row],[IsComingLater]],2,IF($P52,"Removed",IF(NOT(R52),"Inactive",1))))</f>
        <v>Inactive</v>
      </c>
      <c r="D52" s="18" t="s">
        <v>47</v>
      </c>
      <c r="E52" s="2" t="s">
        <v>85</v>
      </c>
      <c r="M52" s="2" t="b">
        <f t="shared" si="1"/>
        <v>0</v>
      </c>
      <c r="N52" s="30" t="b">
        <f>IF(AND($R52,NOT($S52),NOT(表1[[#This Row],[IsComingSoon]])),TRUE,FALSE)</f>
        <v>0</v>
      </c>
      <c r="P52" s="73"/>
      <c r="R52" s="45" t="b">
        <f t="shared" si="2"/>
        <v>0</v>
      </c>
      <c r="S52" s="45" t="b">
        <f t="shared" si="10"/>
        <v>0</v>
      </c>
      <c r="T52" s="45" t="b">
        <f t="shared" si="3"/>
        <v>0</v>
      </c>
      <c r="U52" s="45" t="b">
        <f t="shared" si="4"/>
        <v>0</v>
      </c>
      <c r="V52" s="45" t="b">
        <f t="shared" si="5"/>
        <v>1</v>
      </c>
      <c r="X52" s="50" t="str">
        <f t="shared" si="6"/>
        <v/>
      </c>
      <c r="Y52" s="50" t="str">
        <f t="shared" si="7"/>
        <v/>
      </c>
      <c r="Z52" s="50" t="str">
        <f t="shared" si="8"/>
        <v/>
      </c>
      <c r="AA52" s="50">
        <f t="shared" si="9"/>
        <v>2.9411764705882353E-2</v>
      </c>
    </row>
    <row r="53" spans="1:27" x14ac:dyDescent="0.25">
      <c r="A53">
        <v>46</v>
      </c>
      <c r="B53" s="24">
        <v>10</v>
      </c>
      <c r="C53" s="31" t="str">
        <f>IF(表1[[#This Row],[IsComingSoon]],3,IF(表1[[#This Row],[IsComingLater]],2,IF($P53,"Removed",IF(NOT(R53),"Inactive",1))))</f>
        <v>Inactive</v>
      </c>
      <c r="D53" s="18" t="s">
        <v>45</v>
      </c>
      <c r="E53" s="3" t="s">
        <v>86</v>
      </c>
      <c r="M53" s="2" t="b">
        <f t="shared" si="1"/>
        <v>0</v>
      </c>
      <c r="N53" s="30" t="b">
        <f>IF(AND($R53,NOT($S53),NOT(表1[[#This Row],[IsComingSoon]])),TRUE,FALSE)</f>
        <v>0</v>
      </c>
      <c r="P53" s="73"/>
      <c r="R53" s="45" t="b">
        <f t="shared" si="2"/>
        <v>0</v>
      </c>
      <c r="S53" s="45" t="b">
        <f t="shared" si="10"/>
        <v>0</v>
      </c>
      <c r="T53" s="45" t="b">
        <f t="shared" si="3"/>
        <v>0</v>
      </c>
      <c r="U53" s="45" t="b">
        <f t="shared" si="4"/>
        <v>0</v>
      </c>
      <c r="V53" s="45" t="b">
        <f t="shared" si="5"/>
        <v>1</v>
      </c>
      <c r="X53" s="50" t="str">
        <f t="shared" si="6"/>
        <v/>
      </c>
      <c r="Y53" s="50" t="str">
        <f t="shared" si="7"/>
        <v/>
      </c>
      <c r="Z53" s="50" t="str">
        <f t="shared" si="8"/>
        <v/>
      </c>
      <c r="AA53" s="50">
        <f t="shared" si="9"/>
        <v>2.9411764705882353E-2</v>
      </c>
    </row>
    <row r="54" spans="1:27" x14ac:dyDescent="0.25">
      <c r="A54">
        <v>47</v>
      </c>
      <c r="B54" s="24">
        <v>11</v>
      </c>
      <c r="C54" s="31" t="str">
        <f>IF(表1[[#This Row],[IsComingSoon]],3,IF(表1[[#This Row],[IsComingLater]],2,IF($P54,"Removed",IF(NOT(R54),"Inactive",1))))</f>
        <v>Inactive</v>
      </c>
      <c r="D54" s="18" t="s">
        <v>50</v>
      </c>
      <c r="E54" s="3" t="s">
        <v>81</v>
      </c>
      <c r="M54" s="2" t="b">
        <f t="shared" si="1"/>
        <v>0</v>
      </c>
      <c r="N54" s="30" t="b">
        <f>IF(AND($R54,NOT($S54),NOT(表1[[#This Row],[IsComingSoon]])),TRUE,FALSE)</f>
        <v>0</v>
      </c>
      <c r="P54" s="73"/>
      <c r="R54" s="45" t="b">
        <f t="shared" si="2"/>
        <v>0</v>
      </c>
      <c r="S54" s="45" t="b">
        <f t="shared" si="10"/>
        <v>0</v>
      </c>
      <c r="T54" s="45" t="b">
        <f t="shared" si="3"/>
        <v>0</v>
      </c>
      <c r="U54" s="45" t="b">
        <f t="shared" si="4"/>
        <v>0</v>
      </c>
      <c r="V54" s="45" t="b">
        <f t="shared" si="5"/>
        <v>1</v>
      </c>
      <c r="X54" s="50" t="str">
        <f t="shared" si="6"/>
        <v/>
      </c>
      <c r="Y54" s="50" t="str">
        <f t="shared" si="7"/>
        <v/>
      </c>
      <c r="Z54" s="50" t="str">
        <f t="shared" si="8"/>
        <v/>
      </c>
      <c r="AA54" s="50">
        <f t="shared" si="9"/>
        <v>2.9411764705882353E-2</v>
      </c>
    </row>
    <row r="55" spans="1:27" x14ac:dyDescent="0.25">
      <c r="A55">
        <v>48</v>
      </c>
      <c r="B55" s="39">
        <v>12</v>
      </c>
      <c r="C55" s="34" t="str">
        <f>IF(表1[[#This Row],[IsComingSoon]],3,IF(表1[[#This Row],[IsComingLater]],2,IF($P55,"Removed",IF(NOT(R55),"Inactive",1))))</f>
        <v>Inactive</v>
      </c>
      <c r="D55" s="18" t="s">
        <v>48</v>
      </c>
      <c r="E55" s="4" t="s">
        <v>87</v>
      </c>
      <c r="M55" s="4" t="b">
        <f t="shared" si="1"/>
        <v>0</v>
      </c>
      <c r="N55" s="30" t="b">
        <f>IF(AND($R55,NOT($S55),NOT(表1[[#This Row],[IsComingSoon]])),TRUE,FALSE)</f>
        <v>0</v>
      </c>
      <c r="P55" s="73"/>
      <c r="R55" s="45" t="b">
        <f t="shared" si="2"/>
        <v>0</v>
      </c>
      <c r="S55" s="45" t="b">
        <f t="shared" si="10"/>
        <v>0</v>
      </c>
      <c r="T55" s="45" t="b">
        <f t="shared" si="3"/>
        <v>0</v>
      </c>
      <c r="U55" s="45" t="b">
        <f t="shared" si="4"/>
        <v>0</v>
      </c>
      <c r="V55" s="45" t="b">
        <f t="shared" si="5"/>
        <v>1</v>
      </c>
      <c r="X55" s="50" t="str">
        <f t="shared" si="6"/>
        <v/>
      </c>
      <c r="Y55" s="50" t="str">
        <f t="shared" si="7"/>
        <v/>
      </c>
      <c r="Z55" s="50" t="str">
        <f t="shared" si="8"/>
        <v/>
      </c>
      <c r="AA55" s="50">
        <f t="shared" si="9"/>
        <v>2.9411764705882353E-2</v>
      </c>
    </row>
    <row r="56" spans="1:27" ht="15.75" thickBot="1" x14ac:dyDescent="0.3">
      <c r="B56" s="25"/>
      <c r="C56" s="43"/>
      <c r="D56" s="6"/>
      <c r="E56" s="27"/>
      <c r="F56" s="66">
        <f>COUNT(F8:F55)</f>
        <v>14</v>
      </c>
      <c r="G56" s="67">
        <f t="shared" ref="G56:L56" si="11">COUNT(G8:G55)</f>
        <v>6</v>
      </c>
      <c r="H56" s="67">
        <f t="shared" si="11"/>
        <v>0</v>
      </c>
      <c r="I56" s="67">
        <f t="shared" si="11"/>
        <v>0</v>
      </c>
      <c r="J56" s="67">
        <f t="shared" si="11"/>
        <v>0</v>
      </c>
      <c r="K56" s="67">
        <f t="shared" si="11"/>
        <v>0</v>
      </c>
      <c r="L56" s="68">
        <f t="shared" si="11"/>
        <v>0</v>
      </c>
      <c r="M56" s="75">
        <f>COUNTIF(M$8:M$55,TRUE)</f>
        <v>8</v>
      </c>
      <c r="N56" s="76">
        <f>COUNTIF(N$8:N$55,TRUE)</f>
        <v>0</v>
      </c>
      <c r="P56" s="74">
        <f>COUNTIF(P$8:P$55,TRUE)</f>
        <v>0</v>
      </c>
      <c r="R56" s="46">
        <f>COUNTIF(R$8:R$55,TRUE)</f>
        <v>14</v>
      </c>
      <c r="S56" s="46">
        <f t="shared" ref="S56:V56" si="12">COUNTIF(S$8:S$55,TRUE)</f>
        <v>6</v>
      </c>
      <c r="T56" s="46">
        <f t="shared" si="12"/>
        <v>8</v>
      </c>
      <c r="U56" s="46">
        <f t="shared" si="12"/>
        <v>0</v>
      </c>
      <c r="V56" s="46">
        <f t="shared" si="12"/>
        <v>34</v>
      </c>
    </row>
    <row r="57" spans="1:27" x14ac:dyDescent="0.25">
      <c r="E57" s="44" t="s">
        <v>142</v>
      </c>
      <c r="F57" s="44" t="b">
        <f>IF(F56&gt;0,TRUE,FALSE)</f>
        <v>1</v>
      </c>
      <c r="G57" s="44" t="b">
        <f t="shared" ref="G57:L57" si="13">IF(G56&gt;0,TRUE,FALSE)</f>
        <v>1</v>
      </c>
      <c r="H57" s="44" t="b">
        <f t="shared" si="13"/>
        <v>0</v>
      </c>
      <c r="I57" s="44" t="b">
        <f t="shared" si="13"/>
        <v>0</v>
      </c>
      <c r="J57" s="44" t="b">
        <f t="shared" si="13"/>
        <v>0</v>
      </c>
      <c r="K57" s="44" t="b">
        <f t="shared" si="13"/>
        <v>0</v>
      </c>
      <c r="L57" s="44" t="b">
        <f t="shared" si="13"/>
        <v>0</v>
      </c>
      <c r="M57" s="84">
        <f>IF(K57,5,IF(J57,4,IF(I57,3,IF(H57,2,IF(G57,1,0)))))</f>
        <v>1</v>
      </c>
    </row>
    <row r="58" spans="1:27" x14ac:dyDescent="0.25">
      <c r="E58" s="44" t="s">
        <v>143</v>
      </c>
      <c r="F58" s="44" t="b">
        <f>IF(COUNTIF(F$8:F$55,3)&gt;3,TRUE,FALSE)</f>
        <v>1</v>
      </c>
      <c r="G58" s="44" t="b">
        <f>IF(COUNTIF(G$8:G$55,3)&gt;0,TRUE,FALSE)</f>
        <v>0</v>
      </c>
      <c r="H58" s="44" t="b">
        <f t="shared" ref="H58:J58" si="14">IF(COUNTIF(H$8:H$55,3)&gt;0,TRUE,FALSE)</f>
        <v>0</v>
      </c>
      <c r="I58" s="44" t="b">
        <f t="shared" si="14"/>
        <v>0</v>
      </c>
      <c r="J58" s="44" t="b">
        <f t="shared" si="14"/>
        <v>0</v>
      </c>
      <c r="K58" s="44" t="b">
        <f>IF(COUNTIF(K$8:K$55,3)&gt;0,TRUE,FALSE)</f>
        <v>0</v>
      </c>
      <c r="L58" s="44"/>
      <c r="M58" s="85">
        <f>COUNTIF(F58:L58,TRUE)</f>
        <v>1</v>
      </c>
      <c r="S58" s="46" t="s">
        <v>110</v>
      </c>
      <c r="T58" s="45" t="b">
        <f>IF(S56&gt;=SUM($T56:T56),TRUE,FALSE)</f>
        <v>0</v>
      </c>
      <c r="U58" s="45" t="b">
        <f>IF(T56&gt;=SUM($T56:U56),TRUE,FALSE)</f>
        <v>1</v>
      </c>
      <c r="V58" s="45" t="b">
        <f>IF(U56&gt;=SUM($T56:V56),TRUE,FALSE)</f>
        <v>0</v>
      </c>
    </row>
    <row r="59" spans="1:27" x14ac:dyDescent="0.25">
      <c r="E59" s="44"/>
      <c r="F59" s="44">
        <f>F56-IF(F58,1,0)-static!$C$3</f>
        <v>4</v>
      </c>
      <c r="G59" s="44">
        <f>G56-IF(G58,1,0)</f>
        <v>6</v>
      </c>
      <c r="H59" s="44">
        <f t="shared" ref="H59:L59" si="15">H56-IF(H58,1,0)</f>
        <v>0</v>
      </c>
      <c r="I59" s="44">
        <f t="shared" si="15"/>
        <v>0</v>
      </c>
      <c r="J59" s="44">
        <f t="shared" si="15"/>
        <v>0</v>
      </c>
      <c r="K59" s="44">
        <f t="shared" si="15"/>
        <v>0</v>
      </c>
      <c r="L59" s="44">
        <f t="shared" si="15"/>
        <v>0</v>
      </c>
      <c r="M59" s="85"/>
      <c r="S59" s="46"/>
    </row>
    <row r="60" spans="1:27" x14ac:dyDescent="0.25">
      <c r="E60" s="44"/>
      <c r="F60" s="44"/>
      <c r="G60" s="44"/>
      <c r="H60" s="44"/>
      <c r="I60" s="44"/>
      <c r="J60" s="44"/>
      <c r="K60" s="44"/>
      <c r="L60" s="44"/>
      <c r="M60" s="44"/>
    </row>
    <row r="61" spans="1:27" x14ac:dyDescent="0.25">
      <c r="E61" s="44"/>
      <c r="F61" s="44">
        <f>F6</f>
        <v>0</v>
      </c>
      <c r="G61" s="44">
        <f t="shared" ref="G61:L61" si="16">G6</f>
        <v>1</v>
      </c>
      <c r="H61" s="44">
        <f t="shared" si="16"/>
        <v>2</v>
      </c>
      <c r="I61" s="44">
        <f t="shared" si="16"/>
        <v>3</v>
      </c>
      <c r="J61" s="44">
        <f t="shared" si="16"/>
        <v>4</v>
      </c>
      <c r="K61" s="44">
        <f t="shared" si="16"/>
        <v>5</v>
      </c>
      <c r="L61" s="44">
        <f t="shared" si="16"/>
        <v>6</v>
      </c>
      <c r="M61" s="44"/>
    </row>
    <row r="62" spans="1:27" x14ac:dyDescent="0.25">
      <c r="E62" s="44" t="s">
        <v>104</v>
      </c>
      <c r="F62" s="44">
        <v>2</v>
      </c>
      <c r="G62" s="44">
        <v>2</v>
      </c>
      <c r="H62" s="44">
        <v>2</v>
      </c>
      <c r="I62" s="44">
        <v>3</v>
      </c>
      <c r="J62" s="44">
        <v>3</v>
      </c>
      <c r="K62" s="44">
        <v>4</v>
      </c>
      <c r="L62" s="44">
        <v>4</v>
      </c>
      <c r="M62" s="44"/>
    </row>
    <row r="63" spans="1:27" x14ac:dyDescent="0.25">
      <c r="E63" s="44" t="s">
        <v>148</v>
      </c>
      <c r="F63" s="70">
        <f>VLOOKUP(F$61,static!$K$4:$L$10,2,0)</f>
        <v>9</v>
      </c>
      <c r="G63" s="70">
        <f>VLOOKUP(G$61,static!$K$4:$L$10,2,0)</f>
        <v>9</v>
      </c>
      <c r="H63" s="70">
        <f>VLOOKUP(H$61,static!$K$4:$L$10,2,0)</f>
        <v>9</v>
      </c>
      <c r="I63" s="70">
        <f>VLOOKUP(I$61,static!$K$4:$L$10,2,0)</f>
        <v>9</v>
      </c>
      <c r="J63" s="70">
        <f>VLOOKUP(J$61,static!$K$4:$L$10,2,0)</f>
        <v>9</v>
      </c>
      <c r="K63" s="70">
        <f>VLOOKUP(K$61,static!$K$4:$L$10,2,0)</f>
        <v>8</v>
      </c>
      <c r="L63" s="70">
        <f>VLOOKUP(L$61,static!$K$4:$L$10,2,0)</f>
        <v>0</v>
      </c>
      <c r="M63" s="84">
        <f>SUM(F63:L63)</f>
        <v>53</v>
      </c>
    </row>
    <row r="64" spans="1:27" x14ac:dyDescent="0.25">
      <c r="E64" s="44" t="s">
        <v>150</v>
      </c>
      <c r="F64" s="70">
        <f>MAX(ROUNDUP((F$59+static!C$14*F$62)/F$62,0),0)</f>
        <v>2</v>
      </c>
      <c r="G64" s="70">
        <f>MAX(ROUNDUP((G$59+static!D$14*G$62)/G$62,0),0)</f>
        <v>3</v>
      </c>
      <c r="H64" s="70">
        <f>MAX(ROUNDUP((H$59+static!E$14*H$62)/H$62,0),0)</f>
        <v>0</v>
      </c>
      <c r="I64" s="70">
        <f>MAX(ROUNDUP((I$59+static!F$14*I$62)/I$62,0),0)</f>
        <v>0</v>
      </c>
      <c r="J64" s="70">
        <f>MAX(ROUNDUP((J$59+static!G$14*J$62)/J$62,0),0)</f>
        <v>0</v>
      </c>
      <c r="K64" s="70">
        <f>MAX(ROUNDUP((K$59+static!H$14*K$62)/K$62,0),0)</f>
        <v>0</v>
      </c>
      <c r="L64" s="70">
        <f>MAX(ROUNDUP((L$59+static!I$14*L$62)/L$62,0),0)</f>
        <v>0</v>
      </c>
      <c r="M64" s="83">
        <f>SUM(F64:L64)</f>
        <v>5</v>
      </c>
    </row>
    <row r="65" spans="5:13" x14ac:dyDescent="0.25">
      <c r="E65" s="44" t="s">
        <v>151</v>
      </c>
      <c r="F65" s="70">
        <f>SUM($F63:F63)-SUM($F64:F64)*2-static!$C$3</f>
        <v>-4</v>
      </c>
      <c r="G65" s="70">
        <f>SUM($F63:G63)-SUM($F64:G64)*2-static!$C$3</f>
        <v>-1</v>
      </c>
      <c r="H65" s="70">
        <f>SUM($F63:H63)-SUM($F64:H64)*2-static!$C$3</f>
        <v>8</v>
      </c>
      <c r="I65" s="70">
        <f>SUM($F63:I63)-SUM($F64:I64)*2-static!$C$3</f>
        <v>17</v>
      </c>
      <c r="J65" s="70">
        <f>SUM($F63:J63)-SUM($F64:J64)*2-static!$C$3</f>
        <v>26</v>
      </c>
      <c r="K65" s="70">
        <f>SUM($F63:K63)-SUM($F64:K64)*2-static!$C$3</f>
        <v>34</v>
      </c>
      <c r="L65" s="70">
        <f>SUM($F63:L63)-SUM($F64:L64)*2-static!$C$3</f>
        <v>34</v>
      </c>
      <c r="M65" s="44"/>
    </row>
    <row r="66" spans="5:13" x14ac:dyDescent="0.25">
      <c r="E66" s="44" t="s">
        <v>152</v>
      </c>
      <c r="F66" s="70">
        <f>static!$C$3+SUM($F64:F64)*2</f>
        <v>13</v>
      </c>
      <c r="G66" s="70">
        <f>static!$C$3+SUM($F64:G64)*2</f>
        <v>19</v>
      </c>
      <c r="H66" s="70">
        <f>static!$C$3+SUM($F64:H64)*2</f>
        <v>19</v>
      </c>
      <c r="I66" s="70">
        <f>static!$C$3+SUM($F64:I64)*2</f>
        <v>19</v>
      </c>
      <c r="J66" s="70">
        <f>static!$C$3+SUM($F64:J64)*2</f>
        <v>19</v>
      </c>
      <c r="K66" s="70">
        <f>static!$C$3+SUM($F64:K64)*2</f>
        <v>19</v>
      </c>
      <c r="L66" s="70">
        <f>static!$C$3+SUM($F64:L64)*2</f>
        <v>19</v>
      </c>
      <c r="M66" s="84">
        <f>HLOOKUP(M57,F61:L66,6,0)</f>
        <v>19</v>
      </c>
    </row>
    <row r="67" spans="5:13" x14ac:dyDescent="0.25">
      <c r="E67" s="44"/>
      <c r="M67" s="44"/>
    </row>
    <row r="68" spans="5:13" x14ac:dyDescent="0.25">
      <c r="E68" s="44"/>
      <c r="F68" s="44">
        <f t="shared" ref="F68:L68" si="17">F6</f>
        <v>0</v>
      </c>
      <c r="G68" s="44">
        <f t="shared" si="17"/>
        <v>1</v>
      </c>
      <c r="H68" s="44">
        <f t="shared" si="17"/>
        <v>2</v>
      </c>
      <c r="I68" s="44">
        <f t="shared" si="17"/>
        <v>3</v>
      </c>
      <c r="J68" s="44">
        <f t="shared" si="17"/>
        <v>4</v>
      </c>
      <c r="K68" s="44">
        <f t="shared" si="17"/>
        <v>5</v>
      </c>
      <c r="L68" s="44">
        <f t="shared" si="17"/>
        <v>6</v>
      </c>
      <c r="M68" s="44"/>
    </row>
    <row r="69" spans="5:13" x14ac:dyDescent="0.25">
      <c r="E69" s="44" t="s">
        <v>103</v>
      </c>
      <c r="F69" s="44">
        <f>MAX(INT((F56+static!C$14*F$62-static!C$3)/F$62),0)</f>
        <v>2</v>
      </c>
      <c r="G69" s="44">
        <f>INT((G56+static!D$14*G$62)/G$62)</f>
        <v>3</v>
      </c>
      <c r="H69" s="44">
        <f>INT((H56+static!E$14*H$62)/H$62)</f>
        <v>0</v>
      </c>
      <c r="I69" s="44">
        <f>INT((I56+static!F$14*I$62)/I$62)</f>
        <v>0</v>
      </c>
      <c r="J69" s="44">
        <f>INT((J56+static!G$14*J$62)/J$62)</f>
        <v>0</v>
      </c>
      <c r="K69" s="44">
        <f>INT((K56+static!H$14*K$62)/K$62)</f>
        <v>0</v>
      </c>
      <c r="L69" s="44"/>
      <c r="M69" s="44"/>
    </row>
    <row r="70" spans="5:13" x14ac:dyDescent="0.25">
      <c r="E70" s="44" t="s">
        <v>94</v>
      </c>
      <c r="F70" s="44">
        <f>SUM($F69:F69)</f>
        <v>2</v>
      </c>
      <c r="G70" s="44">
        <f>SUM($F69:G69)</f>
        <v>5</v>
      </c>
      <c r="H70" s="44">
        <f>SUM($F69:H69)</f>
        <v>5</v>
      </c>
      <c r="I70" s="44">
        <f>SUM($F69:I69)</f>
        <v>5</v>
      </c>
      <c r="J70" s="44">
        <f>SUM($F69:J69)</f>
        <v>5</v>
      </c>
      <c r="K70" s="44">
        <f>SUM($F69:K69)</f>
        <v>5</v>
      </c>
      <c r="L70" s="44"/>
      <c r="M70" s="44"/>
    </row>
    <row r="71" spans="5:13" x14ac:dyDescent="0.25">
      <c r="E71" s="44" t="s">
        <v>93</v>
      </c>
      <c r="F71" s="44">
        <f>INT(static!$C$8/5*(F68+1))</f>
        <v>4</v>
      </c>
      <c r="G71" s="44">
        <f>INT(static!$C$8/5*(G68+1))</f>
        <v>8</v>
      </c>
      <c r="H71" s="44">
        <f>INT(static!$C$8/5*(H68+1))</f>
        <v>13</v>
      </c>
      <c r="I71" s="44">
        <f>INT(static!$C$8/5*(I68+1))</f>
        <v>17</v>
      </c>
      <c r="J71" s="44">
        <f>INT(static!$C$8/5*(J68+1))</f>
        <v>22</v>
      </c>
      <c r="K71" s="44"/>
      <c r="L71" s="44"/>
      <c r="M71" s="44"/>
    </row>
    <row r="72" spans="5:13" x14ac:dyDescent="0.25">
      <c r="E72" s="44" t="s">
        <v>106</v>
      </c>
      <c r="F72" s="44">
        <f>F71-SUM($F69:F69)</f>
        <v>2</v>
      </c>
      <c r="G72" s="44">
        <f>G71-SUM($F69:G69)</f>
        <v>3</v>
      </c>
      <c r="H72" s="44">
        <f>H71-SUM($F69:H69)</f>
        <v>8</v>
      </c>
      <c r="I72" s="44">
        <f>I71-SUM($F69:I69)</f>
        <v>12</v>
      </c>
      <c r="J72" s="44">
        <f>J71-SUM($F69:J69)</f>
        <v>17</v>
      </c>
      <c r="K72" s="44"/>
      <c r="L72" s="44"/>
      <c r="M72" s="44"/>
    </row>
    <row r="73" spans="5:13" x14ac:dyDescent="0.25">
      <c r="E73" s="44" t="s">
        <v>92</v>
      </c>
      <c r="F73" s="44"/>
      <c r="G73" s="44">
        <f>F71-SUM($F$69:G$69)</f>
        <v>-1</v>
      </c>
      <c r="H73" s="44">
        <f>G71-SUM($F$69:H$69)</f>
        <v>3</v>
      </c>
      <c r="I73" s="44">
        <f>H71-SUM($F$69:I$69)</f>
        <v>8</v>
      </c>
      <c r="J73" s="44">
        <f>I71-SUM($F$69:J$69)</f>
        <v>12</v>
      </c>
    </row>
  </sheetData>
  <sortState ref="D47:D52">
    <sortCondition ref="D41"/>
  </sortState>
  <conditionalFormatting sqref="C8:C55">
    <cfRule type="cellIs" dxfId="8" priority="7" operator="equal">
      <formula>"Inactive"</formula>
    </cfRule>
    <cfRule type="colorScale" priority="8">
      <colorScale>
        <cfvo type="min"/>
        <cfvo type="percentile" val="50"/>
        <cfvo type="max"/>
        <color theme="6"/>
        <color rgb="FFFFFF00"/>
        <color rgb="FFFF0000"/>
      </colorScale>
    </cfRule>
  </conditionalFormatting>
  <conditionalFormatting sqref="E4">
    <cfRule type="cellIs" dxfId="7" priority="2" operator="lessThan">
      <formula>2</formula>
    </cfRule>
    <cfRule type="cellIs" dxfId="6" priority="3" operator="greaterThan">
      <formula>0</formula>
    </cfRule>
  </conditionalFormatting>
  <conditionalFormatting sqref="D4">
    <cfRule type="cellIs" dxfId="5" priority="1" operator="lessThan">
      <formula>2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B1:M28"/>
  <sheetViews>
    <sheetView workbookViewId="0"/>
  </sheetViews>
  <sheetFormatPr defaultRowHeight="15" x14ac:dyDescent="0.25"/>
  <cols>
    <col min="2" max="2" width="15.7109375" bestFit="1" customWidth="1"/>
    <col min="10" max="10" width="9.140625" style="101"/>
    <col min="11" max="11" width="11.85546875" style="101" bestFit="1" customWidth="1"/>
    <col min="12" max="12" width="19" style="101" bestFit="1" customWidth="1"/>
    <col min="13" max="13" width="9.140625" style="101"/>
  </cols>
  <sheetData>
    <row r="1" spans="2:12" x14ac:dyDescent="0.25">
      <c r="L1" s="103">
        <f>INT((48+$C$4+static!$C$7-$C$6)/5)</f>
        <v>8</v>
      </c>
    </row>
    <row r="2" spans="2:12" ht="15.75" thickBot="1" x14ac:dyDescent="0.3">
      <c r="E2" s="101"/>
      <c r="F2" s="101"/>
      <c r="G2" s="101"/>
      <c r="H2" s="101"/>
      <c r="L2" s="104">
        <f>MOD((48+$C$4+static!$C$7-$C$6),5)</f>
        <v>4</v>
      </c>
    </row>
    <row r="3" spans="2:12" x14ac:dyDescent="0.25">
      <c r="B3" s="60" t="s">
        <v>105</v>
      </c>
      <c r="C3" s="56">
        <v>9</v>
      </c>
      <c r="E3" s="101"/>
      <c r="F3" s="95" t="s">
        <v>135</v>
      </c>
      <c r="G3" s="96" t="s">
        <v>131</v>
      </c>
      <c r="H3" s="101"/>
      <c r="K3" s="102" t="s">
        <v>136</v>
      </c>
      <c r="L3" s="102" t="s">
        <v>137</v>
      </c>
    </row>
    <row r="4" spans="2:12" x14ac:dyDescent="0.25">
      <c r="B4" s="61" t="s">
        <v>127</v>
      </c>
      <c r="C4" s="57">
        <v>5</v>
      </c>
      <c r="E4" s="101"/>
      <c r="F4" s="97">
        <v>2</v>
      </c>
      <c r="G4" s="98">
        <f>F4*4</f>
        <v>8</v>
      </c>
      <c r="H4" s="101"/>
      <c r="K4" s="101">
        <v>0</v>
      </c>
      <c r="L4" s="101">
        <f>$C$6</f>
        <v>9</v>
      </c>
    </row>
    <row r="5" spans="2:12" x14ac:dyDescent="0.25">
      <c r="B5" s="61" t="s">
        <v>134</v>
      </c>
      <c r="C5" s="58">
        <v>3</v>
      </c>
      <c r="E5" s="101"/>
      <c r="F5" s="97">
        <v>3</v>
      </c>
      <c r="G5" s="98">
        <f>F5*3</f>
        <v>9</v>
      </c>
      <c r="H5" s="101"/>
      <c r="K5" s="101">
        <v>1</v>
      </c>
      <c r="L5" s="101">
        <f>$L$1+IF($L$2&gt;$K5-1,1,0)</f>
        <v>9</v>
      </c>
    </row>
    <row r="6" spans="2:12" ht="15.75" thickBot="1" x14ac:dyDescent="0.3">
      <c r="B6" s="61" t="s">
        <v>131</v>
      </c>
      <c r="C6" s="77">
        <f>VLOOKUP(C5,$F$4:$G$6,2,0)</f>
        <v>9</v>
      </c>
      <c r="E6" s="101"/>
      <c r="F6" s="99">
        <v>4</v>
      </c>
      <c r="G6" s="100">
        <f>F6*2</f>
        <v>8</v>
      </c>
      <c r="H6" s="101"/>
      <c r="K6" s="101">
        <v>2</v>
      </c>
      <c r="L6" s="101">
        <f>$L$1+IF($L$2&gt;$K6-1,1,0)</f>
        <v>9</v>
      </c>
    </row>
    <row r="7" spans="2:12" x14ac:dyDescent="0.25">
      <c r="B7" s="61" t="s">
        <v>100</v>
      </c>
      <c r="C7" s="58">
        <v>0</v>
      </c>
      <c r="E7" s="101"/>
      <c r="F7" s="101"/>
      <c r="G7" s="101"/>
      <c r="H7" s="101"/>
      <c r="K7" s="101">
        <v>3</v>
      </c>
      <c r="L7" s="101">
        <f>$L$1+IF($L$2&gt;$K7-1,1,0)</f>
        <v>9</v>
      </c>
    </row>
    <row r="8" spans="2:12" ht="15.75" thickBot="1" x14ac:dyDescent="0.3">
      <c r="B8" s="62" t="s">
        <v>139</v>
      </c>
      <c r="C8" s="59">
        <f>ROUNDUP((48+$C$4+static!$C$7-$C$6)/2,0)</f>
        <v>22</v>
      </c>
      <c r="K8" s="101">
        <v>4</v>
      </c>
      <c r="L8" s="101">
        <f>$L$1+IF($L$2&gt;$K8-1,1,0)</f>
        <v>9</v>
      </c>
    </row>
    <row r="9" spans="2:12" x14ac:dyDescent="0.25">
      <c r="K9" s="101">
        <v>5</v>
      </c>
      <c r="L9" s="101">
        <f>$L$1+IF($L$2&gt;$K9-1,1,0)</f>
        <v>8</v>
      </c>
    </row>
    <row r="10" spans="2:12" x14ac:dyDescent="0.25">
      <c r="K10" s="101">
        <v>6</v>
      </c>
    </row>
    <row r="11" spans="2:12" ht="15.75" thickBot="1" x14ac:dyDescent="0.3"/>
    <row r="12" spans="2:12" ht="15.75" thickBot="1" x14ac:dyDescent="0.3">
      <c r="B12" s="69" t="s">
        <v>128</v>
      </c>
      <c r="C12" s="44"/>
      <c r="D12" s="44"/>
      <c r="E12" s="44"/>
      <c r="F12" s="44"/>
      <c r="G12" s="44"/>
      <c r="H12" s="44"/>
    </row>
    <row r="13" spans="2:12" x14ac:dyDescent="0.25">
      <c r="B13" s="26"/>
      <c r="C13" s="64">
        <v>0</v>
      </c>
      <c r="D13" s="64">
        <v>1</v>
      </c>
      <c r="E13" s="64">
        <v>2</v>
      </c>
      <c r="F13" s="64">
        <v>3</v>
      </c>
      <c r="G13" s="64">
        <v>4</v>
      </c>
      <c r="H13" s="65">
        <v>5</v>
      </c>
    </row>
    <row r="14" spans="2:12" ht="15.75" thickBot="1" x14ac:dyDescent="0.3">
      <c r="B14" s="63" t="s">
        <v>130</v>
      </c>
      <c r="C14" s="6"/>
      <c r="D14" s="6"/>
      <c r="E14" s="6"/>
      <c r="F14" s="6"/>
      <c r="G14" s="6"/>
      <c r="H14" s="49"/>
    </row>
    <row r="16" spans="2:12" s="101" customFormat="1" x14ac:dyDescent="0.25">
      <c r="B16" s="102" t="s">
        <v>139</v>
      </c>
      <c r="C16" s="101">
        <v>1</v>
      </c>
      <c r="D16" s="101">
        <v>2</v>
      </c>
      <c r="E16" s="101">
        <v>3</v>
      </c>
      <c r="F16" s="101">
        <v>4</v>
      </c>
    </row>
    <row r="17" spans="2:9" s="101" customFormat="1" x14ac:dyDescent="0.25">
      <c r="B17" s="101" t="s">
        <v>135</v>
      </c>
      <c r="C17" s="101" t="s">
        <v>154</v>
      </c>
      <c r="D17" s="101" t="s">
        <v>155</v>
      </c>
      <c r="E17" s="101" t="s">
        <v>156</v>
      </c>
      <c r="F17" s="101" t="s">
        <v>157</v>
      </c>
    </row>
    <row r="18" spans="2:9" s="101" customFormat="1" x14ac:dyDescent="0.25">
      <c r="B18" s="101">
        <v>2</v>
      </c>
      <c r="C18" s="101">
        <f>IF(C$16&lt;=$B18,$H18+IF($I18&gt;=C$16,1,0),0)</f>
        <v>11</v>
      </c>
      <c r="D18" s="101">
        <f t="shared" ref="D18:F20" si="0">IF(D$16&lt;=$B18,$H18+IF($I18&gt;=D$16,1,0),0)</f>
        <v>11</v>
      </c>
      <c r="E18" s="101">
        <f t="shared" si="0"/>
        <v>0</v>
      </c>
      <c r="F18" s="101">
        <f t="shared" si="0"/>
        <v>0</v>
      </c>
      <c r="H18" s="103">
        <f>INT($C$8/$B18)</f>
        <v>11</v>
      </c>
      <c r="I18" s="103">
        <f>MOD($C$8,$B18)</f>
        <v>0</v>
      </c>
    </row>
    <row r="19" spans="2:9" s="101" customFormat="1" x14ac:dyDescent="0.25">
      <c r="B19" s="101">
        <v>3</v>
      </c>
      <c r="C19" s="101">
        <f t="shared" ref="C19:C20" si="1">IF(C$16&lt;=$B19,$H19+IF($I19&gt;=C$16,1,0),0)</f>
        <v>8</v>
      </c>
      <c r="D19" s="101">
        <f t="shared" si="0"/>
        <v>7</v>
      </c>
      <c r="E19" s="101">
        <f t="shared" si="0"/>
        <v>7</v>
      </c>
      <c r="F19" s="101">
        <f t="shared" si="0"/>
        <v>0</v>
      </c>
      <c r="H19" s="103">
        <f t="shared" ref="H19:H20" si="2">INT($C$8/$B19)</f>
        <v>7</v>
      </c>
      <c r="I19" s="103">
        <f t="shared" ref="I19:I20" si="3">MOD($C$8,$B19)</f>
        <v>1</v>
      </c>
    </row>
    <row r="20" spans="2:9" s="101" customFormat="1" x14ac:dyDescent="0.25">
      <c r="B20" s="101">
        <v>4</v>
      </c>
      <c r="C20" s="101">
        <f t="shared" si="1"/>
        <v>6</v>
      </c>
      <c r="D20" s="101">
        <f t="shared" si="0"/>
        <v>6</v>
      </c>
      <c r="E20" s="101">
        <f t="shared" si="0"/>
        <v>5</v>
      </c>
      <c r="F20" s="101">
        <f t="shared" si="0"/>
        <v>5</v>
      </c>
      <c r="H20" s="103">
        <f t="shared" si="2"/>
        <v>5</v>
      </c>
      <c r="I20" s="103">
        <f t="shared" si="3"/>
        <v>2</v>
      </c>
    </row>
    <row r="21" spans="2:9" s="101" customFormat="1" x14ac:dyDescent="0.25">
      <c r="H21" s="103"/>
      <c r="I21" s="103"/>
    </row>
    <row r="22" spans="2:9" s="101" customFormat="1" x14ac:dyDescent="0.25"/>
    <row r="23" spans="2:9" s="101" customFormat="1" x14ac:dyDescent="0.25">
      <c r="B23" s="102" t="s">
        <v>145</v>
      </c>
      <c r="C23" s="101">
        <v>1</v>
      </c>
      <c r="D23" s="101">
        <v>2</v>
      </c>
      <c r="E23" s="101">
        <v>3</v>
      </c>
      <c r="F23" s="101">
        <v>4</v>
      </c>
    </row>
    <row r="24" spans="2:9" s="101" customFormat="1" x14ac:dyDescent="0.25">
      <c r="B24" s="101" t="s">
        <v>135</v>
      </c>
      <c r="C24" s="101" t="s">
        <v>154</v>
      </c>
      <c r="D24" s="101" t="s">
        <v>155</v>
      </c>
      <c r="E24" s="101" t="s">
        <v>156</v>
      </c>
      <c r="F24" s="101" t="s">
        <v>157</v>
      </c>
    </row>
    <row r="25" spans="2:9" s="101" customFormat="1" x14ac:dyDescent="0.25">
      <c r="B25" s="101">
        <v>2</v>
      </c>
      <c r="C25" s="101">
        <f>C18-IF(C$23&lt;=$B25,$H25+IF($I25&gt;=C$23,1,0),0)</f>
        <v>8</v>
      </c>
      <c r="D25" s="101">
        <f t="shared" ref="D25:F25" si="4">D18-IF(D$23&lt;=$B25,$H25+IF($I25&gt;=D$23,1,0),0)</f>
        <v>9</v>
      </c>
      <c r="E25" s="101">
        <f t="shared" si="4"/>
        <v>0</v>
      </c>
      <c r="F25" s="101">
        <f t="shared" si="4"/>
        <v>0</v>
      </c>
      <c r="H25" s="101">
        <f>INT(main!$M$64/$B25)</f>
        <v>2</v>
      </c>
      <c r="I25" s="101">
        <f>MOD(main!$M$64,$B25)</f>
        <v>1</v>
      </c>
    </row>
    <row r="26" spans="2:9" s="101" customFormat="1" x14ac:dyDescent="0.25">
      <c r="B26" s="101">
        <v>3</v>
      </c>
      <c r="C26" s="101">
        <f t="shared" ref="C26:F26" si="5">C19-IF(C$23&lt;=$B26,$H26+IF($I26&gt;=C$23,1,0),0)</f>
        <v>6</v>
      </c>
      <c r="D26" s="101">
        <f t="shared" si="5"/>
        <v>5</v>
      </c>
      <c r="E26" s="101">
        <f t="shared" si="5"/>
        <v>6</v>
      </c>
      <c r="F26" s="101">
        <f t="shared" si="5"/>
        <v>0</v>
      </c>
      <c r="H26" s="101">
        <f>INT(main!$M$64/$B26)</f>
        <v>1</v>
      </c>
      <c r="I26" s="101">
        <f>MOD(main!$M$64,$B26)</f>
        <v>2</v>
      </c>
    </row>
    <row r="27" spans="2:9" s="101" customFormat="1" x14ac:dyDescent="0.25">
      <c r="B27" s="101">
        <v>4</v>
      </c>
      <c r="C27" s="101">
        <f t="shared" ref="C27:F27" si="6">C20-IF(C$23&lt;=$B27,$H27+IF($I27&gt;=C$23,1,0),0)</f>
        <v>4</v>
      </c>
      <c r="D27" s="101">
        <f t="shared" si="6"/>
        <v>5</v>
      </c>
      <c r="E27" s="101">
        <f t="shared" si="6"/>
        <v>4</v>
      </c>
      <c r="F27" s="101">
        <f t="shared" si="6"/>
        <v>4</v>
      </c>
      <c r="H27" s="101">
        <f>INT(main!$M$64/$B27)</f>
        <v>1</v>
      </c>
      <c r="I27" s="101">
        <f>MOD(main!$M$64,$B27)</f>
        <v>1</v>
      </c>
    </row>
    <row r="28" spans="2:9" s="101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C2:I11"/>
  <sheetViews>
    <sheetView workbookViewId="0">
      <selection activeCell="I21" sqref="I21"/>
    </sheetView>
  </sheetViews>
  <sheetFormatPr defaultRowHeight="15" x14ac:dyDescent="0.25"/>
  <cols>
    <col min="1" max="2" width="2.140625" customWidth="1"/>
    <col min="3" max="3" width="19.42578125" bestFit="1" customWidth="1"/>
    <col min="8" max="8" width="10.140625" bestFit="1" customWidth="1"/>
  </cols>
  <sheetData>
    <row r="2" spans="3:9" x14ac:dyDescent="0.25">
      <c r="I2" t="b">
        <f>AND(I4:I7)</f>
        <v>0</v>
      </c>
    </row>
    <row r="3" spans="3:9" x14ac:dyDescent="0.25">
      <c r="D3" s="1" t="s">
        <v>14</v>
      </c>
      <c r="E3" s="1" t="s">
        <v>113</v>
      </c>
      <c r="F3" s="1" t="s">
        <v>126</v>
      </c>
      <c r="H3" s="1" t="s">
        <v>125</v>
      </c>
      <c r="I3" s="1" t="s">
        <v>120</v>
      </c>
    </row>
    <row r="4" spans="3:9" x14ac:dyDescent="0.25">
      <c r="C4" s="1" t="s">
        <v>112</v>
      </c>
      <c r="D4" s="48"/>
      <c r="E4" s="52">
        <f>IF(main!$X$5,main!$Y$6,IF(main!$Y$5,main!$Z$6,main!$X$6))</f>
        <v>0</v>
      </c>
      <c r="F4">
        <f>IF(D4="",E4,D4)</f>
        <v>0</v>
      </c>
      <c r="H4" s="54" t="s">
        <v>121</v>
      </c>
      <c r="I4" t="b">
        <f>IF(F4&gt;=F5,TRUE,FALSE)</f>
        <v>0</v>
      </c>
    </row>
    <row r="5" spans="3:9" x14ac:dyDescent="0.25">
      <c r="C5" s="1" t="s">
        <v>114</v>
      </c>
      <c r="D5" s="48"/>
      <c r="E5" s="52">
        <f>main!$N$3</f>
        <v>2</v>
      </c>
      <c r="F5">
        <f>IF(D5="",E5,D5)</f>
        <v>2</v>
      </c>
      <c r="H5" s="54" t="s">
        <v>124</v>
      </c>
      <c r="I5" t="b">
        <f>IF(F4&gt;=F6,TRUE,FALSE)</f>
        <v>0</v>
      </c>
    </row>
    <row r="6" spans="3:9" x14ac:dyDescent="0.25">
      <c r="C6" s="1" t="s">
        <v>115</v>
      </c>
      <c r="D6" s="48"/>
      <c r="E6" s="52">
        <v>1</v>
      </c>
      <c r="F6">
        <f t="shared" ref="F6:F7" si="0">IF(D6="",E6,D6)</f>
        <v>1</v>
      </c>
      <c r="H6" s="54" t="s">
        <v>122</v>
      </c>
      <c r="I6" t="b">
        <f>IF(F5&gt;=F7,TRUE,FALSE)</f>
        <v>1</v>
      </c>
    </row>
    <row r="7" spans="3:9" x14ac:dyDescent="0.25">
      <c r="C7" s="1" t="s">
        <v>118</v>
      </c>
      <c r="D7" s="48"/>
      <c r="E7" s="52">
        <v>1</v>
      </c>
      <c r="F7">
        <f t="shared" si="0"/>
        <v>1</v>
      </c>
      <c r="H7" s="54" t="s">
        <v>123</v>
      </c>
      <c r="I7" t="b">
        <f>IF(F6&gt;=F7,TRUE,FALSE)</f>
        <v>1</v>
      </c>
    </row>
    <row r="9" spans="3:9" x14ac:dyDescent="0.25">
      <c r="D9" s="1" t="s">
        <v>119</v>
      </c>
    </row>
    <row r="10" spans="3:9" x14ac:dyDescent="0.25">
      <c r="C10" s="53" t="s">
        <v>116</v>
      </c>
      <c r="D10" s="50">
        <f>IF($I$2,COMBIN($F$6,$F$7)*(COMBIN($F$4-$F$6,$F$5-$F$7)/COMBIN($F$4,$F$5)),0)</f>
        <v>0</v>
      </c>
    </row>
    <row r="11" spans="3:9" x14ac:dyDescent="0.25">
      <c r="C11" s="53" t="s">
        <v>117</v>
      </c>
      <c r="D11" s="50">
        <f>IF($I$2,COMBIN($F$6,$F$7)*(COMBIN($F$4-$F$7,$F$5-$F$7)/COMBIN($F$4,$F$5)),0)</f>
        <v>0</v>
      </c>
    </row>
  </sheetData>
  <conditionalFormatting sqref="I2:I7">
    <cfRule type="containsText" dxfId="0" priority="1" operator="containsText" text="FALSE">
      <formula>NOT(ISERROR(SEARCH("FALSE",I2)))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static</vt:lpstr>
      <vt:lpstr>adhoc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Xu</dc:creator>
  <cp:lastModifiedBy>Lin Xu</cp:lastModifiedBy>
  <dcterms:created xsi:type="dcterms:W3CDTF">2016-07-30T17:29:35Z</dcterms:created>
  <dcterms:modified xsi:type="dcterms:W3CDTF">2017-03-24T01:11:18Z</dcterms:modified>
</cp:coreProperties>
</file>