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pi/Desktop/cs 513 final exam/"/>
    </mc:Choice>
  </mc:AlternateContent>
  <xr:revisionPtr revIDLastSave="0" documentId="8_{D6FE32E1-07A2-8C48-BDF2-EA6906D0833C}" xr6:coauthVersionLast="43" xr6:coauthVersionMax="43" xr10:uidLastSave="{00000000-0000-0000-0000-000000000000}"/>
  <bookViews>
    <workbookView xWindow="380" yWindow="460" windowWidth="28040" windowHeight="15940" activeTab="1" xr2:uid="{CFEC6378-37D3-0D4A-9901-E6E5A73E75F0}"/>
  </bookViews>
  <sheets>
    <sheet name="Q1-CART" sheetId="1" r:id="rId1"/>
    <sheet name="Q2-C 4.5" sheetId="3" r:id="rId2"/>
  </sheets>
  <definedNames>
    <definedName name="_xlnm._FilterDatabase" localSheetId="0" hidden="1">'Q1-CART'!$B$3:$G$10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3" l="1"/>
  <c r="F19" i="3"/>
  <c r="L22" i="3"/>
  <c r="L19" i="3"/>
  <c r="H23" i="3"/>
  <c r="I23" i="3" s="1"/>
  <c r="F23" i="3"/>
  <c r="G23" i="3" s="1"/>
  <c r="D23" i="3"/>
  <c r="E23" i="3" s="1"/>
  <c r="H22" i="3"/>
  <c r="I22" i="3" s="1"/>
  <c r="F22" i="3"/>
  <c r="G22" i="3" s="1"/>
  <c r="D22" i="3"/>
  <c r="E22" i="3" s="1"/>
  <c r="J22" i="3" s="1"/>
  <c r="K22" i="3" s="1"/>
  <c r="H21" i="3"/>
  <c r="I21" i="3" s="1"/>
  <c r="G21" i="3"/>
  <c r="D21" i="3"/>
  <c r="E21" i="3" s="1"/>
  <c r="H20" i="3"/>
  <c r="I20" i="3" s="1"/>
  <c r="F20" i="3"/>
  <c r="G20" i="3" s="1"/>
  <c r="D20" i="3"/>
  <c r="E20" i="3" s="1"/>
  <c r="G19" i="3"/>
  <c r="D19" i="3"/>
  <c r="H19" i="3" s="1"/>
  <c r="I19" i="3" s="1"/>
  <c r="I38" i="3"/>
  <c r="G38" i="3"/>
  <c r="E38" i="3"/>
  <c r="I37" i="3"/>
  <c r="G37" i="3"/>
  <c r="E37" i="3"/>
  <c r="I45" i="3"/>
  <c r="G45" i="3"/>
  <c r="E45" i="3"/>
  <c r="I44" i="3"/>
  <c r="E44" i="3"/>
  <c r="I31" i="3"/>
  <c r="G31" i="3"/>
  <c r="E31" i="3"/>
  <c r="I30" i="3"/>
  <c r="G30" i="3"/>
  <c r="E30" i="3"/>
  <c r="J31" i="3" l="1"/>
  <c r="J20" i="3"/>
  <c r="K20" i="3" s="1"/>
  <c r="J23" i="3"/>
  <c r="K23" i="3" s="1"/>
  <c r="J21" i="3"/>
  <c r="K21" i="3" s="1"/>
  <c r="E19" i="3"/>
  <c r="J19" i="3" s="1"/>
  <c r="K19" i="3" s="1"/>
  <c r="J37" i="3"/>
  <c r="J30" i="3"/>
  <c r="J38" i="3"/>
  <c r="J44" i="3"/>
  <c r="J45" i="3"/>
  <c r="K9" i="3" l="1"/>
  <c r="L6" i="3" s="1"/>
  <c r="M6" i="3" s="1"/>
  <c r="J44" i="1"/>
  <c r="I44" i="1"/>
  <c r="H44" i="1"/>
  <c r="L44" i="1" s="1"/>
  <c r="G44" i="1"/>
  <c r="F44" i="1"/>
  <c r="E44" i="1"/>
  <c r="D44" i="1"/>
  <c r="C44" i="1"/>
  <c r="K44" i="1" s="1"/>
  <c r="M44" i="1" s="1"/>
  <c r="D39" i="1"/>
  <c r="J38" i="1"/>
  <c r="G39" i="1" s="1"/>
  <c r="I38" i="1"/>
  <c r="F39" i="1" s="1"/>
  <c r="H38" i="1"/>
  <c r="E39" i="1" s="1"/>
  <c r="L39" i="1" s="1"/>
  <c r="G38" i="1"/>
  <c r="J39" i="1" s="1"/>
  <c r="F38" i="1"/>
  <c r="I39" i="1" s="1"/>
  <c r="E38" i="1"/>
  <c r="H39" i="1" s="1"/>
  <c r="C38" i="1"/>
  <c r="D38" i="1" s="1"/>
  <c r="C39" i="1" s="1"/>
  <c r="K39" i="1" s="1"/>
  <c r="J24" i="1"/>
  <c r="I24" i="1"/>
  <c r="H24" i="1"/>
  <c r="G24" i="1"/>
  <c r="F24" i="1"/>
  <c r="E24" i="1"/>
  <c r="C24" i="1"/>
  <c r="D24" i="1" s="1"/>
  <c r="K24" i="1" s="1"/>
  <c r="J18" i="1"/>
  <c r="G18" i="1"/>
  <c r="I18" i="1"/>
  <c r="F18" i="1"/>
  <c r="H18" i="1"/>
  <c r="E18" i="1"/>
  <c r="L18" i="1" s="1"/>
  <c r="J17" i="1"/>
  <c r="G17" i="1"/>
  <c r="I17" i="1"/>
  <c r="F17" i="1"/>
  <c r="H17" i="1"/>
  <c r="E17" i="1"/>
  <c r="L17" i="1" s="1"/>
  <c r="K16" i="1"/>
  <c r="J16" i="1"/>
  <c r="I16" i="1"/>
  <c r="H16" i="1"/>
  <c r="G16" i="1"/>
  <c r="F16" i="1"/>
  <c r="E16" i="1"/>
  <c r="L16" i="1" s="1"/>
  <c r="L8" i="3" l="1"/>
  <c r="M8" i="3" s="1"/>
  <c r="L7" i="3"/>
  <c r="M7" i="3" s="1"/>
  <c r="M39" i="1"/>
  <c r="K38" i="1"/>
  <c r="M38" i="1" s="1"/>
  <c r="L38" i="1"/>
  <c r="L24" i="1"/>
  <c r="M24" i="1"/>
  <c r="M9" i="3" l="1"/>
  <c r="D18" i="1" l="1"/>
  <c r="K18" i="1" s="1"/>
  <c r="D17" i="1"/>
  <c r="K17" i="1" s="1"/>
  <c r="M17" i="1" l="1"/>
  <c r="M16" i="1"/>
  <c r="M18" i="1"/>
</calcChain>
</file>

<file path=xl/sharedStrings.xml><?xml version="1.0" encoding="utf-8"?>
<sst xmlns="http://schemas.openxmlformats.org/spreadsheetml/2006/main" count="219" uniqueCount="64">
  <si>
    <t>Ethnicity</t>
  </si>
  <si>
    <t>Age Category</t>
  </si>
  <si>
    <t>Alcohol</t>
  </si>
  <si>
    <t>Cocaine</t>
  </si>
  <si>
    <t>Heroin</t>
  </si>
  <si>
    <t>Row Total</t>
  </si>
  <si>
    <t>Black</t>
  </si>
  <si>
    <t>Old</t>
  </si>
  <si>
    <t>Young</t>
  </si>
  <si>
    <t>Hispanic</t>
  </si>
  <si>
    <t>White</t>
  </si>
  <si>
    <t>Column Total</t>
  </si>
  <si>
    <t>p(j/tl)</t>
  </si>
  <si>
    <t>p(j/tr)</t>
  </si>
  <si>
    <t>Split</t>
  </si>
  <si>
    <t>PL</t>
  </si>
  <si>
    <t>PR</t>
  </si>
  <si>
    <t>2Pl * PR</t>
  </si>
  <si>
    <t>q(s/t)</t>
  </si>
  <si>
    <t>Over all</t>
  </si>
  <si>
    <t>2*2/8*6/8</t>
  </si>
  <si>
    <t>|0-5/6|+|1-1/6|</t>
  </si>
  <si>
    <t>2Pl * PR * q(s/t)</t>
  </si>
  <si>
    <t>55/205</t>
  </si>
  <si>
    <t>Age</t>
  </si>
  <si>
    <t>CART FORMULA:</t>
  </si>
  <si>
    <t>Split by Ethinicity level</t>
  </si>
  <si>
    <t>205/400</t>
  </si>
  <si>
    <t>195/400</t>
  </si>
  <si>
    <t>Cocain</t>
  </si>
  <si>
    <t>120/205</t>
  </si>
  <si>
    <t>30/205</t>
  </si>
  <si>
    <t>101/195</t>
  </si>
  <si>
    <t>19/195</t>
  </si>
  <si>
    <t>75/195</t>
  </si>
  <si>
    <t>Split by Age</t>
  </si>
  <si>
    <t>Largest</t>
  </si>
  <si>
    <t>ANSWER</t>
  </si>
  <si>
    <t>The first split would be black on one node and hispanic and white on another.</t>
  </si>
  <si>
    <t>First Split</t>
  </si>
  <si>
    <t>Second Split</t>
  </si>
  <si>
    <t>Split by Ethinicity</t>
  </si>
  <si>
    <t xml:space="preserve">The Second split would be old on one node and young on another from Hispanic or White node of first level </t>
  </si>
  <si>
    <t>Fisrt Split</t>
  </si>
  <si>
    <t>H(x)=</t>
  </si>
  <si>
    <t>Hs(T)=</t>
  </si>
  <si>
    <t>Frequency</t>
  </si>
  <si>
    <t xml:space="preserve"> </t>
  </si>
  <si>
    <t>H(T)</t>
  </si>
  <si>
    <t>Addiction Type</t>
  </si>
  <si>
    <t>Number of Patients</t>
  </si>
  <si>
    <t>Answer:</t>
  </si>
  <si>
    <t>Total Gain</t>
  </si>
  <si>
    <t>Node- Black</t>
  </si>
  <si>
    <t>Node - Hispanic</t>
  </si>
  <si>
    <t>Node - white</t>
  </si>
  <si>
    <t xml:space="preserve">  - Sum(Pj* log(Pj)</t>
  </si>
  <si>
    <t>sum(Pi * Hs(Ti)</t>
  </si>
  <si>
    <r>
      <t>P</t>
    </r>
    <r>
      <rPr>
        <b/>
        <vertAlign val="subscript"/>
        <sz val="14"/>
        <color theme="1"/>
        <rFont val="Calibri"/>
        <family val="2"/>
        <scheme val="minor"/>
      </rPr>
      <t>j</t>
    </r>
  </si>
  <si>
    <r>
      <t>-P</t>
    </r>
    <r>
      <rPr>
        <b/>
        <vertAlign val="subscript"/>
        <sz val="14"/>
        <color theme="1"/>
        <rFont val="Calibri"/>
        <family val="2"/>
        <scheme val="minor"/>
      </rPr>
      <t xml:space="preserve">j </t>
    </r>
    <r>
      <rPr>
        <b/>
        <sz val="14"/>
        <color theme="1"/>
        <rFont val="Calibri"/>
        <family val="2"/>
        <scheme val="minor"/>
      </rPr>
      <t>* log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(P</t>
    </r>
    <r>
      <rPr>
        <b/>
        <vertAlign val="subscript"/>
        <sz val="14"/>
        <color theme="1"/>
        <rFont val="Calibri"/>
        <family val="2"/>
        <scheme val="minor"/>
      </rPr>
      <t>j</t>
    </r>
    <r>
      <rPr>
        <b/>
        <sz val="14"/>
        <color theme="1"/>
        <rFont val="Calibri"/>
        <family val="2"/>
        <scheme val="minor"/>
      </rPr>
      <t>)</t>
    </r>
  </si>
  <si>
    <r>
      <t>P</t>
    </r>
    <r>
      <rPr>
        <b/>
        <vertAlign val="subscript"/>
        <sz val="14"/>
        <color theme="0"/>
        <rFont val="Calibri"/>
        <family val="2"/>
        <scheme val="minor"/>
      </rPr>
      <t>j</t>
    </r>
  </si>
  <si>
    <r>
      <t>-P</t>
    </r>
    <r>
      <rPr>
        <b/>
        <vertAlign val="subscript"/>
        <sz val="14"/>
        <color theme="0"/>
        <rFont val="Calibri"/>
        <family val="2"/>
        <scheme val="minor"/>
      </rPr>
      <t xml:space="preserve">j </t>
    </r>
    <r>
      <rPr>
        <b/>
        <sz val="14"/>
        <color theme="0"/>
        <rFont val="Calibri"/>
        <family val="2"/>
        <scheme val="minor"/>
      </rPr>
      <t>* log</t>
    </r>
    <r>
      <rPr>
        <b/>
        <vertAlign val="subscript"/>
        <sz val="14"/>
        <color theme="0"/>
        <rFont val="Calibri"/>
        <family val="2"/>
        <scheme val="minor"/>
      </rPr>
      <t>2</t>
    </r>
    <r>
      <rPr>
        <b/>
        <sz val="14"/>
        <color theme="0"/>
        <rFont val="Calibri"/>
        <family val="2"/>
        <scheme val="minor"/>
      </rPr>
      <t>(P</t>
    </r>
    <r>
      <rPr>
        <b/>
        <vertAlign val="subscript"/>
        <sz val="14"/>
        <color theme="0"/>
        <rFont val="Calibri"/>
        <family val="2"/>
        <scheme val="minor"/>
      </rPr>
      <t>j</t>
    </r>
    <r>
      <rPr>
        <b/>
        <sz val="14"/>
        <color theme="0"/>
        <rFont val="Calibri"/>
        <family val="2"/>
        <scheme val="minor"/>
      </rPr>
      <t>)</t>
    </r>
  </si>
  <si>
    <t xml:space="preserve">Answer: </t>
  </si>
  <si>
    <t>The first split would Ethinicity at root level.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</si>
</sst>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8" formatCode="0.000"/>
    <numFmt numFmtId="169" formatCode="_(* #,##0.000_);_(* \(#,##0.000\);_(* &quot;-&quot;??_);_(@_)"/>
    <numFmt numFmtId="171" formatCode="0.0000"/>
    <numFmt numFmtId="172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548DD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vertAlign val="subscript"/>
      <sz val="14"/>
      <color theme="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000000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 applyBorder="1" applyAlignment="1">
      <alignment horizontal="right" vertical="center"/>
    </xf>
    <xf numFmtId="0" fontId="8" fillId="4" borderId="3" xfId="0" applyFont="1" applyFill="1" applyBorder="1"/>
    <xf numFmtId="0" fontId="8" fillId="4" borderId="3" xfId="0" quotePrefix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2" fillId="0" borderId="3" xfId="0" applyFont="1" applyBorder="1"/>
    <xf numFmtId="0" fontId="2" fillId="0" borderId="3" xfId="0" quotePrefix="1" applyFont="1" applyBorder="1" applyAlignment="1">
      <alignment horizontal="center"/>
    </xf>
    <xf numFmtId="169" fontId="2" fillId="3" borderId="3" xfId="1" quotePrefix="1" applyNumberFormat="1" applyFont="1" applyFill="1" applyBorder="1"/>
    <xf numFmtId="0" fontId="6" fillId="0" borderId="3" xfId="0" applyFont="1" applyBorder="1" applyAlignment="1">
      <alignment horizontal="center"/>
    </xf>
    <xf numFmtId="0" fontId="2" fillId="2" borderId="3" xfId="0" applyFont="1" applyFill="1" applyBorder="1"/>
    <xf numFmtId="168" fontId="2" fillId="2" borderId="3" xfId="0" applyNumberFormat="1" applyFont="1" applyFill="1" applyBorder="1" applyAlignment="1">
      <alignment horizontal="center"/>
    </xf>
    <xf numFmtId="169" fontId="2" fillId="2" borderId="3" xfId="1" applyNumberFormat="1" applyFont="1" applyFill="1" applyBorder="1"/>
    <xf numFmtId="168" fontId="2" fillId="0" borderId="3" xfId="0" applyNumberFormat="1" applyFont="1" applyBorder="1" applyAlignment="1">
      <alignment horizontal="center"/>
    </xf>
    <xf numFmtId="169" fontId="2" fillId="3" borderId="3" xfId="1" applyNumberFormat="1" applyFont="1" applyFill="1" applyBorder="1"/>
    <xf numFmtId="0" fontId="2" fillId="0" borderId="3" xfId="0" applyFont="1" applyBorder="1" applyAlignment="1">
      <alignment horizontal="center"/>
    </xf>
    <xf numFmtId="0" fontId="3" fillId="0" borderId="0" xfId="0" applyFont="1" applyFill="1"/>
    <xf numFmtId="0" fontId="3" fillId="0" borderId="0" xfId="0" applyFont="1" applyFill="1" applyBorder="1"/>
    <xf numFmtId="0" fontId="2" fillId="0" borderId="3" xfId="0" applyFont="1" applyFill="1" applyBorder="1"/>
    <xf numFmtId="168" fontId="2" fillId="0" borderId="3" xfId="0" applyNumberFormat="1" applyFont="1" applyFill="1" applyBorder="1" applyAlignment="1">
      <alignment horizontal="center"/>
    </xf>
    <xf numFmtId="168" fontId="2" fillId="0" borderId="1" xfId="0" quotePrefix="1" applyNumberFormat="1" applyFont="1" applyBorder="1" applyAlignment="1">
      <alignment horizontal="center" vertical="center"/>
    </xf>
    <xf numFmtId="168" fontId="2" fillId="0" borderId="2" xfId="0" applyNumberFormat="1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0" fontId="10" fillId="0" borderId="0" xfId="0" applyFont="1" applyFill="1" applyBorder="1"/>
    <xf numFmtId="0" fontId="9" fillId="0" borderId="0" xfId="0" applyFont="1" applyFill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8" fontId="2" fillId="0" borderId="4" xfId="0" applyNumberFormat="1" applyFont="1" applyBorder="1" applyAlignment="1">
      <alignment horizontal="center"/>
    </xf>
    <xf numFmtId="168" fontId="2" fillId="0" borderId="5" xfId="0" applyNumberFormat="1" applyFont="1" applyBorder="1" applyAlignment="1">
      <alignment horizontal="center"/>
    </xf>
    <xf numFmtId="168" fontId="11" fillId="2" borderId="3" xfId="0" applyNumberFormat="1" applyFont="1" applyFill="1" applyBorder="1" applyAlignment="1">
      <alignment horizontal="center"/>
    </xf>
    <xf numFmtId="168" fontId="11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168" fontId="2" fillId="0" borderId="3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168" fontId="12" fillId="2" borderId="3" xfId="0" applyNumberFormat="1" applyFont="1" applyFill="1" applyBorder="1" applyAlignment="1">
      <alignment horizontal="center" vertical="center"/>
    </xf>
    <xf numFmtId="168" fontId="2" fillId="2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168" fontId="2" fillId="0" borderId="3" xfId="0" quotePrefix="1" applyNumberFormat="1" applyFont="1" applyFill="1" applyBorder="1" applyAlignment="1">
      <alignment horizontal="center" vertical="center"/>
    </xf>
    <xf numFmtId="168" fontId="2" fillId="0" borderId="3" xfId="0" applyNumberFormat="1" applyFont="1" applyFill="1" applyBorder="1" applyAlignment="1">
      <alignment horizontal="center" vertical="center"/>
    </xf>
    <xf numFmtId="168" fontId="11" fillId="0" borderId="3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 applyFill="1" applyBorder="1" applyAlignment="1">
      <alignment horizontal="center" vertical="center"/>
    </xf>
    <xf numFmtId="168" fontId="12" fillId="0" borderId="0" xfId="0" applyNumberFormat="1" applyFont="1" applyFill="1" applyBorder="1" applyAlignment="1">
      <alignment horizontal="center" vertical="center"/>
    </xf>
    <xf numFmtId="168" fontId="2" fillId="0" borderId="0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quotePrefix="1" applyFont="1"/>
    <xf numFmtId="0" fontId="6" fillId="0" borderId="3" xfId="0" applyFont="1" applyFill="1" applyBorder="1" applyAlignment="1">
      <alignment horizontal="center" vertical="center"/>
    </xf>
    <xf numFmtId="0" fontId="6" fillId="0" borderId="3" xfId="0" quotePrefix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1" fontId="2" fillId="0" borderId="3" xfId="0" applyNumberFormat="1" applyFont="1" applyFill="1" applyBorder="1" applyAlignment="1">
      <alignment horizontal="center" vertical="center"/>
    </xf>
    <xf numFmtId="171" fontId="6" fillId="0" borderId="3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9" fillId="5" borderId="3" xfId="0" applyFont="1" applyFill="1" applyBorder="1" applyAlignment="1">
      <alignment horizontal="center" vertical="center"/>
    </xf>
    <xf numFmtId="168" fontId="16" fillId="0" borderId="3" xfId="0" applyNumberFormat="1" applyFont="1" applyBorder="1" applyAlignment="1">
      <alignment horizontal="center"/>
    </xf>
    <xf numFmtId="168" fontId="16" fillId="0" borderId="3" xfId="0" applyNumberFormat="1" applyFont="1" applyBorder="1" applyAlignment="1">
      <alignment horizontal="center" vertical="center"/>
    </xf>
    <xf numFmtId="168" fontId="16" fillId="0" borderId="0" xfId="0" applyNumberFormat="1" applyFont="1" applyFill="1" applyBorder="1" applyAlignment="1">
      <alignment horizontal="center"/>
    </xf>
    <xf numFmtId="168" fontId="17" fillId="0" borderId="0" xfId="0" applyNumberFormat="1" applyFont="1" applyFill="1" applyBorder="1" applyAlignment="1">
      <alignment horizontal="center" vertical="center"/>
    </xf>
    <xf numFmtId="168" fontId="16" fillId="2" borderId="3" xfId="0" applyNumberFormat="1" applyFont="1" applyFill="1" applyBorder="1" applyAlignment="1">
      <alignment horizontal="center"/>
    </xf>
    <xf numFmtId="168" fontId="16" fillId="2" borderId="3" xfId="0" applyNumberFormat="1" applyFont="1" applyFill="1" applyBorder="1" applyAlignment="1">
      <alignment horizontal="center" vertical="center"/>
    </xf>
    <xf numFmtId="0" fontId="16" fillId="0" borderId="0" xfId="0" applyFont="1"/>
    <xf numFmtId="168" fontId="16" fillId="0" borderId="0" xfId="0" applyNumberFormat="1" applyFont="1"/>
    <xf numFmtId="172" fontId="2" fillId="0" borderId="3" xfId="0" applyNumberFormat="1" applyFont="1" applyFill="1" applyBorder="1" applyAlignment="1">
      <alignment horizontal="center" vertical="center"/>
    </xf>
    <xf numFmtId="171" fontId="11" fillId="0" borderId="3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68" fontId="11" fillId="0" borderId="3" xfId="0" applyNumberFormat="1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/>
    </xf>
    <xf numFmtId="0" fontId="16" fillId="2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58"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8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8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8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8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8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8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8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8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8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8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8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8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/>
        <right/>
        <top/>
        <bottom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8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8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8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8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8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8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8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8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8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8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8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medium">
          <color indexed="64"/>
        </left>
        <right/>
        <top/>
        <bottom/>
      </border>
    </dxf>
    <dxf>
      <fill>
        <patternFill patternType="solid">
          <fgColor indexed="64"/>
          <bgColor rgb="FF00B0F0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rgb="FF00B0F0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rgb="FF00B0F0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medium">
          <color indexed="64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12700</xdr:colOff>
          <xdr:row>3</xdr:row>
          <xdr:rowOff>139700</xdr:rowOff>
        </xdr:from>
        <xdr:to>
          <xdr:col>15</xdr:col>
          <xdr:colOff>635000</xdr:colOff>
          <xdr:row>6</xdr:row>
          <xdr:rowOff>279400</xdr:rowOff>
        </xdr:to>
        <xdr:sp macro="" textlink="">
          <xdr:nvSpPr>
            <xdr:cNvPr id="1025" name="Object 5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E0F6D64-8F50-3D41-B754-0B9F30E0DE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49</xdr:row>
      <xdr:rowOff>12700</xdr:rowOff>
    </xdr:from>
    <xdr:to>
      <xdr:col>6</xdr:col>
      <xdr:colOff>685800</xdr:colOff>
      <xdr:row>52</xdr:row>
      <xdr:rowOff>50800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3A3B56A6-88D1-C341-96AB-317DF9752D7E}"/>
            </a:ext>
          </a:extLst>
        </xdr:cNvPr>
        <xdr:cNvSpPr/>
      </xdr:nvSpPr>
      <xdr:spPr>
        <a:xfrm>
          <a:off x="4686300" y="11836400"/>
          <a:ext cx="990600" cy="762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Root</a:t>
          </a:r>
          <a:endParaRPr lang="en-US" sz="1100"/>
        </a:p>
      </xdr:txBody>
    </xdr:sp>
    <xdr:clientData/>
  </xdr:twoCellAnchor>
  <xdr:twoCellAnchor>
    <xdr:from>
      <xdr:col>1</xdr:col>
      <xdr:colOff>762000</xdr:colOff>
      <xdr:row>54</xdr:row>
      <xdr:rowOff>0</xdr:rowOff>
    </xdr:from>
    <xdr:to>
      <xdr:col>3</xdr:col>
      <xdr:colOff>177800</xdr:colOff>
      <xdr:row>57</xdr:row>
      <xdr:rowOff>139700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9670472-3916-5B45-A5A0-34714817E63C}"/>
            </a:ext>
          </a:extLst>
        </xdr:cNvPr>
        <xdr:cNvSpPr/>
      </xdr:nvSpPr>
      <xdr:spPr>
        <a:xfrm>
          <a:off x="1587500" y="13030200"/>
          <a:ext cx="1066800" cy="863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Black</a:t>
          </a:r>
        </a:p>
      </xdr:txBody>
    </xdr:sp>
    <xdr:clientData/>
  </xdr:twoCellAnchor>
  <xdr:twoCellAnchor>
    <xdr:from>
      <xdr:col>5</xdr:col>
      <xdr:colOff>317500</xdr:colOff>
      <xdr:row>54</xdr:row>
      <xdr:rowOff>50800</xdr:rowOff>
    </xdr:from>
    <xdr:to>
      <xdr:col>7</xdr:col>
      <xdr:colOff>114300</xdr:colOff>
      <xdr:row>57</xdr:row>
      <xdr:rowOff>190500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A0624719-A56A-E142-B280-19D041541A46}"/>
            </a:ext>
          </a:extLst>
        </xdr:cNvPr>
        <xdr:cNvSpPr/>
      </xdr:nvSpPr>
      <xdr:spPr>
        <a:xfrm>
          <a:off x="4470400" y="13081000"/>
          <a:ext cx="1473200" cy="863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Hispanic</a:t>
          </a:r>
        </a:p>
      </xdr:txBody>
    </xdr:sp>
    <xdr:clientData/>
  </xdr:twoCellAnchor>
  <xdr:twoCellAnchor>
    <xdr:from>
      <xdr:col>9</xdr:col>
      <xdr:colOff>622300</xdr:colOff>
      <xdr:row>54</xdr:row>
      <xdr:rowOff>25400</xdr:rowOff>
    </xdr:from>
    <xdr:to>
      <xdr:col>10</xdr:col>
      <xdr:colOff>457200</xdr:colOff>
      <xdr:row>57</xdr:row>
      <xdr:rowOff>165100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1516811-7C78-7843-AD74-5D3A51C0BC97}"/>
            </a:ext>
          </a:extLst>
        </xdr:cNvPr>
        <xdr:cNvSpPr/>
      </xdr:nvSpPr>
      <xdr:spPr>
        <a:xfrm>
          <a:off x="8128000" y="13055600"/>
          <a:ext cx="1066800" cy="863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White</a:t>
          </a:r>
        </a:p>
      </xdr:txBody>
    </xdr:sp>
    <xdr:clientData/>
  </xdr:twoCellAnchor>
  <xdr:twoCellAnchor>
    <xdr:from>
      <xdr:col>0</xdr:col>
      <xdr:colOff>762000</xdr:colOff>
      <xdr:row>60</xdr:row>
      <xdr:rowOff>12700</xdr:rowOff>
    </xdr:from>
    <xdr:to>
      <xdr:col>2</xdr:col>
      <xdr:colOff>177800</xdr:colOff>
      <xdr:row>63</xdr:row>
      <xdr:rowOff>152400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1F32BF1-7E8B-7B47-BF2A-655CEDBC9072}"/>
            </a:ext>
          </a:extLst>
        </xdr:cNvPr>
        <xdr:cNvSpPr/>
      </xdr:nvSpPr>
      <xdr:spPr>
        <a:xfrm>
          <a:off x="762000" y="14490700"/>
          <a:ext cx="1066800" cy="863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Old</a:t>
          </a:r>
        </a:p>
      </xdr:txBody>
    </xdr:sp>
    <xdr:clientData/>
  </xdr:twoCellAnchor>
  <xdr:twoCellAnchor>
    <xdr:from>
      <xdr:col>2</xdr:col>
      <xdr:colOff>749300</xdr:colOff>
      <xdr:row>60</xdr:row>
      <xdr:rowOff>63500</xdr:rowOff>
    </xdr:from>
    <xdr:to>
      <xdr:col>4</xdr:col>
      <xdr:colOff>254000</xdr:colOff>
      <xdr:row>63</xdr:row>
      <xdr:rowOff>203200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AEFD1CB-2A7D-3642-B3E2-E0AC77EEC2C2}"/>
            </a:ext>
          </a:extLst>
        </xdr:cNvPr>
        <xdr:cNvSpPr/>
      </xdr:nvSpPr>
      <xdr:spPr>
        <a:xfrm>
          <a:off x="2400300" y="14541500"/>
          <a:ext cx="1168400" cy="863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Young</a:t>
          </a:r>
        </a:p>
      </xdr:txBody>
    </xdr:sp>
    <xdr:clientData/>
  </xdr:twoCellAnchor>
  <xdr:twoCellAnchor>
    <xdr:from>
      <xdr:col>1</xdr:col>
      <xdr:colOff>469900</xdr:colOff>
      <xdr:row>57</xdr:row>
      <xdr:rowOff>114300</xdr:rowOff>
    </xdr:from>
    <xdr:to>
      <xdr:col>2</xdr:col>
      <xdr:colOff>266700</xdr:colOff>
      <xdr:row>60</xdr:row>
      <xdr:rowOff>12700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B7D79E3-85DE-4E4A-8A34-D945591F6532}"/>
            </a:ext>
          </a:extLst>
        </xdr:cNvPr>
        <xdr:cNvCxnSpPr>
          <a:endCxn id="6" idx="0"/>
        </xdr:cNvCxnSpPr>
      </xdr:nvCxnSpPr>
      <xdr:spPr>
        <a:xfrm flipH="1">
          <a:off x="1295400" y="13868400"/>
          <a:ext cx="622300" cy="62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723900</xdr:colOff>
      <xdr:row>57</xdr:row>
      <xdr:rowOff>114300</xdr:rowOff>
    </xdr:from>
    <xdr:to>
      <xdr:col>3</xdr:col>
      <xdr:colOff>330200</xdr:colOff>
      <xdr:row>60</xdr:row>
      <xdr:rowOff>38100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B4626BF1-B60D-594E-BF2A-F8843452C244}"/>
            </a:ext>
          </a:extLst>
        </xdr:cNvPr>
        <xdr:cNvCxnSpPr/>
      </xdr:nvCxnSpPr>
      <xdr:spPr>
        <a:xfrm>
          <a:off x="2374900" y="13868400"/>
          <a:ext cx="431800" cy="647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60</xdr:row>
      <xdr:rowOff>88900</xdr:rowOff>
    </xdr:from>
    <xdr:to>
      <xdr:col>5</xdr:col>
      <xdr:colOff>711200</xdr:colOff>
      <xdr:row>63</xdr:row>
      <xdr:rowOff>228600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60BDC3B-6718-FD4F-8C9C-5A6B40087056}"/>
            </a:ext>
          </a:extLst>
        </xdr:cNvPr>
        <xdr:cNvSpPr/>
      </xdr:nvSpPr>
      <xdr:spPr>
        <a:xfrm>
          <a:off x="3797300" y="14566900"/>
          <a:ext cx="1066800" cy="863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Old</a:t>
          </a:r>
        </a:p>
      </xdr:txBody>
    </xdr:sp>
    <xdr:clientData/>
  </xdr:twoCellAnchor>
  <xdr:twoCellAnchor>
    <xdr:from>
      <xdr:col>6</xdr:col>
      <xdr:colOff>444500</xdr:colOff>
      <xdr:row>60</xdr:row>
      <xdr:rowOff>139700</xdr:rowOff>
    </xdr:from>
    <xdr:to>
      <xdr:col>7</xdr:col>
      <xdr:colOff>774700</xdr:colOff>
      <xdr:row>64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205CA3F-068E-0842-BBB9-F6A77DA6BC7E}"/>
            </a:ext>
          </a:extLst>
        </xdr:cNvPr>
        <xdr:cNvSpPr/>
      </xdr:nvSpPr>
      <xdr:spPr>
        <a:xfrm>
          <a:off x="5435600" y="14617700"/>
          <a:ext cx="1168400" cy="863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Young</a:t>
          </a:r>
        </a:p>
      </xdr:txBody>
    </xdr:sp>
    <xdr:clientData/>
  </xdr:twoCellAnchor>
  <xdr:twoCellAnchor>
    <xdr:from>
      <xdr:col>5</xdr:col>
      <xdr:colOff>177800</xdr:colOff>
      <xdr:row>57</xdr:row>
      <xdr:rowOff>190500</xdr:rowOff>
    </xdr:from>
    <xdr:to>
      <xdr:col>5</xdr:col>
      <xdr:colOff>800100</xdr:colOff>
      <xdr:row>60</xdr:row>
      <xdr:rowOff>88900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1A8BFC-A674-304F-893C-35C25FFB8131}"/>
            </a:ext>
          </a:extLst>
        </xdr:cNvPr>
        <xdr:cNvCxnSpPr>
          <a:endCxn id="12" idx="0"/>
        </xdr:cNvCxnSpPr>
      </xdr:nvCxnSpPr>
      <xdr:spPr>
        <a:xfrm flipH="1">
          <a:off x="4330700" y="13944600"/>
          <a:ext cx="622300" cy="62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57</xdr:row>
      <xdr:rowOff>190500</xdr:rowOff>
    </xdr:from>
    <xdr:to>
      <xdr:col>7</xdr:col>
      <xdr:colOff>12700</xdr:colOff>
      <xdr:row>60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93D24145-2688-1342-BF26-1820D249CAAD}"/>
            </a:ext>
          </a:extLst>
        </xdr:cNvPr>
        <xdr:cNvCxnSpPr/>
      </xdr:nvCxnSpPr>
      <xdr:spPr>
        <a:xfrm>
          <a:off x="5410200" y="13944600"/>
          <a:ext cx="431800" cy="647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596900</xdr:colOff>
      <xdr:row>60</xdr:row>
      <xdr:rowOff>76200</xdr:rowOff>
    </xdr:from>
    <xdr:to>
      <xdr:col>9</xdr:col>
      <xdr:colOff>825500</xdr:colOff>
      <xdr:row>63</xdr:row>
      <xdr:rowOff>215900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7444B130-128D-564B-8830-2D4C5C8710F3}"/>
            </a:ext>
          </a:extLst>
        </xdr:cNvPr>
        <xdr:cNvSpPr/>
      </xdr:nvSpPr>
      <xdr:spPr>
        <a:xfrm>
          <a:off x="7264400" y="14554200"/>
          <a:ext cx="1066800" cy="863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Old</a:t>
          </a:r>
        </a:p>
      </xdr:txBody>
    </xdr:sp>
    <xdr:clientData/>
  </xdr:twoCellAnchor>
  <xdr:twoCellAnchor>
    <xdr:from>
      <xdr:col>10</xdr:col>
      <xdr:colOff>165100</xdr:colOff>
      <xdr:row>60</xdr:row>
      <xdr:rowOff>127000</xdr:rowOff>
    </xdr:from>
    <xdr:to>
      <xdr:col>11</xdr:col>
      <xdr:colOff>279400</xdr:colOff>
      <xdr:row>64</xdr:row>
      <xdr:rowOff>25400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279321C3-B934-5B4B-B6B1-C6AA197188ED}"/>
            </a:ext>
          </a:extLst>
        </xdr:cNvPr>
        <xdr:cNvSpPr/>
      </xdr:nvSpPr>
      <xdr:spPr>
        <a:xfrm>
          <a:off x="8902700" y="14605000"/>
          <a:ext cx="1168400" cy="863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Young</a:t>
          </a:r>
        </a:p>
      </xdr:txBody>
    </xdr:sp>
    <xdr:clientData/>
  </xdr:twoCellAnchor>
  <xdr:twoCellAnchor>
    <xdr:from>
      <xdr:col>9</xdr:col>
      <xdr:colOff>292100</xdr:colOff>
      <xdr:row>57</xdr:row>
      <xdr:rowOff>177800</xdr:rowOff>
    </xdr:from>
    <xdr:to>
      <xdr:col>9</xdr:col>
      <xdr:colOff>914400</xdr:colOff>
      <xdr:row>60</xdr:row>
      <xdr:rowOff>76200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76FC53F6-3DD1-0344-88D0-AE51CA0DCA76}"/>
            </a:ext>
          </a:extLst>
        </xdr:cNvPr>
        <xdr:cNvCxnSpPr>
          <a:endCxn id="16" idx="0"/>
        </xdr:cNvCxnSpPr>
      </xdr:nvCxnSpPr>
      <xdr:spPr>
        <a:xfrm flipH="1">
          <a:off x="7797800" y="13931900"/>
          <a:ext cx="622300" cy="62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139700</xdr:colOff>
      <xdr:row>57</xdr:row>
      <xdr:rowOff>177800</xdr:rowOff>
    </xdr:from>
    <xdr:to>
      <xdr:col>10</xdr:col>
      <xdr:colOff>571500</xdr:colOff>
      <xdr:row>60</xdr:row>
      <xdr:rowOff>101600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92F93EA4-67D2-F443-917B-4340E674E7A1}"/>
            </a:ext>
          </a:extLst>
        </xdr:cNvPr>
        <xdr:cNvCxnSpPr/>
      </xdr:nvCxnSpPr>
      <xdr:spPr>
        <a:xfrm>
          <a:off x="8877300" y="13931900"/>
          <a:ext cx="431800" cy="647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787400</xdr:colOff>
      <xdr:row>51</xdr:row>
      <xdr:rowOff>180508</xdr:rowOff>
    </xdr:from>
    <xdr:to>
      <xdr:col>5</xdr:col>
      <xdr:colOff>678470</xdr:colOff>
      <xdr:row>54</xdr:row>
      <xdr:rowOff>12700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92A9109-C337-F54B-833D-E80462E8C3BE}"/>
            </a:ext>
          </a:extLst>
        </xdr:cNvPr>
        <xdr:cNvCxnSpPr>
          <a:stCxn id="2" idx="3"/>
        </xdr:cNvCxnSpPr>
      </xdr:nvCxnSpPr>
      <xdr:spPr>
        <a:xfrm flipH="1">
          <a:off x="2438400" y="12486808"/>
          <a:ext cx="2392970" cy="5560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</xdr:colOff>
      <xdr:row>52</xdr:row>
      <xdr:rowOff>50800</xdr:rowOff>
    </xdr:from>
    <xdr:to>
      <xdr:col>6</xdr:col>
      <xdr:colOff>215900</xdr:colOff>
      <xdr:row>54</xdr:row>
      <xdr:rowOff>50800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2370B1D9-8CB4-E34D-B1BB-E11927DE5920}"/>
            </a:ext>
          </a:extLst>
        </xdr:cNvPr>
        <xdr:cNvCxnSpPr>
          <a:stCxn id="2" idx="4"/>
          <a:endCxn id="4" idx="0"/>
        </xdr:cNvCxnSpPr>
      </xdr:nvCxnSpPr>
      <xdr:spPr>
        <a:xfrm>
          <a:off x="5181600" y="12598400"/>
          <a:ext cx="25400" cy="482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540730</xdr:colOff>
      <xdr:row>51</xdr:row>
      <xdr:rowOff>180508</xdr:rowOff>
    </xdr:from>
    <xdr:to>
      <xdr:col>9</xdr:col>
      <xdr:colOff>901700</xdr:colOff>
      <xdr:row>54</xdr:row>
      <xdr:rowOff>50800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EC411F7-F97E-6949-B12F-18D1F2BC46F3}"/>
            </a:ext>
          </a:extLst>
        </xdr:cNvPr>
        <xdr:cNvCxnSpPr>
          <a:stCxn id="2" idx="5"/>
        </xdr:cNvCxnSpPr>
      </xdr:nvCxnSpPr>
      <xdr:spPr>
        <a:xfrm>
          <a:off x="5531830" y="12486808"/>
          <a:ext cx="2875570" cy="5941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317D99-0A73-2B4E-8784-DD374DCAB15C}" name="Table1" displayName="Table1" ref="B14:N19" headerRowCount="0" totalsRowShown="0" headerRowDxfId="31" dataDxfId="30" tableBorderDxfId="45" totalsRowBorderDxfId="44">
  <tableColumns count="13">
    <tableColumn id="1" xr3:uid="{853910DF-0140-FD45-AD5F-D58E8266ECCD}" name="Column1" headerRowDxfId="46" dataDxfId="43"/>
    <tableColumn id="2" xr3:uid="{FFF6ADE5-F47D-CB45-9705-75827D090FA3}" name="Column2" headerRowDxfId="47" dataDxfId="42"/>
    <tableColumn id="3" xr3:uid="{0C5D3BD8-3C6E-074B-800C-170A7857113C}" name="Column3" headerRowDxfId="48" dataDxfId="41"/>
    <tableColumn id="4" xr3:uid="{AF33CBB1-A7F7-5B41-A1E9-FA75B7FD3224}" name="p(j/tl)" headerRowDxfId="49" dataDxfId="40"/>
    <tableColumn id="5" xr3:uid="{E2A8C8F2-0809-074C-85A0-96328F7A76B7}" name="Column4" headerRowDxfId="50" dataDxfId="39"/>
    <tableColumn id="6" xr3:uid="{AAC22876-7955-1C4A-AA1A-7249944206AF}" name="Column5" headerRowDxfId="51" dataDxfId="38"/>
    <tableColumn id="7" xr3:uid="{EA59FDC6-7DCB-9B45-8FAD-97BB9B5AD626}" name="p(j/tr)" headerRowDxfId="52" dataDxfId="37"/>
    <tableColumn id="8" xr3:uid="{87B8F987-7B07-F941-9622-DD00FA780959}" name="Column6" headerRowDxfId="53" dataDxfId="36"/>
    <tableColumn id="9" xr3:uid="{5693AFA5-A94C-9044-810C-81949011B436}" name="Column7" headerRowDxfId="54" dataDxfId="35"/>
    <tableColumn id="10" xr3:uid="{D99C3040-D79B-1B49-8917-6F8694AB702D}" name="Column8" headerRowDxfId="55" dataDxfId="34"/>
    <tableColumn id="11" xr3:uid="{FD1EC851-E221-E945-8128-8B0FA08C11FB}" name="Column9" headerRowDxfId="56" dataDxfId="33"/>
    <tableColumn id="12" xr3:uid="{EF276EAB-8549-D047-AA26-7A6E2D6627B6}" name="Column10" headerRowDxfId="57" dataDxfId="32"/>
    <tableColumn id="13" xr3:uid="{88210BF3-49FF-4D4E-AEA1-8B8875331E43}" name="Column11" headerRowDxfId="0" dataDxfId="1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87874D-8D81-D145-9140-DC56B1354797}" name="Table13" displayName="Table13" ref="B23:M25" headerRowCount="0" totalsRowShown="0" headerRowDxfId="29" dataDxfId="28" tableBorderDxfId="27" totalsRowBorderDxfId="26">
  <tableColumns count="12">
    <tableColumn id="1" xr3:uid="{6456911A-D305-914C-9A66-A3C5BB697FFF}" name="Column1" headerRowDxfId="25" dataDxfId="24"/>
    <tableColumn id="2" xr3:uid="{EF925221-D816-8844-B8D7-BA8D09BF3A4F}" name="Column2" headerRowDxfId="23" dataDxfId="22"/>
    <tableColumn id="3" xr3:uid="{2675DD6D-57B5-3745-B080-1F3ED1E2D988}" name="Column3" headerRowDxfId="21" dataDxfId="20"/>
    <tableColumn id="4" xr3:uid="{F6E09760-66C5-2341-BC99-C770CE57D860}" name="p(j/tl)" headerRowDxfId="19" dataDxfId="18"/>
    <tableColumn id="5" xr3:uid="{A7F4FA32-B185-004C-A1D0-F435AA05704A}" name="Column4" headerRowDxfId="17" dataDxfId="16"/>
    <tableColumn id="6" xr3:uid="{5B5E9932-5331-8E4A-A3A8-01420F8493FA}" name="Column5" headerRowDxfId="15" dataDxfId="14"/>
    <tableColumn id="7" xr3:uid="{EB85472F-4F08-3544-9814-71605AFC71C9}" name="p(j/tr)" headerRowDxfId="13" dataDxfId="12"/>
    <tableColumn id="8" xr3:uid="{DB575337-8AD4-0049-B8A8-6441B937A76C}" name="Column6" headerRowDxfId="11" dataDxfId="10"/>
    <tableColumn id="9" xr3:uid="{EDEF4EF2-AAC3-244D-B943-00AD2748A636}" name="Column7" headerRowDxfId="9" dataDxfId="8"/>
    <tableColumn id="10" xr3:uid="{A4B50EF8-E86C-7A41-887E-E7BA270EF114}" name="Column8" headerRowDxfId="7" dataDxfId="6"/>
    <tableColumn id="11" xr3:uid="{81712EF1-4EF8-B44A-8CB5-8FBB039AE7F2}" name="Column9" headerRowDxfId="5" dataDxfId="4"/>
    <tableColumn id="12" xr3:uid="{62C92EE7-2E58-5341-BED9-460599BF47A4}" name="Column10" headerRowDxfId="3" dataDxfId="2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5687C-18CF-1142-93D3-CD3EB3D3498B}">
  <dimension ref="A1:N48"/>
  <sheetViews>
    <sheetView topLeftCell="A16" workbookViewId="0">
      <selection activeCell="B15" sqref="B15"/>
    </sheetView>
  </sheetViews>
  <sheetFormatPr baseColWidth="10" defaultRowHeight="24" x14ac:dyDescent="0.3"/>
  <cols>
    <col min="1" max="1" width="12.83203125" style="2" bestFit="1" customWidth="1"/>
    <col min="2" max="2" width="16" style="2" bestFit="1" customWidth="1"/>
    <col min="3" max="3" width="17.6640625" style="2" bestFit="1" customWidth="1"/>
    <col min="4" max="4" width="12.83203125" style="2" customWidth="1"/>
    <col min="5" max="5" width="11.1640625" style="2" bestFit="1" customWidth="1"/>
    <col min="6" max="6" width="11.1640625" style="2" customWidth="1"/>
    <col min="7" max="7" width="10.83203125" style="2"/>
    <col min="8" max="8" width="13.6640625" style="2" bestFit="1" customWidth="1"/>
    <col min="9" max="9" width="13.6640625" style="2" customWidth="1"/>
    <col min="10" max="10" width="10.83203125" style="2"/>
    <col min="11" max="11" width="10.6640625" style="2" customWidth="1"/>
    <col min="12" max="12" width="15.1640625" style="2" bestFit="1" customWidth="1"/>
    <col min="13" max="13" width="22.33203125" style="2" bestFit="1" customWidth="1"/>
    <col min="14" max="16384" width="10.83203125" style="2"/>
  </cols>
  <sheetData>
    <row r="1" spans="2:14" x14ac:dyDescent="0.3">
      <c r="H1" s="26"/>
    </row>
    <row r="2" spans="2:14" x14ac:dyDescent="0.3">
      <c r="H2" s="26"/>
    </row>
    <row r="3" spans="2:14" x14ac:dyDescent="0.3">
      <c r="B3" s="28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7"/>
      <c r="I3" s="3" t="s">
        <v>25</v>
      </c>
    </row>
    <row r="4" spans="2:14" s="3" customFormat="1" x14ac:dyDescent="0.3">
      <c r="B4" s="28" t="s">
        <v>6</v>
      </c>
      <c r="C4" s="28" t="s">
        <v>7</v>
      </c>
      <c r="D4" s="30">
        <v>30</v>
      </c>
      <c r="E4" s="30">
        <v>48</v>
      </c>
      <c r="F4" s="30">
        <v>17</v>
      </c>
      <c r="G4" s="29">
        <v>95</v>
      </c>
      <c r="H4" s="27"/>
      <c r="I4" s="4"/>
    </row>
    <row r="5" spans="2:14" x14ac:dyDescent="0.3">
      <c r="B5" s="28" t="s">
        <v>6</v>
      </c>
      <c r="C5" s="28" t="s">
        <v>8</v>
      </c>
      <c r="D5" s="30">
        <v>25</v>
      </c>
      <c r="E5" s="30">
        <v>72</v>
      </c>
      <c r="F5" s="30">
        <v>13</v>
      </c>
      <c r="G5" s="29">
        <v>110</v>
      </c>
      <c r="H5" s="27"/>
      <c r="I5" s="4"/>
    </row>
    <row r="6" spans="2:14" x14ac:dyDescent="0.3">
      <c r="B6" s="28" t="s">
        <v>9</v>
      </c>
      <c r="C6" s="28" t="s">
        <v>7</v>
      </c>
      <c r="D6" s="30">
        <v>7</v>
      </c>
      <c r="E6" s="30">
        <v>0</v>
      </c>
      <c r="F6" s="30">
        <v>5</v>
      </c>
      <c r="G6" s="29">
        <v>12</v>
      </c>
      <c r="H6" s="27"/>
      <c r="I6" s="4"/>
    </row>
    <row r="7" spans="2:14" x14ac:dyDescent="0.3">
      <c r="B7" s="28" t="s">
        <v>9</v>
      </c>
      <c r="C7" s="28" t="s">
        <v>8</v>
      </c>
      <c r="D7" s="30">
        <v>8</v>
      </c>
      <c r="E7" s="30">
        <v>7</v>
      </c>
      <c r="F7" s="30">
        <v>19</v>
      </c>
      <c r="G7" s="29">
        <v>34</v>
      </c>
      <c r="H7" s="27"/>
      <c r="I7" s="4"/>
    </row>
    <row r="8" spans="2:14" x14ac:dyDescent="0.3">
      <c r="B8" s="28" t="s">
        <v>10</v>
      </c>
      <c r="C8" s="28" t="s">
        <v>7</v>
      </c>
      <c r="D8" s="30">
        <v>60</v>
      </c>
      <c r="E8" s="30">
        <v>2</v>
      </c>
      <c r="F8" s="30">
        <v>17</v>
      </c>
      <c r="G8" s="29">
        <v>79</v>
      </c>
      <c r="H8" s="27"/>
      <c r="I8" s="4"/>
    </row>
    <row r="9" spans="2:14" x14ac:dyDescent="0.3">
      <c r="B9" s="28" t="s">
        <v>10</v>
      </c>
      <c r="C9" s="28" t="s">
        <v>8</v>
      </c>
      <c r="D9" s="30">
        <v>26</v>
      </c>
      <c r="E9" s="30">
        <v>10</v>
      </c>
      <c r="F9" s="30">
        <v>34</v>
      </c>
      <c r="G9" s="29">
        <v>70</v>
      </c>
      <c r="H9" s="27"/>
      <c r="I9" s="4"/>
    </row>
    <row r="10" spans="2:14" x14ac:dyDescent="0.3">
      <c r="B10" s="28" t="s">
        <v>11</v>
      </c>
      <c r="C10" s="28"/>
      <c r="D10" s="29">
        <v>156</v>
      </c>
      <c r="E10" s="29">
        <v>139</v>
      </c>
      <c r="F10" s="29">
        <v>105</v>
      </c>
      <c r="G10" s="29">
        <v>400</v>
      </c>
      <c r="H10" s="27"/>
      <c r="I10" s="4"/>
    </row>
    <row r="11" spans="2:14" x14ac:dyDescent="0.3">
      <c r="B11" s="3" t="s">
        <v>39</v>
      </c>
      <c r="H11" s="26"/>
    </row>
    <row r="12" spans="2:14" x14ac:dyDescent="0.3">
      <c r="B12" s="2" t="s">
        <v>26</v>
      </c>
      <c r="H12" s="26"/>
    </row>
    <row r="13" spans="2:14" x14ac:dyDescent="0.3">
      <c r="B13" s="5"/>
      <c r="C13" s="5"/>
      <c r="D13" s="5"/>
      <c r="E13" s="6" t="s">
        <v>12</v>
      </c>
      <c r="F13" s="6"/>
      <c r="G13" s="6"/>
      <c r="H13" s="25" t="s">
        <v>13</v>
      </c>
      <c r="I13" s="7"/>
      <c r="J13" s="7"/>
      <c r="K13" s="5"/>
      <c r="L13" s="5"/>
      <c r="M13" s="5"/>
    </row>
    <row r="14" spans="2:14" x14ac:dyDescent="0.3">
      <c r="B14" s="8" t="s">
        <v>0</v>
      </c>
      <c r="C14" s="8" t="s">
        <v>15</v>
      </c>
      <c r="D14" s="8" t="s">
        <v>16</v>
      </c>
      <c r="E14" s="8" t="s">
        <v>2</v>
      </c>
      <c r="F14" s="8" t="s">
        <v>29</v>
      </c>
      <c r="G14" s="8" t="s">
        <v>4</v>
      </c>
      <c r="H14" s="8" t="s">
        <v>2</v>
      </c>
      <c r="I14" s="8" t="s">
        <v>29</v>
      </c>
      <c r="J14" s="8" t="s">
        <v>4</v>
      </c>
      <c r="K14" s="8" t="s">
        <v>17</v>
      </c>
      <c r="L14" s="8" t="s">
        <v>18</v>
      </c>
      <c r="M14" s="8" t="s">
        <v>19</v>
      </c>
      <c r="N14" s="31"/>
    </row>
    <row r="15" spans="2:14" x14ac:dyDescent="0.3">
      <c r="B15" s="9" t="s">
        <v>6</v>
      </c>
      <c r="C15" s="10" t="s">
        <v>27</v>
      </c>
      <c r="D15" s="10" t="s">
        <v>28</v>
      </c>
      <c r="E15" s="11" t="s">
        <v>23</v>
      </c>
      <c r="F15" s="11" t="s">
        <v>30</v>
      </c>
      <c r="G15" s="11" t="s">
        <v>31</v>
      </c>
      <c r="H15" s="11" t="s">
        <v>32</v>
      </c>
      <c r="I15" s="11" t="s">
        <v>33</v>
      </c>
      <c r="J15" s="11" t="s">
        <v>34</v>
      </c>
      <c r="K15" s="10" t="s">
        <v>20</v>
      </c>
      <c r="L15" s="10" t="s">
        <v>21</v>
      </c>
      <c r="M15" s="12" t="s">
        <v>22</v>
      </c>
      <c r="N15" s="16"/>
    </row>
    <row r="16" spans="2:14" x14ac:dyDescent="0.3">
      <c r="B16" s="13"/>
      <c r="C16" s="14">
        <v>0.51300000000000001</v>
      </c>
      <c r="D16" s="14">
        <v>0.48799999999999999</v>
      </c>
      <c r="E16" s="15">
        <f>55/205</f>
        <v>0.26829268292682928</v>
      </c>
      <c r="F16" s="15">
        <f>120/205</f>
        <v>0.58536585365853655</v>
      </c>
      <c r="G16" s="15">
        <f>30/205</f>
        <v>0.14634146341463414</v>
      </c>
      <c r="H16" s="15">
        <f>101/195</f>
        <v>0.517948717948718</v>
      </c>
      <c r="I16" s="15">
        <f>19/195</f>
        <v>9.7435897435897437E-2</v>
      </c>
      <c r="J16" s="15">
        <f>75/195</f>
        <v>0.38461538461538464</v>
      </c>
      <c r="K16" s="14">
        <f>2*C16*D16</f>
        <v>0.50068800000000002</v>
      </c>
      <c r="L16" s="14">
        <f>ABS(E16-H16)+ABS(F16-I16)+ABS(G16-J16)</f>
        <v>0.97585991244527837</v>
      </c>
      <c r="M16" s="33">
        <f>K16*L16</f>
        <v>0.48860134784240156</v>
      </c>
      <c r="N16" s="34" t="s">
        <v>36</v>
      </c>
    </row>
    <row r="17" spans="1:14" x14ac:dyDescent="0.3">
      <c r="B17" s="9" t="s">
        <v>9</v>
      </c>
      <c r="C17" s="16">
        <v>0.115</v>
      </c>
      <c r="D17" s="16">
        <f t="shared" ref="D17" si="0">1-C17</f>
        <v>0.88500000000000001</v>
      </c>
      <c r="E17" s="17">
        <f>15/46</f>
        <v>0.32608695652173914</v>
      </c>
      <c r="F17" s="17">
        <f>7/46</f>
        <v>0.15217391304347827</v>
      </c>
      <c r="G17" s="17">
        <f>24/46</f>
        <v>0.52173913043478259</v>
      </c>
      <c r="H17" s="17">
        <f>141/354</f>
        <v>0.39830508474576271</v>
      </c>
      <c r="I17" s="17">
        <f>132/354</f>
        <v>0.3728813559322034</v>
      </c>
      <c r="J17" s="17">
        <f>81/354</f>
        <v>0.2288135593220339</v>
      </c>
      <c r="K17" s="22">
        <f>2*C17*D17</f>
        <v>0.20355000000000001</v>
      </c>
      <c r="L17" s="22">
        <f>ABS(E17-H17)+ABS(F17-I17)+ABS(G17-J17)</f>
        <v>0.58585114222549739</v>
      </c>
      <c r="M17" s="16">
        <f>K17*L17</f>
        <v>0.11924999999999999</v>
      </c>
      <c r="N17" s="16"/>
    </row>
    <row r="18" spans="1:14" x14ac:dyDescent="0.3">
      <c r="B18" s="13" t="s">
        <v>10</v>
      </c>
      <c r="C18" s="14">
        <v>0.373</v>
      </c>
      <c r="D18" s="14">
        <f>1-C18</f>
        <v>0.627</v>
      </c>
      <c r="E18" s="15">
        <f>86/149</f>
        <v>0.57718120805369133</v>
      </c>
      <c r="F18" s="15">
        <f>12/149</f>
        <v>8.0536912751677847E-2</v>
      </c>
      <c r="G18" s="15">
        <f>51/149</f>
        <v>0.34228187919463088</v>
      </c>
      <c r="H18" s="15">
        <f>70/251</f>
        <v>0.2788844621513944</v>
      </c>
      <c r="I18" s="15">
        <f>127/251</f>
        <v>0.50597609561752988</v>
      </c>
      <c r="J18" s="15">
        <f>54/251</f>
        <v>0.2151394422310757</v>
      </c>
      <c r="K18" s="14">
        <f t="shared" ref="K18" si="1">2*C18*D18</f>
        <v>0.46774199999999999</v>
      </c>
      <c r="L18" s="14">
        <f t="shared" ref="L18" si="2">ABS(E18-H18)+ABS(F18-I18)+ABS(G18-J18)</f>
        <v>0.85087836573170417</v>
      </c>
      <c r="M18" s="14">
        <f>K18*L18</f>
        <v>0.39799154854407875</v>
      </c>
      <c r="N18" s="16"/>
    </row>
    <row r="19" spans="1:14" x14ac:dyDescent="0.3">
      <c r="B19" s="9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32"/>
    </row>
    <row r="21" spans="1:14" x14ac:dyDescent="0.3">
      <c r="B21" s="2" t="s">
        <v>35</v>
      </c>
    </row>
    <row r="22" spans="1:14" x14ac:dyDescent="0.3">
      <c r="B22" s="5"/>
      <c r="C22" s="5"/>
      <c r="D22" s="5"/>
      <c r="E22" s="6" t="s">
        <v>12</v>
      </c>
      <c r="F22" s="6"/>
      <c r="G22" s="6"/>
      <c r="H22" s="7" t="s">
        <v>13</v>
      </c>
      <c r="I22" s="7"/>
      <c r="J22" s="7"/>
      <c r="K22" s="5"/>
      <c r="L22" s="5"/>
      <c r="M22" s="5"/>
      <c r="N22" s="20"/>
    </row>
    <row r="23" spans="1:14" x14ac:dyDescent="0.3">
      <c r="B23" s="8" t="s">
        <v>24</v>
      </c>
      <c r="C23" s="8" t="s">
        <v>15</v>
      </c>
      <c r="D23" s="8" t="s">
        <v>16</v>
      </c>
      <c r="E23" s="8" t="s">
        <v>2</v>
      </c>
      <c r="F23" s="8" t="s">
        <v>29</v>
      </c>
      <c r="G23" s="8" t="s">
        <v>4</v>
      </c>
      <c r="H23" s="8" t="s">
        <v>2</v>
      </c>
      <c r="I23" s="8" t="s">
        <v>29</v>
      </c>
      <c r="J23" s="8" t="s">
        <v>4</v>
      </c>
      <c r="K23" s="8" t="s">
        <v>17</v>
      </c>
      <c r="L23" s="8" t="s">
        <v>18</v>
      </c>
      <c r="M23" s="8" t="s">
        <v>19</v>
      </c>
      <c r="N23" s="20"/>
    </row>
    <row r="24" spans="1:14" s="19" customFormat="1" ht="25" thickBot="1" x14ac:dyDescent="0.35">
      <c r="B24" s="21" t="s">
        <v>7</v>
      </c>
      <c r="C24" s="23">
        <f>186/400</f>
        <v>0.46500000000000002</v>
      </c>
      <c r="D24" s="24">
        <f>1-C24</f>
        <v>0.53499999999999992</v>
      </c>
      <c r="E24" s="24">
        <f>97/186</f>
        <v>0.521505376344086</v>
      </c>
      <c r="F24" s="24">
        <f>50/186</f>
        <v>0.26881720430107525</v>
      </c>
      <c r="G24" s="24">
        <f>39/186</f>
        <v>0.20967741935483872</v>
      </c>
      <c r="H24" s="24">
        <f>59/214</f>
        <v>0.27570093457943923</v>
      </c>
      <c r="I24" s="24">
        <f>89/214</f>
        <v>0.41588785046728971</v>
      </c>
      <c r="J24" s="24">
        <f>66/214</f>
        <v>0.30841121495327101</v>
      </c>
      <c r="K24" s="22">
        <f>2*C24*D24</f>
        <v>0.49754999999999994</v>
      </c>
      <c r="L24" s="22">
        <f>ABS(E24-H24)+ABS(F24-I24)+ABS(G24-J24)</f>
        <v>0.49160888352929355</v>
      </c>
      <c r="M24" s="22">
        <f>K24*L24</f>
        <v>0.24459999999999998</v>
      </c>
      <c r="N24" s="20"/>
    </row>
    <row r="25" spans="1:14" x14ac:dyDescent="0.3">
      <c r="B25" s="13"/>
      <c r="C25" s="14"/>
      <c r="D25" s="14"/>
      <c r="E25" s="15"/>
      <c r="F25" s="15"/>
      <c r="G25" s="15"/>
      <c r="H25" s="15"/>
      <c r="I25" s="15"/>
      <c r="J25" s="15"/>
      <c r="K25" s="14"/>
      <c r="L25" s="16"/>
      <c r="M25" s="16"/>
      <c r="N25" s="20"/>
    </row>
    <row r="26" spans="1:14" x14ac:dyDescent="0.3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1:14" x14ac:dyDescent="0.3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9" spans="1:14" x14ac:dyDescent="0.3">
      <c r="A29" s="3"/>
      <c r="B29" s="3" t="s">
        <v>37</v>
      </c>
    </row>
    <row r="30" spans="1:14" x14ac:dyDescent="0.3">
      <c r="B30" s="2" t="s">
        <v>38</v>
      </c>
    </row>
    <row r="33" spans="2:14" x14ac:dyDescent="0.3">
      <c r="B33" s="3" t="s">
        <v>40</v>
      </c>
    </row>
    <row r="34" spans="2:14" x14ac:dyDescent="0.3">
      <c r="B34" s="3"/>
    </row>
    <row r="35" spans="2:14" x14ac:dyDescent="0.3">
      <c r="B35" s="2" t="s">
        <v>41</v>
      </c>
    </row>
    <row r="36" spans="2:14" x14ac:dyDescent="0.3">
      <c r="B36" s="5"/>
      <c r="C36" s="5"/>
      <c r="D36" s="5"/>
      <c r="E36" s="6" t="s">
        <v>12</v>
      </c>
      <c r="F36" s="6"/>
      <c r="G36" s="6"/>
      <c r="H36" s="7" t="s">
        <v>13</v>
      </c>
      <c r="I36" s="7"/>
      <c r="J36" s="7"/>
      <c r="K36" s="5"/>
      <c r="L36" s="5"/>
      <c r="M36" s="5"/>
    </row>
    <row r="37" spans="2:14" x14ac:dyDescent="0.3">
      <c r="B37" s="8" t="s">
        <v>0</v>
      </c>
      <c r="C37" s="8" t="s">
        <v>15</v>
      </c>
      <c r="D37" s="8" t="s">
        <v>16</v>
      </c>
      <c r="E37" s="8" t="s">
        <v>2</v>
      </c>
      <c r="F37" s="8" t="s">
        <v>29</v>
      </c>
      <c r="G37" s="8" t="s">
        <v>4</v>
      </c>
      <c r="H37" s="8" t="s">
        <v>2</v>
      </c>
      <c r="I37" s="8" t="s">
        <v>29</v>
      </c>
      <c r="J37" s="8" t="s">
        <v>4</v>
      </c>
      <c r="K37" s="8" t="s">
        <v>17</v>
      </c>
      <c r="L37" s="8" t="s">
        <v>18</v>
      </c>
      <c r="M37" s="8" t="s">
        <v>19</v>
      </c>
    </row>
    <row r="38" spans="2:14" x14ac:dyDescent="0.3">
      <c r="B38" s="35" t="s">
        <v>9</v>
      </c>
      <c r="C38" s="36">
        <f>46/195</f>
        <v>0.23589743589743589</v>
      </c>
      <c r="D38" s="37">
        <f>1-C38</f>
        <v>0.76410256410256405</v>
      </c>
      <c r="E38" s="36">
        <f>15/46</f>
        <v>0.32608695652173914</v>
      </c>
      <c r="F38" s="36">
        <f>7/46</f>
        <v>0.15217391304347827</v>
      </c>
      <c r="G38" s="37">
        <f>24/46</f>
        <v>0.52173913043478259</v>
      </c>
      <c r="H38" s="36">
        <f>86/149</f>
        <v>0.57718120805369133</v>
      </c>
      <c r="I38" s="36">
        <f>12/149</f>
        <v>8.0536912751677847E-2</v>
      </c>
      <c r="J38" s="37">
        <f>51/149</f>
        <v>0.34228187919463088</v>
      </c>
      <c r="K38" s="37">
        <f>2*C38*D38</f>
        <v>0.36049967126890203</v>
      </c>
      <c r="L38" s="37">
        <f>ABS(E38-H38)+ABS(F38-I38)+ABS(G38-J38)</f>
        <v>0.50218850306390439</v>
      </c>
      <c r="M38" s="37">
        <f>K38*L38</f>
        <v>0.18103879026955955</v>
      </c>
    </row>
    <row r="39" spans="2:14" x14ac:dyDescent="0.3">
      <c r="B39" s="38" t="s">
        <v>10</v>
      </c>
      <c r="C39" s="39">
        <f>D38</f>
        <v>0.76410256410256405</v>
      </c>
      <c r="D39" s="40">
        <f>C38</f>
        <v>0.23589743589743589</v>
      </c>
      <c r="E39" s="39">
        <f>H38</f>
        <v>0.57718120805369133</v>
      </c>
      <c r="F39" s="39">
        <f t="shared" ref="F39:G39" si="3">I38</f>
        <v>8.0536912751677847E-2</v>
      </c>
      <c r="G39" s="39">
        <f t="shared" si="3"/>
        <v>0.34228187919463088</v>
      </c>
      <c r="H39" s="39">
        <f>E38</f>
        <v>0.32608695652173914</v>
      </c>
      <c r="I39" s="39">
        <f t="shared" ref="I39:J39" si="4">F38</f>
        <v>0.15217391304347827</v>
      </c>
      <c r="J39" s="39">
        <f t="shared" si="4"/>
        <v>0.52173913043478259</v>
      </c>
      <c r="K39" s="40">
        <f>2*C39*D39</f>
        <v>0.36049967126890203</v>
      </c>
      <c r="L39" s="40">
        <f>ABS(E39-H39)+ABS(F39-I39)+ABS(G39-J39)</f>
        <v>0.50218850306390439</v>
      </c>
      <c r="M39" s="40">
        <f>K39*L39</f>
        <v>0.18103879026955955</v>
      </c>
    </row>
    <row r="40" spans="2:14" s="19" customFormat="1" x14ac:dyDescent="0.3">
      <c r="B40" s="46"/>
      <c r="C40" s="47"/>
      <c r="D40" s="48"/>
      <c r="E40" s="47"/>
      <c r="F40" s="47"/>
      <c r="G40" s="47"/>
      <c r="H40" s="47"/>
      <c r="I40" s="47"/>
      <c r="J40" s="47"/>
      <c r="K40" s="48"/>
      <c r="L40" s="48"/>
      <c r="M40" s="48"/>
    </row>
    <row r="41" spans="2:14" x14ac:dyDescent="0.3">
      <c r="B41" s="2" t="s">
        <v>35</v>
      </c>
    </row>
    <row r="42" spans="2:14" x14ac:dyDescent="0.3">
      <c r="B42" s="5"/>
      <c r="C42" s="5"/>
      <c r="D42" s="5"/>
      <c r="E42" s="6" t="s">
        <v>12</v>
      </c>
      <c r="F42" s="6"/>
      <c r="G42" s="6"/>
      <c r="H42" s="7" t="s">
        <v>13</v>
      </c>
      <c r="I42" s="7"/>
      <c r="J42" s="7"/>
      <c r="K42" s="5"/>
      <c r="L42" s="5"/>
      <c r="M42" s="5"/>
      <c r="N42" s="1"/>
    </row>
    <row r="43" spans="2:14" x14ac:dyDescent="0.3">
      <c r="B43" s="8" t="s">
        <v>24</v>
      </c>
      <c r="C43" s="8" t="s">
        <v>15</v>
      </c>
      <c r="D43" s="8" t="s">
        <v>16</v>
      </c>
      <c r="E43" s="8" t="s">
        <v>2</v>
      </c>
      <c r="F43" s="8" t="s">
        <v>29</v>
      </c>
      <c r="G43" s="8" t="s">
        <v>4</v>
      </c>
      <c r="H43" s="8" t="s">
        <v>2</v>
      </c>
      <c r="I43" s="8" t="s">
        <v>29</v>
      </c>
      <c r="J43" s="8" t="s">
        <v>4</v>
      </c>
      <c r="K43" s="8" t="s">
        <v>17</v>
      </c>
      <c r="L43" s="8" t="s">
        <v>18</v>
      </c>
      <c r="M43" s="8" t="s">
        <v>19</v>
      </c>
      <c r="N43" s="1"/>
    </row>
    <row r="44" spans="2:14" x14ac:dyDescent="0.3">
      <c r="B44" s="41" t="s">
        <v>7</v>
      </c>
      <c r="C44" s="42">
        <f>91/195</f>
        <v>0.46666666666666667</v>
      </c>
      <c r="D44" s="43">
        <f>1-C44</f>
        <v>0.53333333333333333</v>
      </c>
      <c r="E44" s="43">
        <f>67/91</f>
        <v>0.73626373626373631</v>
      </c>
      <c r="F44" s="43">
        <f>2/91</f>
        <v>2.197802197802198E-2</v>
      </c>
      <c r="G44" s="43">
        <f>22/91</f>
        <v>0.24175824175824176</v>
      </c>
      <c r="H44" s="43">
        <f>34/104</f>
        <v>0.32692307692307693</v>
      </c>
      <c r="I44" s="43">
        <f>17/104</f>
        <v>0.16346153846153846</v>
      </c>
      <c r="J44" s="43">
        <f>53/104</f>
        <v>0.50961538461538458</v>
      </c>
      <c r="K44" s="43">
        <f>2*C44*D44</f>
        <v>0.49777777777777776</v>
      </c>
      <c r="L44" s="43">
        <f>ABS(E44-H44)+ABS(F44-I44)+ABS(G44-J44)</f>
        <v>0.81868131868131866</v>
      </c>
      <c r="M44" s="44">
        <f>K44*L44</f>
        <v>0.40752136752136747</v>
      </c>
      <c r="N44" s="45" t="s">
        <v>36</v>
      </c>
    </row>
    <row r="47" spans="2:14" x14ac:dyDescent="0.3">
      <c r="B47" s="3" t="s">
        <v>37</v>
      </c>
    </row>
    <row r="48" spans="2:14" x14ac:dyDescent="0.3">
      <c r="B48" s="2" t="s">
        <v>42</v>
      </c>
    </row>
  </sheetData>
  <autoFilter ref="B3:G10" xr:uid="{686A6C1F-1797-D14B-B5C7-1B23FDDCD0C3}"/>
  <mergeCells count="8">
    <mergeCell ref="H42:J42"/>
    <mergeCell ref="E42:G42"/>
    <mergeCell ref="E13:G13"/>
    <mergeCell ref="H13:J13"/>
    <mergeCell ref="E22:G22"/>
    <mergeCell ref="H22:J22"/>
    <mergeCell ref="E36:G36"/>
    <mergeCell ref="H36:J3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8</xdr:col>
                <xdr:colOff>12700</xdr:colOff>
                <xdr:row>3</xdr:row>
                <xdr:rowOff>139700</xdr:rowOff>
              </from>
              <to>
                <xdr:col>15</xdr:col>
                <xdr:colOff>635000</xdr:colOff>
                <xdr:row>6</xdr:row>
                <xdr:rowOff>279400</xdr:rowOff>
              </to>
            </anchor>
          </objectPr>
        </oleObject>
      </mc:Choice>
      <mc:Fallback>
        <oleObject progId="Equation.3" shapeId="1025" r:id="rId3"/>
      </mc:Fallback>
    </mc:AlternateContent>
  </oleObjects>
  <tableParts count="2"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3C385-D271-974F-B41B-CFDF2C409AB6}">
  <dimension ref="B1:R50"/>
  <sheetViews>
    <sheetView tabSelected="1" workbookViewId="0">
      <selection activeCell="B24" sqref="B24:C24"/>
    </sheetView>
  </sheetViews>
  <sheetFormatPr baseColWidth="10" defaultRowHeight="19" x14ac:dyDescent="0.25"/>
  <cols>
    <col min="1" max="1" width="10.83203125" style="1"/>
    <col min="2" max="2" width="16.6640625" style="1" bestFit="1" customWidth="1"/>
    <col min="3" max="3" width="27" style="1" customWidth="1"/>
    <col min="4" max="9" width="11" style="1" bestFit="1" customWidth="1"/>
    <col min="10" max="10" width="20.33203125" style="1" bestFit="1" customWidth="1"/>
    <col min="11" max="11" width="13.83203125" style="1" bestFit="1" customWidth="1"/>
    <col min="12" max="12" width="12.33203125" style="1" bestFit="1" customWidth="1"/>
    <col min="13" max="13" width="11" style="1" bestFit="1" customWidth="1"/>
    <col min="14" max="16384" width="10.83203125" style="1"/>
  </cols>
  <sheetData>
    <row r="1" spans="2:13" x14ac:dyDescent="0.25">
      <c r="J1" s="49" t="s">
        <v>44</v>
      </c>
      <c r="K1" s="50" t="s">
        <v>56</v>
      </c>
    </row>
    <row r="2" spans="2:13" x14ac:dyDescent="0.25">
      <c r="J2" s="49"/>
    </row>
    <row r="3" spans="2:13" x14ac:dyDescent="0.25">
      <c r="J3" s="49" t="s">
        <v>45</v>
      </c>
      <c r="K3" s="49" t="s">
        <v>57</v>
      </c>
    </row>
    <row r="4" spans="2:13" x14ac:dyDescent="0.25">
      <c r="B4" s="28" t="s">
        <v>0</v>
      </c>
      <c r="C4" s="28" t="s">
        <v>1</v>
      </c>
      <c r="D4" s="28" t="s">
        <v>2</v>
      </c>
      <c r="E4" s="28" t="s">
        <v>3</v>
      </c>
      <c r="F4" s="28" t="s">
        <v>4</v>
      </c>
      <c r="G4" s="28" t="s">
        <v>5</v>
      </c>
    </row>
    <row r="5" spans="2:13" x14ac:dyDescent="0.25">
      <c r="B5" s="28" t="s">
        <v>6</v>
      </c>
      <c r="C5" s="28" t="s">
        <v>7</v>
      </c>
      <c r="D5" s="30">
        <v>30</v>
      </c>
      <c r="E5" s="30">
        <v>48</v>
      </c>
      <c r="F5" s="30">
        <v>17</v>
      </c>
      <c r="G5" s="29">
        <v>95</v>
      </c>
      <c r="J5" s="51" t="s">
        <v>49</v>
      </c>
      <c r="K5" s="51" t="s">
        <v>46</v>
      </c>
      <c r="L5" s="52" t="s">
        <v>58</v>
      </c>
      <c r="M5" s="52" t="s">
        <v>59</v>
      </c>
    </row>
    <row r="6" spans="2:13" x14ac:dyDescent="0.25">
      <c r="B6" s="28" t="s">
        <v>6</v>
      </c>
      <c r="C6" s="28" t="s">
        <v>8</v>
      </c>
      <c r="D6" s="30">
        <v>25</v>
      </c>
      <c r="E6" s="30">
        <v>72</v>
      </c>
      <c r="F6" s="30">
        <v>13</v>
      </c>
      <c r="G6" s="29">
        <v>110</v>
      </c>
      <c r="J6" s="51" t="s">
        <v>2</v>
      </c>
      <c r="K6" s="53">
        <v>156</v>
      </c>
      <c r="L6" s="54">
        <f>K6/K9</f>
        <v>0.39</v>
      </c>
      <c r="M6" s="54">
        <f>-L6*LOG(L6,2)</f>
        <v>0.52979704865586574</v>
      </c>
    </row>
    <row r="7" spans="2:13" x14ac:dyDescent="0.25">
      <c r="B7" s="28" t="s">
        <v>9</v>
      </c>
      <c r="C7" s="28" t="s">
        <v>7</v>
      </c>
      <c r="D7" s="30">
        <v>7</v>
      </c>
      <c r="E7" s="30">
        <v>0</v>
      </c>
      <c r="F7" s="30">
        <v>5</v>
      </c>
      <c r="G7" s="29">
        <v>12</v>
      </c>
      <c r="J7" s="51" t="s">
        <v>3</v>
      </c>
      <c r="K7" s="53">
        <v>139</v>
      </c>
      <c r="L7" s="54">
        <f>K7/K9</f>
        <v>0.34749999999999998</v>
      </c>
      <c r="M7" s="54">
        <f t="shared" ref="M7:M8" si="0">-L7*LOG(L7,2)</f>
        <v>0.52990800317529796</v>
      </c>
    </row>
    <row r="8" spans="2:13" x14ac:dyDescent="0.25">
      <c r="B8" s="28" t="s">
        <v>9</v>
      </c>
      <c r="C8" s="28" t="s">
        <v>8</v>
      </c>
      <c r="D8" s="30">
        <v>8</v>
      </c>
      <c r="E8" s="30">
        <v>7</v>
      </c>
      <c r="F8" s="30">
        <v>19</v>
      </c>
      <c r="G8" s="29">
        <v>34</v>
      </c>
      <c r="J8" s="51" t="s">
        <v>4</v>
      </c>
      <c r="K8" s="53">
        <v>105</v>
      </c>
      <c r="L8" s="54">
        <f>K8/K9</f>
        <v>0.26250000000000001</v>
      </c>
      <c r="M8" s="54">
        <f t="shared" si="0"/>
        <v>0.50652280142850814</v>
      </c>
    </row>
    <row r="9" spans="2:13" x14ac:dyDescent="0.25">
      <c r="B9" s="28" t="s">
        <v>10</v>
      </c>
      <c r="C9" s="28" t="s">
        <v>7</v>
      </c>
      <c r="D9" s="30">
        <v>60</v>
      </c>
      <c r="E9" s="30">
        <v>2</v>
      </c>
      <c r="F9" s="30">
        <v>17</v>
      </c>
      <c r="G9" s="29">
        <v>79</v>
      </c>
      <c r="J9" s="51" t="s">
        <v>50</v>
      </c>
      <c r="K9" s="51">
        <f>SUM(K6:K8)</f>
        <v>400</v>
      </c>
      <c r="L9" s="51" t="s">
        <v>47</v>
      </c>
      <c r="M9" s="55">
        <f>SUM(M6:M8)</f>
        <v>1.5662278532596718</v>
      </c>
    </row>
    <row r="10" spans="2:13" x14ac:dyDescent="0.25">
      <c r="B10" s="28" t="s">
        <v>10</v>
      </c>
      <c r="C10" s="28" t="s">
        <v>8</v>
      </c>
      <c r="D10" s="30">
        <v>26</v>
      </c>
      <c r="E10" s="30">
        <v>10</v>
      </c>
      <c r="F10" s="30">
        <v>34</v>
      </c>
      <c r="G10" s="29">
        <v>70</v>
      </c>
      <c r="J10" s="56"/>
      <c r="K10" s="56"/>
      <c r="L10" s="57"/>
      <c r="M10" s="58"/>
    </row>
    <row r="11" spans="2:13" x14ac:dyDescent="0.25">
      <c r="B11" s="28" t="s">
        <v>11</v>
      </c>
      <c r="C11" s="28"/>
      <c r="D11" s="29">
        <v>156</v>
      </c>
      <c r="E11" s="29">
        <v>139</v>
      </c>
      <c r="F11" s="29">
        <v>105</v>
      </c>
      <c r="G11" s="29">
        <v>400</v>
      </c>
      <c r="J11" s="56"/>
      <c r="K11" s="56"/>
      <c r="L11" s="59"/>
      <c r="M11" s="58"/>
    </row>
    <row r="12" spans="2:13" x14ac:dyDescent="0.25">
      <c r="J12" s="58"/>
      <c r="K12" s="58"/>
      <c r="L12" s="58"/>
      <c r="M12" s="58"/>
    </row>
    <row r="15" spans="2:13" x14ac:dyDescent="0.25">
      <c r="B15" s="49" t="s">
        <v>43</v>
      </c>
    </row>
    <row r="17" spans="2:18" x14ac:dyDescent="0.25">
      <c r="B17" s="60" t="s">
        <v>14</v>
      </c>
      <c r="C17" s="60"/>
      <c r="D17" s="61" t="s">
        <v>2</v>
      </c>
      <c r="E17" s="61"/>
      <c r="F17" s="61" t="s">
        <v>3</v>
      </c>
      <c r="G17" s="61"/>
      <c r="H17" s="61" t="s">
        <v>4</v>
      </c>
      <c r="I17" s="61"/>
      <c r="J17" s="8" t="s">
        <v>47</v>
      </c>
      <c r="K17" s="8"/>
      <c r="L17" s="5"/>
      <c r="P17" s="49"/>
      <c r="Q17" s="49"/>
      <c r="R17" s="49"/>
    </row>
    <row r="18" spans="2:18" x14ac:dyDescent="0.25">
      <c r="B18" s="60"/>
      <c r="C18" s="60"/>
      <c r="D18" s="62" t="s">
        <v>60</v>
      </c>
      <c r="E18" s="62" t="s">
        <v>61</v>
      </c>
      <c r="F18" s="62" t="s">
        <v>60</v>
      </c>
      <c r="G18" s="62" t="s">
        <v>61</v>
      </c>
      <c r="H18" s="62" t="s">
        <v>60</v>
      </c>
      <c r="I18" s="62" t="s">
        <v>61</v>
      </c>
      <c r="J18" s="8" t="s">
        <v>5</v>
      </c>
      <c r="K18" s="8" t="s">
        <v>48</v>
      </c>
      <c r="L18" s="8" t="s">
        <v>52</v>
      </c>
    </row>
    <row r="19" spans="2:18" x14ac:dyDescent="0.25">
      <c r="B19" s="60" t="s">
        <v>0</v>
      </c>
      <c r="C19" s="18" t="s">
        <v>6</v>
      </c>
      <c r="D19" s="63">
        <f>55/205</f>
        <v>0.26829268292682928</v>
      </c>
      <c r="E19" s="64">
        <f>-D19*LOG(D19,2)</f>
        <v>0.50925181087289395</v>
      </c>
      <c r="F19" s="63">
        <f>120/205</f>
        <v>0.58536585365853655</v>
      </c>
      <c r="G19" s="64">
        <f>-F19*LOG(F19,2)</f>
        <v>0.45224751447625028</v>
      </c>
      <c r="H19" s="63">
        <f>1-(D19+F19)</f>
        <v>0.14634146341463417</v>
      </c>
      <c r="I19" s="64">
        <f>-H19*LOG(H19,2)</f>
        <v>0.40574480544833091</v>
      </c>
      <c r="J19" s="22">
        <f>SUM(E19,G19,I19)</f>
        <v>1.367244130797475</v>
      </c>
      <c r="K19" s="22">
        <f>205/400*J19</f>
        <v>0.70071261703370591</v>
      </c>
      <c r="L19" s="79">
        <f>E14-SUM(K19:K21)</f>
        <v>-1.3418976289538691</v>
      </c>
    </row>
    <row r="20" spans="2:18" x14ac:dyDescent="0.25">
      <c r="B20" s="60"/>
      <c r="C20" s="18" t="s">
        <v>9</v>
      </c>
      <c r="D20" s="63">
        <f>15/46</f>
        <v>0.32608695652173914</v>
      </c>
      <c r="E20" s="64">
        <f t="shared" ref="E20:E23" si="1">-D20*LOG(D20,2)</f>
        <v>0.52717544362450908</v>
      </c>
      <c r="F20" s="63">
        <f>7/46</f>
        <v>0.15217391304347827</v>
      </c>
      <c r="G20" s="64">
        <f t="shared" ref="G20:G23" si="2">-F20*LOG(F20,2)</f>
        <v>0.41333585299991005</v>
      </c>
      <c r="H20" s="63">
        <f>24/46</f>
        <v>0.52173913043478259</v>
      </c>
      <c r="I20" s="64">
        <f t="shared" ref="I20:I23" si="3">-H20*LOG(H20,2)</f>
        <v>0.48970406365349045</v>
      </c>
      <c r="J20" s="22">
        <f>SUM(E20,G20,I20)</f>
        <v>1.4302153602779095</v>
      </c>
      <c r="K20" s="22">
        <f>46/400*J20</f>
        <v>0.1644747664319596</v>
      </c>
      <c r="L20" s="79"/>
    </row>
    <row r="21" spans="2:18" x14ac:dyDescent="0.25">
      <c r="B21" s="60"/>
      <c r="C21" s="18" t="s">
        <v>10</v>
      </c>
      <c r="D21" s="63">
        <f>86/149</f>
        <v>0.57718120805369133</v>
      </c>
      <c r="E21" s="64">
        <f t="shared" si="1"/>
        <v>0.45764915339171452</v>
      </c>
      <c r="F21" s="63">
        <f>12/149</f>
        <v>8.0536912751677847E-2</v>
      </c>
      <c r="G21" s="64">
        <f t="shared" si="2"/>
        <v>0.29268773313350377</v>
      </c>
      <c r="H21" s="63">
        <f>51/149</f>
        <v>0.34228187919463088</v>
      </c>
      <c r="I21" s="64">
        <f t="shared" si="3"/>
        <v>0.52942216176526147</v>
      </c>
      <c r="J21" s="22">
        <f>SUM(E21,G21,I21)</f>
        <v>1.2797590482904797</v>
      </c>
      <c r="K21" s="22">
        <f>149/400*J21</f>
        <v>0.47671024548820368</v>
      </c>
      <c r="L21" s="79"/>
    </row>
    <row r="22" spans="2:18" x14ac:dyDescent="0.25">
      <c r="B22" s="60" t="s">
        <v>24</v>
      </c>
      <c r="C22" s="18" t="s">
        <v>7</v>
      </c>
      <c r="D22" s="63">
        <f>97/186</f>
        <v>0.521505376344086</v>
      </c>
      <c r="E22" s="64">
        <f t="shared" si="1"/>
        <v>0.48982182250176159</v>
      </c>
      <c r="F22" s="63">
        <f>50/186</f>
        <v>0.26881720430107525</v>
      </c>
      <c r="G22" s="64">
        <f t="shared" si="2"/>
        <v>0.50948995197131897</v>
      </c>
      <c r="H22" s="63">
        <f>39/186</f>
        <v>0.20967741935483872</v>
      </c>
      <c r="I22" s="64">
        <f t="shared" si="3"/>
        <v>0.47256186611605133</v>
      </c>
      <c r="J22" s="22">
        <f>SUM(E22,G22,I22)</f>
        <v>1.4718736405891319</v>
      </c>
      <c r="K22" s="22">
        <f>186/400*J22</f>
        <v>0.68442124287394634</v>
      </c>
      <c r="L22" s="80">
        <f>E14-SUM(K22:K23)</f>
        <v>-1.5202405127335201</v>
      </c>
    </row>
    <row r="23" spans="2:18" x14ac:dyDescent="0.25">
      <c r="B23" s="60"/>
      <c r="C23" s="18" t="s">
        <v>8</v>
      </c>
      <c r="D23" s="63">
        <f>59/214</f>
        <v>0.27570093457943923</v>
      </c>
      <c r="E23" s="64">
        <f t="shared" si="1"/>
        <v>0.51247949666036929</v>
      </c>
      <c r="F23" s="63">
        <f>89/214</f>
        <v>0.41588785046728971</v>
      </c>
      <c r="G23" s="64">
        <f t="shared" si="2"/>
        <v>0.526403207634078</v>
      </c>
      <c r="H23" s="63">
        <f>66/214</f>
        <v>0.30841121495327101</v>
      </c>
      <c r="I23" s="64">
        <f t="shared" si="3"/>
        <v>0.52339630478886812</v>
      </c>
      <c r="J23" s="22">
        <f>SUM(E23,G23,I23)</f>
        <v>1.5622790090833154</v>
      </c>
      <c r="K23" s="22">
        <f>214/400*J23</f>
        <v>0.83581926985957378</v>
      </c>
      <c r="L23" s="81"/>
    </row>
    <row r="24" spans="2:18" x14ac:dyDescent="0.25">
      <c r="B24" s="49" t="s">
        <v>62</v>
      </c>
      <c r="C24" s="49" t="s">
        <v>63</v>
      </c>
    </row>
    <row r="25" spans="2:18" x14ac:dyDescent="0.25">
      <c r="M25" s="58"/>
      <c r="N25" s="58"/>
      <c r="O25" s="58"/>
    </row>
    <row r="26" spans="2:18" x14ac:dyDescent="0.25">
      <c r="B26" s="49" t="s">
        <v>40</v>
      </c>
      <c r="M26" s="58"/>
      <c r="N26" s="58"/>
      <c r="O26" s="58"/>
    </row>
    <row r="27" spans="2:18" x14ac:dyDescent="0.25">
      <c r="B27" s="65" t="s">
        <v>53</v>
      </c>
      <c r="C27" s="66"/>
      <c r="D27" s="66"/>
      <c r="E27" s="66" t="s">
        <v>47</v>
      </c>
      <c r="F27" s="66"/>
      <c r="G27" s="66"/>
      <c r="H27" s="66"/>
      <c r="I27" s="66"/>
      <c r="J27" s="66"/>
      <c r="K27" s="66"/>
      <c r="L27" s="66"/>
      <c r="M27" s="67"/>
      <c r="N27" s="67"/>
      <c r="O27" s="67"/>
    </row>
    <row r="28" spans="2:18" x14ac:dyDescent="0.25">
      <c r="B28" s="60" t="s">
        <v>14</v>
      </c>
      <c r="C28" s="60"/>
      <c r="D28" s="61" t="s">
        <v>2</v>
      </c>
      <c r="E28" s="61"/>
      <c r="F28" s="61" t="s">
        <v>3</v>
      </c>
      <c r="G28" s="61"/>
      <c r="H28" s="61" t="s">
        <v>4</v>
      </c>
      <c r="I28" s="61"/>
      <c r="J28" s="8" t="s">
        <v>47</v>
      </c>
      <c r="K28" s="8"/>
      <c r="L28" s="5"/>
      <c r="M28" s="68"/>
      <c r="N28" s="68"/>
      <c r="O28" s="69"/>
    </row>
    <row r="29" spans="2:18" x14ac:dyDescent="0.25">
      <c r="B29" s="60"/>
      <c r="C29" s="60"/>
      <c r="D29" s="62" t="s">
        <v>60</v>
      </c>
      <c r="E29" s="62" t="s">
        <v>61</v>
      </c>
      <c r="F29" s="62" t="s">
        <v>60</v>
      </c>
      <c r="G29" s="62" t="s">
        <v>61</v>
      </c>
      <c r="H29" s="62" t="s">
        <v>60</v>
      </c>
      <c r="I29" s="62" t="s">
        <v>61</v>
      </c>
      <c r="J29" s="8" t="s">
        <v>5</v>
      </c>
      <c r="K29" s="8" t="s">
        <v>48</v>
      </c>
      <c r="L29" s="8" t="s">
        <v>52</v>
      </c>
      <c r="M29" s="68"/>
      <c r="N29" s="68"/>
      <c r="O29" s="68"/>
    </row>
    <row r="30" spans="2:18" x14ac:dyDescent="0.25">
      <c r="B30" s="70" t="s">
        <v>24</v>
      </c>
      <c r="C30" s="83" t="s">
        <v>7</v>
      </c>
      <c r="D30" s="71">
        <v>0.316</v>
      </c>
      <c r="E30" s="72">
        <f>-D30*LOG(D30,2)</f>
        <v>0.52519311752925502</v>
      </c>
      <c r="F30" s="71">
        <v>0.505</v>
      </c>
      <c r="G30" s="72">
        <f>-F30*LOG(F30,2)</f>
        <v>0.4977505770465796</v>
      </c>
      <c r="H30" s="71">
        <v>0.17899999999999999</v>
      </c>
      <c r="I30" s="72">
        <f>-H30*LOG(H30,2)</f>
        <v>0.44427236282421168</v>
      </c>
      <c r="J30" s="71">
        <f>E30+G30+I30</f>
        <v>1.4672160574000461</v>
      </c>
      <c r="K30" s="71">
        <v>0.68</v>
      </c>
      <c r="L30" s="82">
        <v>1.7000000000000001E-2</v>
      </c>
      <c r="M30" s="73"/>
      <c r="N30" s="73"/>
      <c r="O30" s="74"/>
    </row>
    <row r="31" spans="2:18" x14ac:dyDescent="0.25">
      <c r="B31" s="70"/>
      <c r="C31" s="84" t="s">
        <v>8</v>
      </c>
      <c r="D31" s="75">
        <v>0.22700000000000001</v>
      </c>
      <c r="E31" s="76">
        <f>-D31*LOG(D31,2)</f>
        <v>0.48560652600325604</v>
      </c>
      <c r="F31" s="75">
        <v>0.65500000000000003</v>
      </c>
      <c r="G31" s="76">
        <f>-F31*LOG(F31,2)</f>
        <v>0.39983373829541469</v>
      </c>
      <c r="H31" s="75">
        <v>0.11799999999999999</v>
      </c>
      <c r="I31" s="76">
        <f>-H31*LOG(H31,2)</f>
        <v>0.36381066576542898</v>
      </c>
      <c r="J31" s="75">
        <f>E31+G31+I31</f>
        <v>1.2492509300640997</v>
      </c>
      <c r="K31" s="75">
        <v>0.67100000000000004</v>
      </c>
      <c r="L31" s="82"/>
      <c r="M31" s="73"/>
      <c r="N31" s="73"/>
      <c r="O31" s="74"/>
    </row>
    <row r="32" spans="2:18" x14ac:dyDescent="0.25">
      <c r="B32" s="77"/>
      <c r="C32" s="77"/>
      <c r="D32" s="77"/>
      <c r="E32" s="77"/>
      <c r="F32" s="77"/>
      <c r="G32" s="77"/>
      <c r="H32" s="77"/>
      <c r="I32" s="77"/>
      <c r="J32" s="77"/>
      <c r="K32" s="78"/>
      <c r="L32" s="77"/>
      <c r="M32" s="69"/>
      <c r="N32" s="69"/>
      <c r="O32" s="69"/>
    </row>
    <row r="33" spans="2:15" x14ac:dyDescent="0.25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69"/>
      <c r="N33" s="69"/>
      <c r="O33" s="69"/>
    </row>
    <row r="34" spans="2:15" x14ac:dyDescent="0.25">
      <c r="B34" s="65" t="s">
        <v>55</v>
      </c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7"/>
      <c r="N34" s="67"/>
      <c r="O34" s="67"/>
    </row>
    <row r="35" spans="2:15" x14ac:dyDescent="0.25">
      <c r="B35" s="60" t="s">
        <v>14</v>
      </c>
      <c r="C35" s="60"/>
      <c r="D35" s="61" t="s">
        <v>2</v>
      </c>
      <c r="E35" s="61"/>
      <c r="F35" s="61" t="s">
        <v>3</v>
      </c>
      <c r="G35" s="61"/>
      <c r="H35" s="61" t="s">
        <v>4</v>
      </c>
      <c r="I35" s="61"/>
      <c r="J35" s="8" t="s">
        <v>47</v>
      </c>
      <c r="K35" s="8"/>
      <c r="L35" s="5"/>
      <c r="M35" s="68"/>
      <c r="N35" s="68"/>
      <c r="O35" s="69"/>
    </row>
    <row r="36" spans="2:15" x14ac:dyDescent="0.25">
      <c r="B36" s="60"/>
      <c r="C36" s="60"/>
      <c r="D36" s="62" t="s">
        <v>60</v>
      </c>
      <c r="E36" s="62" t="s">
        <v>61</v>
      </c>
      <c r="F36" s="62" t="s">
        <v>60</v>
      </c>
      <c r="G36" s="62" t="s">
        <v>61</v>
      </c>
      <c r="H36" s="62" t="s">
        <v>60</v>
      </c>
      <c r="I36" s="62" t="s">
        <v>61</v>
      </c>
      <c r="J36" s="8" t="s">
        <v>5</v>
      </c>
      <c r="K36" s="8" t="s">
        <v>48</v>
      </c>
      <c r="L36" s="8" t="s">
        <v>52</v>
      </c>
      <c r="M36" s="68"/>
      <c r="N36" s="68"/>
      <c r="O36" s="68"/>
    </row>
    <row r="37" spans="2:15" x14ac:dyDescent="0.25">
      <c r="B37" s="70" t="s">
        <v>24</v>
      </c>
      <c r="C37" s="83" t="s">
        <v>7</v>
      </c>
      <c r="D37" s="71">
        <v>0.75900000000000001</v>
      </c>
      <c r="E37" s="72">
        <f>-D37*LOG(D37,2)</f>
        <v>0.30195161081818517</v>
      </c>
      <c r="F37" s="71">
        <v>2.5000000000000001E-2</v>
      </c>
      <c r="G37" s="72">
        <f>-F37*LOG(F37,2)</f>
        <v>0.13304820237218407</v>
      </c>
      <c r="H37" s="71">
        <v>0.215</v>
      </c>
      <c r="I37" s="72">
        <f>-H37*LOG(H37,2)</f>
        <v>0.47678215854061479</v>
      </c>
      <c r="J37" s="71">
        <f>E37+G37+I37</f>
        <v>0.91178197173098408</v>
      </c>
      <c r="K37" s="71">
        <v>0.48399999999999999</v>
      </c>
      <c r="L37" s="82">
        <v>0.12</v>
      </c>
      <c r="M37" s="73"/>
      <c r="N37" s="73"/>
      <c r="O37" s="74"/>
    </row>
    <row r="38" spans="2:15" x14ac:dyDescent="0.25">
      <c r="B38" s="70"/>
      <c r="C38" s="84" t="s">
        <v>8</v>
      </c>
      <c r="D38" s="75">
        <v>0.371</v>
      </c>
      <c r="E38" s="76">
        <f>-D38*LOG(D38,2)</f>
        <v>0.53071880488331624</v>
      </c>
      <c r="F38" s="75">
        <v>0.14299999999999999</v>
      </c>
      <c r="G38" s="76">
        <f>-F38*LOG(F38,2)</f>
        <v>0.4012455515473688</v>
      </c>
      <c r="H38" s="75">
        <v>0.48599999999999999</v>
      </c>
      <c r="I38" s="76">
        <f>-H38*LOG(H38,2)</f>
        <v>0.50591228559336476</v>
      </c>
      <c r="J38" s="75">
        <f>E38+G38+I38</f>
        <v>1.4378766420240496</v>
      </c>
      <c r="K38" s="75">
        <v>0.67500000000000004</v>
      </c>
      <c r="L38" s="82"/>
      <c r="M38" s="73"/>
      <c r="N38" s="73"/>
      <c r="O38" s="74"/>
    </row>
    <row r="39" spans="2:15" x14ac:dyDescent="0.25">
      <c r="M39" s="58"/>
      <c r="N39" s="58"/>
      <c r="O39" s="58"/>
    </row>
    <row r="40" spans="2:15" x14ac:dyDescent="0.25">
      <c r="M40" s="58"/>
      <c r="N40" s="58"/>
      <c r="O40" s="58"/>
    </row>
    <row r="41" spans="2:15" x14ac:dyDescent="0.25">
      <c r="B41" s="65" t="s">
        <v>54</v>
      </c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58"/>
      <c r="N41" s="58"/>
      <c r="O41" s="58"/>
    </row>
    <row r="42" spans="2:15" x14ac:dyDescent="0.25">
      <c r="B42" s="60" t="s">
        <v>14</v>
      </c>
      <c r="C42" s="60"/>
      <c r="D42" s="61" t="s">
        <v>2</v>
      </c>
      <c r="E42" s="61"/>
      <c r="F42" s="61" t="s">
        <v>3</v>
      </c>
      <c r="G42" s="61"/>
      <c r="H42" s="61" t="s">
        <v>4</v>
      </c>
      <c r="I42" s="61"/>
      <c r="J42" s="8" t="s">
        <v>47</v>
      </c>
      <c r="K42" s="8"/>
      <c r="L42" s="5"/>
    </row>
    <row r="43" spans="2:15" x14ac:dyDescent="0.25">
      <c r="B43" s="60"/>
      <c r="C43" s="60"/>
      <c r="D43" s="62" t="s">
        <v>60</v>
      </c>
      <c r="E43" s="62" t="s">
        <v>61</v>
      </c>
      <c r="F43" s="62" t="s">
        <v>60</v>
      </c>
      <c r="G43" s="62" t="s">
        <v>61</v>
      </c>
      <c r="H43" s="62" t="s">
        <v>60</v>
      </c>
      <c r="I43" s="62" t="s">
        <v>61</v>
      </c>
      <c r="J43" s="8" t="s">
        <v>5</v>
      </c>
      <c r="K43" s="8" t="s">
        <v>48</v>
      </c>
      <c r="L43" s="8" t="s">
        <v>52</v>
      </c>
    </row>
    <row r="44" spans="2:15" x14ac:dyDescent="0.25">
      <c r="B44" s="70" t="s">
        <v>24</v>
      </c>
      <c r="C44" s="83" t="s">
        <v>7</v>
      </c>
      <c r="D44" s="71">
        <v>0.58299999999999996</v>
      </c>
      <c r="E44" s="72">
        <f>-D44*LOG(D44,2)</f>
        <v>0.45382597928210733</v>
      </c>
      <c r="F44" s="71">
        <v>0</v>
      </c>
      <c r="G44" s="72">
        <v>0</v>
      </c>
      <c r="H44" s="71">
        <v>0.41699999999999998</v>
      </c>
      <c r="I44" s="72">
        <f>-H44*LOG(H44,2)</f>
        <v>0.52620425657766556</v>
      </c>
      <c r="J44" s="71">
        <f>E44+G44+I44</f>
        <v>0.98003023585977289</v>
      </c>
      <c r="K44" s="71">
        <v>0.25600000000000001</v>
      </c>
      <c r="L44" s="82">
        <v>0.11799999999999999</v>
      </c>
    </row>
    <row r="45" spans="2:15" x14ac:dyDescent="0.25">
      <c r="B45" s="70"/>
      <c r="C45" s="84" t="s">
        <v>8</v>
      </c>
      <c r="D45" s="75">
        <v>0.23499999999999999</v>
      </c>
      <c r="E45" s="76">
        <f>-D45*LOG(D45,2)</f>
        <v>0.49097782445281546</v>
      </c>
      <c r="F45" s="75">
        <v>0.20599999999999999</v>
      </c>
      <c r="G45" s="76">
        <f>-F45*LOG(F45,2)</f>
        <v>0.46953245404064697</v>
      </c>
      <c r="H45" s="75">
        <v>0.55900000000000005</v>
      </c>
      <c r="I45" s="76">
        <f>-H45*LOG(H45,2)</f>
        <v>0.46904561480676338</v>
      </c>
      <c r="J45" s="75">
        <f>E45+G45+I45</f>
        <v>1.4295558933002259</v>
      </c>
      <c r="K45" s="75">
        <v>1.0569999999999999</v>
      </c>
      <c r="L45" s="82"/>
    </row>
    <row r="50" spans="2:2" x14ac:dyDescent="0.25">
      <c r="B50" s="49" t="s">
        <v>51</v>
      </c>
    </row>
  </sheetData>
  <mergeCells count="28">
    <mergeCell ref="L37:L38"/>
    <mergeCell ref="B17:C18"/>
    <mergeCell ref="D17:E17"/>
    <mergeCell ref="F17:G17"/>
    <mergeCell ref="H17:I17"/>
    <mergeCell ref="B19:B21"/>
    <mergeCell ref="L19:L21"/>
    <mergeCell ref="B22:B23"/>
    <mergeCell ref="L22:L23"/>
    <mergeCell ref="B37:B38"/>
    <mergeCell ref="O37:O38"/>
    <mergeCell ref="D28:E28"/>
    <mergeCell ref="F28:G28"/>
    <mergeCell ref="H28:I28"/>
    <mergeCell ref="L30:L31"/>
    <mergeCell ref="D42:E42"/>
    <mergeCell ref="F42:G42"/>
    <mergeCell ref="H42:I42"/>
    <mergeCell ref="L44:L45"/>
    <mergeCell ref="B44:B45"/>
    <mergeCell ref="B35:C36"/>
    <mergeCell ref="D35:E35"/>
    <mergeCell ref="F35:G35"/>
    <mergeCell ref="H35:I35"/>
    <mergeCell ref="B30:B31"/>
    <mergeCell ref="O30:O31"/>
    <mergeCell ref="B42:C43"/>
    <mergeCell ref="B28:C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Q1-CART</vt:lpstr>
      <vt:lpstr>Q2-C 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2019-05-11T21:34:31Z</dcterms:created>
  <dcterms:modified xsi:type="dcterms:W3CDTF">2019-05-12T16:08:56Z</dcterms:modified>
</cp:coreProperties>
</file>