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defaultThemeVersion="124226"/>
  <xr:revisionPtr revIDLastSave="0" documentId="13_ncr:1_{2EC896C2-442D-46B8-96D4-E6BB3FC13F36}" xr6:coauthVersionLast="31" xr6:coauthVersionMax="31" xr10:uidLastSave="{00000000-0000-0000-0000-000000000000}"/>
  <bookViews>
    <workbookView xWindow="0" yWindow="0" windowWidth="19200" windowHeight="6960" activeTab="3" xr2:uid="{00000000-000D-0000-FFFF-FFFF00000000}"/>
  </bookViews>
  <sheets>
    <sheet name="Demand A" sheetId="11" r:id="rId1"/>
    <sheet name="Demand B" sheetId="12" r:id="rId2"/>
    <sheet name="Product A" sheetId="8" r:id="rId3"/>
    <sheet name="Product B" sheetId="2" r:id="rId4"/>
  </sheets>
  <definedNames>
    <definedName name="_AtRisk_FitDataRange_FIT_E98EF_54636" localSheetId="0" hidden="1">'Demand A'!$C$3:$C$122</definedName>
    <definedName name="_AtRisk_FitDataRange_FIT_E98EF_54636" localSheetId="1" hidden="1">'Demand A'!$C$3:$C$122</definedName>
    <definedName name="_AtRisk_FitDataRange_FIT_E98EF_54636" hidden="1">#REF!</definedName>
    <definedName name="a" localSheetId="0">'Demand A'!$J$5</definedName>
    <definedName name="a">'Product A'!$D$6</definedName>
    <definedName name="b" localSheetId="0">'Demand A'!$J$4</definedName>
    <definedName name="b">'Product A'!$D$7</definedName>
    <definedName name="c_">'Product A'!$D$3</definedName>
    <definedName name="Co">'Product A'!$D$12</definedName>
    <definedName name="Cr">'Product A'!$D$13</definedName>
    <definedName name="Cu">'Product A'!$D$11</definedName>
    <definedName name="F">'Product B'!$P$11:$P$16</definedName>
    <definedName name="fz">'Product A'!$D$23</definedName>
    <definedName name="Fz_">'Product A'!$D$22</definedName>
    <definedName name="g">'Product A'!$D$4</definedName>
    <definedName name="left">'Product A'!$D$27</definedName>
    <definedName name="lost">'Product A'!$D$25</definedName>
    <definedName name="lz">'Product A'!$D$24</definedName>
    <definedName name="md">'Product A'!$D$15</definedName>
    <definedName name="p">'Product A'!$D$10</definedName>
    <definedName name="Pal_Workbook_GUID" hidden="1">"Q7GIPI3GYN2LQAFYPCSZP4QM"</definedName>
    <definedName name="profit">'Product A'!$D$28</definedName>
    <definedName name="qo">'Product A'!$D$20</definedName>
    <definedName name="RiskMultipleCPUSupportEnabled" hidden="1">TRUE</definedName>
    <definedName name="s" localSheetId="2">'Product A'!$D$5</definedName>
    <definedName name="sales">'Product A'!$D$26</definedName>
    <definedName name="sd">'Product A'!$D$16</definedName>
    <definedName name="sigma" localSheetId="0">'Demand A'!$G$126</definedName>
    <definedName name="sigma">'Product A'!$D$8</definedName>
    <definedName name="solver_adj" localSheetId="2" hidden="1">'Product A'!$D$10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'Product A'!$D$10</definedName>
    <definedName name="solver_lhs2" localSheetId="2" hidden="1">'Product A'!$D$10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'Product A'!$D$28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hs1" localSheetId="2" hidden="1">6</definedName>
    <definedName name="solver_rhs2" localSheetId="2" hidden="1">2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  <definedName name="z">'Product A'!$D$21</definedName>
  </definedNames>
  <calcPr calcId="179017"/>
</workbook>
</file>

<file path=xl/calcChain.xml><?xml version="1.0" encoding="utf-8"?>
<calcChain xmlns="http://schemas.openxmlformats.org/spreadsheetml/2006/main">
  <c r="D8" i="8" l="1"/>
  <c r="D7" i="8"/>
  <c r="D6" i="8"/>
  <c r="G55" i="11" l="1"/>
  <c r="G57" i="11"/>
  <c r="G63" i="11"/>
  <c r="G65" i="11"/>
  <c r="G71" i="11"/>
  <c r="G73" i="11"/>
  <c r="G79" i="11"/>
  <c r="G81" i="11"/>
  <c r="G87" i="11"/>
  <c r="G89" i="11"/>
  <c r="G95" i="11"/>
  <c r="G97" i="11"/>
  <c r="G103" i="11"/>
  <c r="G105" i="11"/>
  <c r="G111" i="11"/>
  <c r="G113" i="11"/>
  <c r="G119" i="11"/>
  <c r="G121" i="11"/>
  <c r="C125" i="11"/>
  <c r="F3" i="11" s="1"/>
  <c r="D125" i="11"/>
  <c r="C126" i="11"/>
  <c r="D126" i="11"/>
  <c r="G3" i="11" l="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G100" i="11"/>
  <c r="G102" i="11"/>
  <c r="G104" i="11"/>
  <c r="G106" i="11"/>
  <c r="G108" i="11"/>
  <c r="G110" i="11"/>
  <c r="G112" i="11"/>
  <c r="G114" i="11"/>
  <c r="G116" i="11"/>
  <c r="G118" i="11"/>
  <c r="G120" i="11"/>
  <c r="G122" i="11"/>
  <c r="G5" i="11"/>
  <c r="G4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117" i="11"/>
  <c r="G109" i="11"/>
  <c r="G101" i="11"/>
  <c r="G93" i="11"/>
  <c r="G85" i="11"/>
  <c r="G77" i="11"/>
  <c r="G69" i="11"/>
  <c r="G61" i="11"/>
  <c r="G53" i="11"/>
  <c r="G115" i="11"/>
  <c r="G107" i="11"/>
  <c r="G99" i="11"/>
  <c r="G91" i="11"/>
  <c r="G83" i="11"/>
  <c r="G75" i="11"/>
  <c r="G67" i="11"/>
  <c r="G59" i="11"/>
  <c r="G51" i="11"/>
  <c r="F121" i="11"/>
  <c r="F119" i="11"/>
  <c r="F117" i="11"/>
  <c r="F115" i="11"/>
  <c r="F113" i="11"/>
  <c r="F111" i="11"/>
  <c r="F109" i="11"/>
  <c r="F107" i="11"/>
  <c r="F105" i="11"/>
  <c r="F103" i="11"/>
  <c r="F101" i="11"/>
  <c r="F99" i="11"/>
  <c r="F97" i="11"/>
  <c r="F95" i="11"/>
  <c r="F93" i="11"/>
  <c r="F91" i="11"/>
  <c r="F89" i="11"/>
  <c r="F87" i="11"/>
  <c r="F85" i="11"/>
  <c r="F83" i="11"/>
  <c r="F81" i="11"/>
  <c r="F79" i="11"/>
  <c r="F77" i="11"/>
  <c r="F75" i="11"/>
  <c r="F73" i="11"/>
  <c r="F71" i="11"/>
  <c r="F69" i="11"/>
  <c r="F67" i="11"/>
  <c r="F65" i="11"/>
  <c r="F63" i="11"/>
  <c r="F61" i="11"/>
  <c r="F59" i="11"/>
  <c r="F57" i="11"/>
  <c r="F55" i="11"/>
  <c r="F53" i="11"/>
  <c r="F51" i="11"/>
  <c r="F49" i="11"/>
  <c r="F47" i="11"/>
  <c r="F45" i="11"/>
  <c r="F43" i="11"/>
  <c r="F41" i="11"/>
  <c r="F39" i="11"/>
  <c r="F37" i="11"/>
  <c r="F35" i="11"/>
  <c r="F33" i="11"/>
  <c r="F31" i="11"/>
  <c r="F29" i="11"/>
  <c r="F27" i="11"/>
  <c r="F25" i="11"/>
  <c r="F23" i="11"/>
  <c r="F21" i="11"/>
  <c r="F19" i="11"/>
  <c r="F17" i="11"/>
  <c r="F15" i="11"/>
  <c r="F13" i="11"/>
  <c r="F11" i="11"/>
  <c r="F9" i="11"/>
  <c r="F7" i="11"/>
  <c r="F4" i="11"/>
  <c r="G126" i="11" s="1"/>
  <c r="F5" i="11"/>
  <c r="F122" i="11"/>
  <c r="F120" i="11"/>
  <c r="F118" i="11"/>
  <c r="F116" i="11"/>
  <c r="F114" i="11"/>
  <c r="F112" i="11"/>
  <c r="F110" i="11"/>
  <c r="F108" i="11"/>
  <c r="F106" i="11"/>
  <c r="F104" i="11"/>
  <c r="F102" i="11"/>
  <c r="F100" i="11"/>
  <c r="F98" i="11"/>
  <c r="F96" i="11"/>
  <c r="F94" i="11"/>
  <c r="F92" i="11"/>
  <c r="F90" i="11"/>
  <c r="F88" i="11"/>
  <c r="F86" i="11"/>
  <c r="F84" i="11"/>
  <c r="F82" i="11"/>
  <c r="F80" i="11"/>
  <c r="F78" i="11"/>
  <c r="F76" i="11"/>
  <c r="F74" i="11"/>
  <c r="F72" i="11"/>
  <c r="F70" i="11"/>
  <c r="F68" i="11"/>
  <c r="F66" i="11"/>
  <c r="F64" i="11"/>
  <c r="F62" i="11"/>
  <c r="F60" i="11"/>
  <c r="F58" i="11"/>
  <c r="F56" i="11"/>
  <c r="F54" i="11"/>
  <c r="F52" i="11"/>
  <c r="F50" i="11"/>
  <c r="F48" i="11"/>
  <c r="F46" i="11"/>
  <c r="F44" i="11"/>
  <c r="F42" i="11"/>
  <c r="F40" i="11"/>
  <c r="F38" i="11"/>
  <c r="F36" i="11"/>
  <c r="F34" i="11"/>
  <c r="F32" i="11"/>
  <c r="F30" i="11"/>
  <c r="F28" i="11"/>
  <c r="F26" i="11"/>
  <c r="F24" i="11"/>
  <c r="F22" i="11"/>
  <c r="F20" i="11"/>
  <c r="F18" i="11"/>
  <c r="F16" i="11"/>
  <c r="F14" i="11"/>
  <c r="F12" i="11"/>
  <c r="F10" i="11"/>
  <c r="F8" i="11"/>
  <c r="F6" i="11"/>
  <c r="J4" i="11"/>
  <c r="J5" i="11" s="1"/>
  <c r="D16" i="8"/>
  <c r="D15" i="8"/>
  <c r="E22" i="2" l="1"/>
  <c r="E23" i="2" s="1"/>
  <c r="E24" i="2" s="1"/>
  <c r="M22" i="2"/>
  <c r="M23" i="2" s="1"/>
  <c r="M24" i="2" s="1"/>
  <c r="D21" i="2"/>
  <c r="E21" i="2"/>
  <c r="F21" i="2"/>
  <c r="G21" i="2"/>
  <c r="H21" i="2"/>
  <c r="I21" i="2"/>
  <c r="J21" i="2"/>
  <c r="K21" i="2"/>
  <c r="L21" i="2"/>
  <c r="M21" i="2"/>
  <c r="C21" i="2"/>
  <c r="D20" i="2"/>
  <c r="D22" i="2" s="1"/>
  <c r="D23" i="2" s="1"/>
  <c r="D24" i="2" s="1"/>
  <c r="E20" i="2"/>
  <c r="F20" i="2"/>
  <c r="F22" i="2" s="1"/>
  <c r="F23" i="2" s="1"/>
  <c r="F24" i="2" s="1"/>
  <c r="G20" i="2"/>
  <c r="G22" i="2" s="1"/>
  <c r="G23" i="2" s="1"/>
  <c r="G24" i="2" s="1"/>
  <c r="H20" i="2"/>
  <c r="H22" i="2" s="1"/>
  <c r="H23" i="2" s="1"/>
  <c r="H24" i="2" s="1"/>
  <c r="I20" i="2"/>
  <c r="I22" i="2" s="1"/>
  <c r="I23" i="2" s="1"/>
  <c r="I24" i="2" s="1"/>
  <c r="J20" i="2"/>
  <c r="J22" i="2" s="1"/>
  <c r="J23" i="2" s="1"/>
  <c r="J24" i="2" s="1"/>
  <c r="K20" i="2"/>
  <c r="K22" i="2" s="1"/>
  <c r="K23" i="2" s="1"/>
  <c r="K24" i="2" s="1"/>
  <c r="L20" i="2"/>
  <c r="L22" i="2" s="1"/>
  <c r="L23" i="2" s="1"/>
  <c r="L24" i="2" s="1"/>
  <c r="M20" i="2"/>
  <c r="C20" i="2"/>
  <c r="C22" i="2" s="1"/>
  <c r="C23" i="2" s="1"/>
  <c r="C24" i="2" s="1"/>
  <c r="P16" i="2"/>
  <c r="P13" i="2"/>
  <c r="P14" i="2"/>
  <c r="P15" i="2"/>
  <c r="P12" i="2"/>
  <c r="P11" i="2"/>
  <c r="O16" i="2"/>
  <c r="O14" i="2"/>
  <c r="O15" i="2"/>
  <c r="O13" i="2"/>
  <c r="O12" i="2"/>
  <c r="O11" i="2"/>
  <c r="D16" i="2"/>
  <c r="E16" i="2"/>
  <c r="F16" i="2"/>
  <c r="G16" i="2"/>
  <c r="H16" i="2"/>
  <c r="I16" i="2"/>
  <c r="J16" i="2"/>
  <c r="K16" i="2"/>
  <c r="L16" i="2"/>
  <c r="M16" i="2"/>
  <c r="D15" i="2"/>
  <c r="E15" i="2"/>
  <c r="F15" i="2"/>
  <c r="G15" i="2"/>
  <c r="H15" i="2"/>
  <c r="I15" i="2"/>
  <c r="J15" i="2"/>
  <c r="K15" i="2"/>
  <c r="L15" i="2"/>
  <c r="M15" i="2"/>
  <c r="D14" i="2"/>
  <c r="E14" i="2"/>
  <c r="F14" i="2"/>
  <c r="G14" i="2"/>
  <c r="H14" i="2"/>
  <c r="I14" i="2"/>
  <c r="J14" i="2"/>
  <c r="K14" i="2"/>
  <c r="L14" i="2"/>
  <c r="M14" i="2"/>
  <c r="D13" i="2"/>
  <c r="E13" i="2"/>
  <c r="F13" i="2"/>
  <c r="G13" i="2"/>
  <c r="H13" i="2"/>
  <c r="I13" i="2"/>
  <c r="J13" i="2"/>
  <c r="K13" i="2"/>
  <c r="L13" i="2"/>
  <c r="M13" i="2"/>
  <c r="D12" i="2"/>
  <c r="E12" i="2"/>
  <c r="F12" i="2"/>
  <c r="G12" i="2"/>
  <c r="H12" i="2"/>
  <c r="I12" i="2"/>
  <c r="J12" i="2"/>
  <c r="K12" i="2"/>
  <c r="L12" i="2"/>
  <c r="M12" i="2"/>
  <c r="C16" i="2"/>
  <c r="C15" i="2"/>
  <c r="C14" i="2"/>
  <c r="C13" i="2"/>
  <c r="C12" i="2"/>
  <c r="C11" i="2"/>
  <c r="J11" i="2"/>
  <c r="K11" i="2"/>
  <c r="L11" i="2"/>
  <c r="M11" i="2"/>
  <c r="D11" i="2"/>
  <c r="E11" i="2"/>
  <c r="F11" i="2"/>
  <c r="G11" i="2"/>
  <c r="H11" i="2"/>
  <c r="I11" i="2"/>
  <c r="H30" i="2" l="1"/>
  <c r="H33" i="2"/>
  <c r="H31" i="2"/>
  <c r="H29" i="2"/>
  <c r="H32" i="2"/>
  <c r="H28" i="2"/>
  <c r="K33" i="2"/>
  <c r="K31" i="2"/>
  <c r="K29" i="2"/>
  <c r="K32" i="2"/>
  <c r="K28" i="2"/>
  <c r="K30" i="2"/>
  <c r="J31" i="2"/>
  <c r="J32" i="2"/>
  <c r="J30" i="2"/>
  <c r="J28" i="2"/>
  <c r="J35" i="2" s="1"/>
  <c r="J33" i="2"/>
  <c r="J29" i="2"/>
  <c r="M32" i="2"/>
  <c r="M30" i="2"/>
  <c r="M28" i="2"/>
  <c r="M29" i="2"/>
  <c r="M33" i="2"/>
  <c r="M31" i="2"/>
  <c r="L32" i="2"/>
  <c r="L28" i="2"/>
  <c r="L33" i="2"/>
  <c r="L31" i="2"/>
  <c r="L29" i="2"/>
  <c r="L30" i="2"/>
  <c r="G33" i="2"/>
  <c r="G31" i="2"/>
  <c r="G29" i="2"/>
  <c r="G30" i="2"/>
  <c r="G32" i="2"/>
  <c r="G28" i="2"/>
  <c r="G35" i="2" s="1"/>
  <c r="I32" i="2"/>
  <c r="I30" i="2"/>
  <c r="I28" i="2"/>
  <c r="I33" i="2"/>
  <c r="I31" i="2"/>
  <c r="I29" i="2"/>
  <c r="D32" i="2"/>
  <c r="D28" i="2"/>
  <c r="D33" i="2"/>
  <c r="D31" i="2"/>
  <c r="D29" i="2"/>
  <c r="D30" i="2"/>
  <c r="C32" i="2"/>
  <c r="C28" i="2"/>
  <c r="C29" i="2"/>
  <c r="C33" i="2"/>
  <c r="C30" i="2"/>
  <c r="C31" i="2"/>
  <c r="F33" i="2"/>
  <c r="F29" i="2"/>
  <c r="F32" i="2"/>
  <c r="F30" i="2"/>
  <c r="F28" i="2"/>
  <c r="F31" i="2"/>
  <c r="E32" i="2"/>
  <c r="E30" i="2"/>
  <c r="E28" i="2"/>
  <c r="E29" i="2"/>
  <c r="E33" i="2"/>
  <c r="E31" i="2"/>
  <c r="D12" i="8"/>
  <c r="D11" i="8"/>
  <c r="D13" i="8" s="1"/>
  <c r="D20" i="8" s="1"/>
  <c r="J36" i="2" l="1"/>
  <c r="J37" i="2" s="1"/>
  <c r="F35" i="2"/>
  <c r="I35" i="2"/>
  <c r="K35" i="2"/>
  <c r="G36" i="2"/>
  <c r="G37" i="2"/>
  <c r="C35" i="2"/>
  <c r="L35" i="2"/>
  <c r="H35" i="2"/>
  <c r="D35" i="2"/>
  <c r="E35" i="2"/>
  <c r="M35" i="2"/>
  <c r="D21" i="8"/>
  <c r="D10" i="2"/>
  <c r="E10" i="2"/>
  <c r="F10" i="2"/>
  <c r="G10" i="2"/>
  <c r="H10" i="2"/>
  <c r="I10" i="2"/>
  <c r="J10" i="2"/>
  <c r="K10" i="2"/>
  <c r="L10" i="2"/>
  <c r="M10" i="2"/>
  <c r="C10" i="2"/>
  <c r="C36" i="2" l="1"/>
  <c r="C37" i="2" s="1"/>
  <c r="F36" i="2"/>
  <c r="F37" i="2" s="1"/>
  <c r="I36" i="2"/>
  <c r="I37" i="2" s="1"/>
  <c r="H36" i="2"/>
  <c r="H37" i="2" s="1"/>
  <c r="E36" i="2"/>
  <c r="E37" i="2" s="1"/>
  <c r="D36" i="2"/>
  <c r="D37" i="2" s="1"/>
  <c r="M36" i="2"/>
  <c r="M37" i="2" s="1"/>
  <c r="L36" i="2"/>
  <c r="L37" i="2" s="1"/>
  <c r="K36" i="2"/>
  <c r="K37" i="2" s="1"/>
  <c r="D23" i="8"/>
  <c r="D22" i="8"/>
  <c r="D24" i="8" l="1"/>
  <c r="D25" i="8" s="1"/>
  <c r="D26" i="8" s="1"/>
  <c r="D27" i="8" s="1"/>
  <c r="D28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emand A" description="Connection to the 'Demand A' query in the workbook." type="5" refreshedVersion="0" background="1">
    <dbPr connection="Provider=Microsoft.Mashup.OleDb.1;Data Source=$Workbook$;Location=Demand A;Extended Properties=&quot;&quot;" command="SELECT * FROM [Demand A]"/>
  </connection>
</connections>
</file>

<file path=xl/sharedStrings.xml><?xml version="1.0" encoding="utf-8"?>
<sst xmlns="http://schemas.openxmlformats.org/spreadsheetml/2006/main" count="96" uniqueCount="85">
  <si>
    <t>Month Index</t>
  </si>
  <si>
    <t>g</t>
  </si>
  <si>
    <t>Goodwill cost</t>
  </si>
  <si>
    <t>c_</t>
  </si>
  <si>
    <t>Value</t>
  </si>
  <si>
    <t>Symbol</t>
  </si>
  <si>
    <t>Price</t>
  </si>
  <si>
    <t>Underage cost</t>
  </si>
  <si>
    <t>Overage cost</t>
  </si>
  <si>
    <t>Critical ratio</t>
  </si>
  <si>
    <t>Description</t>
  </si>
  <si>
    <t>Unit cost</t>
  </si>
  <si>
    <t>Parameter a</t>
  </si>
  <si>
    <t>a</t>
  </si>
  <si>
    <t>Parameter b</t>
  </si>
  <si>
    <t>b</t>
  </si>
  <si>
    <t>Parameter sigma</t>
  </si>
  <si>
    <t>sigma</t>
  </si>
  <si>
    <t>p</t>
  </si>
  <si>
    <t>Cu</t>
  </si>
  <si>
    <t>Co</t>
  </si>
  <si>
    <t>Cr</t>
  </si>
  <si>
    <t xml:space="preserve">Mean of demand </t>
  </si>
  <si>
    <t>md</t>
  </si>
  <si>
    <t>=a-b*p</t>
  </si>
  <si>
    <t>Std of demand</t>
  </si>
  <si>
    <t>sd</t>
  </si>
  <si>
    <t>=sigma</t>
  </si>
  <si>
    <t>given in case description</t>
  </si>
  <si>
    <t>Comments</t>
  </si>
  <si>
    <t>estimated from data</t>
  </si>
  <si>
    <t>initial value doesn't matter; final value given by Solver</t>
  </si>
  <si>
    <t>Continue analysis below (see in-class demo for newsvendor model with normal demand)</t>
  </si>
  <si>
    <t>Continue analysis below (see in-class demo for newsvendor model with discrete demand)</t>
  </si>
  <si>
    <t>f</t>
  </si>
  <si>
    <t>F</t>
  </si>
  <si>
    <t>Criical ratio</t>
  </si>
  <si>
    <t>Opt. order qty</t>
  </si>
  <si>
    <t>Position</t>
  </si>
  <si>
    <t>Sales</t>
  </si>
  <si>
    <t>Expected Sales</t>
  </si>
  <si>
    <t>Exp. Lost Sales</t>
  </si>
  <si>
    <t>Exp.Profit</t>
  </si>
  <si>
    <t>For maximum expected profit,</t>
  </si>
  <si>
    <t>Price=$4.2</t>
  </si>
  <si>
    <t>Order qty=22975</t>
  </si>
  <si>
    <t>Expected profit=$46958</t>
  </si>
  <si>
    <t>Optimal order quantity</t>
  </si>
  <si>
    <t>qo</t>
  </si>
  <si>
    <t>Standardized value</t>
  </si>
  <si>
    <t>z</t>
  </si>
  <si>
    <t>=(qo-md)/sd</t>
  </si>
  <si>
    <t>Standard normal CDF</t>
  </si>
  <si>
    <t>Fz_</t>
  </si>
  <si>
    <t>=NORMDIST(z,0,1,TRUE)</t>
  </si>
  <si>
    <t>Standard normal PDF</t>
  </si>
  <si>
    <t>fz</t>
  </si>
  <si>
    <t>=NORMDIST(z,0,1,FALSE)</t>
  </si>
  <si>
    <t>Standard normal loss</t>
  </si>
  <si>
    <t>lz</t>
  </si>
  <si>
    <t>=fz-z*(1-Fz_ )</t>
  </si>
  <si>
    <t>Expected lost sales</t>
  </si>
  <si>
    <t>lost</t>
  </si>
  <si>
    <t>=Lz*sd</t>
  </si>
  <si>
    <t>Expected sales</t>
  </si>
  <si>
    <t>sales</t>
  </si>
  <si>
    <t>=md-lost</t>
  </si>
  <si>
    <t>Expected leftover</t>
  </si>
  <si>
    <t>left</t>
  </si>
  <si>
    <t>=qo-sales</t>
  </si>
  <si>
    <t>Expected profit</t>
  </si>
  <si>
    <t>profit</t>
  </si>
  <si>
    <t>=NORMINV(Cr,md,sd)</t>
  </si>
  <si>
    <t>Std deviation</t>
  </si>
  <si>
    <t>Mean</t>
  </si>
  <si>
    <t>Price=$5</t>
  </si>
  <si>
    <t>Price=$4</t>
  </si>
  <si>
    <t>Price = $5</t>
  </si>
  <si>
    <t>Price = $4</t>
  </si>
  <si>
    <t>Deviation from mean</t>
  </si>
  <si>
    <t>Answers:</t>
  </si>
  <si>
    <t>1. a=70300, b=10057, sigma=5026</t>
  </si>
  <si>
    <t>2. Optimal selling price= $4.44</t>
  </si>
  <si>
    <t>Inventory replenishment quantity=27836</t>
  </si>
  <si>
    <t>Expected profit=$51565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</si>
</sst>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_);\(&quot;$&quot;#,##0.0\)"/>
    <numFmt numFmtId="165" formatCode="0.0000"/>
    <numFmt numFmtId="166" formatCode="&quot;$&quot;#,##0.0_);[Red]\(&quot;$&quot;#,##0.0\)"/>
    <numFmt numFmtId="167" formatCode="&quot;$&quot;#,##0.0"/>
    <numFmt numFmtId="168" formatCode="&quot;$&quot;#,##0.00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/>
    <xf numFmtId="165" fontId="0" fillId="0" borderId="0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Border="1"/>
    <xf numFmtId="166" fontId="2" fillId="0" borderId="2" xfId="0" applyNumberFormat="1" applyFont="1" applyBorder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Border="1" applyAlignment="1"/>
    <xf numFmtId="2" fontId="0" fillId="0" borderId="0" xfId="0" applyNumberFormat="1" applyBorder="1" applyAlignment="1"/>
    <xf numFmtId="9" fontId="0" fillId="0" borderId="0" xfId="2" applyFont="1" applyBorder="1" applyAlignment="1">
      <alignment horizontal="center"/>
    </xf>
    <xf numFmtId="164" fontId="3" fillId="0" borderId="0" xfId="1" applyNumberFormat="1" applyFont="1" applyFill="1" applyBorder="1" applyAlignment="1"/>
    <xf numFmtId="0" fontId="2" fillId="0" borderId="0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3" fillId="2" borderId="4" xfId="1" applyNumberFormat="1" applyFont="1" applyFill="1" applyBorder="1" applyAlignment="1"/>
    <xf numFmtId="1" fontId="0" fillId="0" borderId="4" xfId="0" applyNumberFormat="1" applyBorder="1" applyAlignment="1"/>
    <xf numFmtId="2" fontId="0" fillId="0" borderId="4" xfId="0" applyNumberFormat="1" applyBorder="1" applyAlignment="1"/>
    <xf numFmtId="0" fontId="0" fillId="0" borderId="4" xfId="0" applyFill="1" applyBorder="1"/>
    <xf numFmtId="166" fontId="0" fillId="0" borderId="4" xfId="0" applyNumberFormat="1" applyBorder="1" applyAlignment="1">
      <alignment horizontal="center"/>
    </xf>
    <xf numFmtId="0" fontId="0" fillId="0" borderId="4" xfId="0" quotePrefix="1" applyFill="1" applyBorder="1"/>
    <xf numFmtId="0" fontId="0" fillId="0" borderId="4" xfId="0" applyBorder="1" applyAlignment="1"/>
    <xf numFmtId="9" fontId="0" fillId="0" borderId="4" xfId="2" applyFont="1" applyBorder="1" applyAlignment="1">
      <alignment horizontal="center"/>
    </xf>
    <xf numFmtId="0" fontId="0" fillId="0" borderId="0" xfId="0" quotePrefix="1" applyFill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vertical="center"/>
    </xf>
    <xf numFmtId="0" fontId="0" fillId="0" borderId="4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166" fontId="0" fillId="0" borderId="0" xfId="0" applyNumberFormat="1"/>
    <xf numFmtId="168" fontId="0" fillId="0" borderId="0" xfId="0" applyNumberFormat="1"/>
    <xf numFmtId="10" fontId="0" fillId="0" borderId="0" xfId="0" applyNumberFormat="1"/>
    <xf numFmtId="0" fontId="2" fillId="0" borderId="0" xfId="0" applyFont="1"/>
    <xf numFmtId="6" fontId="0" fillId="0" borderId="0" xfId="0" applyNumberFormat="1"/>
    <xf numFmtId="6" fontId="0" fillId="3" borderId="0" xfId="0" applyNumberFormat="1" applyFill="1"/>
    <xf numFmtId="167" fontId="2" fillId="3" borderId="2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0" xfId="0" applyFill="1"/>
    <xf numFmtId="0" fontId="4" fillId="0" borderId="4" xfId="0" applyFont="1" applyFill="1" applyBorder="1"/>
    <xf numFmtId="3" fontId="4" fillId="0" borderId="4" xfId="0" applyNumberFormat="1" applyFont="1" applyFill="1" applyBorder="1"/>
    <xf numFmtId="0" fontId="4" fillId="0" borderId="4" xfId="0" quotePrefix="1" applyFont="1" applyFill="1" applyBorder="1"/>
    <xf numFmtId="2" fontId="4" fillId="0" borderId="4" xfId="0" applyNumberFormat="1" applyFont="1" applyFill="1" applyBorder="1"/>
    <xf numFmtId="1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169" fontId="4" fillId="0" borderId="4" xfId="1" applyNumberFormat="1" applyFont="1" applyFill="1" applyBorder="1"/>
    <xf numFmtId="0" fontId="4" fillId="3" borderId="0" xfId="0" applyFont="1" applyFill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4" fillId="3" borderId="0" xfId="0" applyFont="1" applyFill="1" applyBorder="1"/>
    <xf numFmtId="0" fontId="0" fillId="3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B80E-1EF8-45FB-8E0D-1A1AE1EB6D75}">
  <dimension ref="B1:J126"/>
  <sheetViews>
    <sheetView topLeftCell="A119" workbookViewId="0">
      <selection activeCell="E132" sqref="E132"/>
    </sheetView>
  </sheetViews>
  <sheetFormatPr defaultRowHeight="14.5" x14ac:dyDescent="0.35"/>
  <cols>
    <col min="1" max="1" width="4.08984375" customWidth="1"/>
    <col min="2" max="3" width="11.36328125" style="2" customWidth="1"/>
    <col min="4" max="4" width="11.6328125" style="2" customWidth="1"/>
  </cols>
  <sheetData>
    <row r="1" spans="2:10" ht="15" thickBot="1" x14ac:dyDescent="0.4">
      <c r="B1" s="4"/>
      <c r="C1" s="4"/>
      <c r="D1" s="4"/>
      <c r="F1" s="64" t="s">
        <v>79</v>
      </c>
      <c r="G1" s="64"/>
    </row>
    <row r="2" spans="2:10" ht="15" thickBot="1" x14ac:dyDescent="0.4">
      <c r="B2" s="5" t="s">
        <v>0</v>
      </c>
      <c r="C2" s="5" t="s">
        <v>78</v>
      </c>
      <c r="D2" s="5" t="s">
        <v>77</v>
      </c>
      <c r="F2" s="61" t="s">
        <v>76</v>
      </c>
      <c r="G2" s="61" t="s">
        <v>75</v>
      </c>
    </row>
    <row r="3" spans="2:10" x14ac:dyDescent="0.35">
      <c r="B3" s="2">
        <v>1</v>
      </c>
      <c r="C3" s="2">
        <v>29514</v>
      </c>
      <c r="D3" s="2">
        <v>16205</v>
      </c>
      <c r="F3" s="1">
        <f t="shared" ref="F3:F34" si="0">C3-$C$125</f>
        <v>-556.125</v>
      </c>
      <c r="G3" s="1">
        <f t="shared" ref="G3:G34" si="1">D3-$D$125</f>
        <v>-3807.7333333333336</v>
      </c>
    </row>
    <row r="4" spans="2:10" x14ac:dyDescent="0.35">
      <c r="B4" s="2">
        <v>2</v>
      </c>
      <c r="C4" s="2">
        <v>28973</v>
      </c>
      <c r="D4" s="2">
        <v>11579</v>
      </c>
      <c r="F4" s="1">
        <f t="shared" si="0"/>
        <v>-1097.125</v>
      </c>
      <c r="G4" s="1">
        <f t="shared" si="1"/>
        <v>-8433.7333333333336</v>
      </c>
      <c r="I4" s="49" t="s">
        <v>15</v>
      </c>
      <c r="J4" s="59">
        <f>C125-D125</f>
        <v>10057.391666666666</v>
      </c>
    </row>
    <row r="5" spans="2:10" x14ac:dyDescent="0.35">
      <c r="B5" s="2">
        <v>3</v>
      </c>
      <c r="C5" s="2">
        <v>34288</v>
      </c>
      <c r="D5" s="2">
        <v>19005</v>
      </c>
      <c r="F5" s="1">
        <f t="shared" si="0"/>
        <v>4217.875</v>
      </c>
      <c r="G5" s="1">
        <f t="shared" si="1"/>
        <v>-1007.7333333333336</v>
      </c>
      <c r="I5" s="49" t="s">
        <v>13</v>
      </c>
      <c r="J5" s="59">
        <f>C125+(4*J4)</f>
        <v>70299.691666666666</v>
      </c>
    </row>
    <row r="6" spans="2:10" x14ac:dyDescent="0.35">
      <c r="B6" s="2">
        <v>4</v>
      </c>
      <c r="C6" s="2">
        <v>27814</v>
      </c>
      <c r="D6" s="2">
        <v>23248</v>
      </c>
      <c r="F6" s="1">
        <f t="shared" si="0"/>
        <v>-2256.125</v>
      </c>
      <c r="G6" s="1">
        <f t="shared" si="1"/>
        <v>3235.2666666666664</v>
      </c>
    </row>
    <row r="7" spans="2:10" x14ac:dyDescent="0.35">
      <c r="B7" s="2">
        <v>5</v>
      </c>
      <c r="C7" s="2">
        <v>21721</v>
      </c>
      <c r="D7" s="2">
        <v>19513</v>
      </c>
      <c r="F7" s="1">
        <f t="shared" si="0"/>
        <v>-8349.125</v>
      </c>
      <c r="G7" s="1">
        <f t="shared" si="1"/>
        <v>-499.73333333333358</v>
      </c>
    </row>
    <row r="8" spans="2:10" x14ac:dyDescent="0.35">
      <c r="B8" s="2">
        <v>6</v>
      </c>
      <c r="C8" s="2">
        <v>29137</v>
      </c>
      <c r="D8" s="2">
        <v>19143</v>
      </c>
      <c r="F8" s="1">
        <f t="shared" si="0"/>
        <v>-933.125</v>
      </c>
      <c r="G8" s="1">
        <f t="shared" si="1"/>
        <v>-869.73333333333358</v>
      </c>
    </row>
    <row r="9" spans="2:10" x14ac:dyDescent="0.35">
      <c r="B9" s="2">
        <v>7</v>
      </c>
      <c r="C9" s="2">
        <v>29481</v>
      </c>
      <c r="D9" s="2">
        <v>16167</v>
      </c>
      <c r="F9" s="1">
        <f t="shared" si="0"/>
        <v>-589.125</v>
      </c>
      <c r="G9" s="1">
        <f t="shared" si="1"/>
        <v>-3845.7333333333336</v>
      </c>
    </row>
    <row r="10" spans="2:10" x14ac:dyDescent="0.35">
      <c r="B10" s="2">
        <v>8</v>
      </c>
      <c r="C10" s="2">
        <v>25573</v>
      </c>
      <c r="D10" s="2">
        <v>18655</v>
      </c>
      <c r="F10" s="1">
        <f t="shared" si="0"/>
        <v>-4497.125</v>
      </c>
      <c r="G10" s="1">
        <f t="shared" si="1"/>
        <v>-1357.7333333333336</v>
      </c>
    </row>
    <row r="11" spans="2:10" x14ac:dyDescent="0.35">
      <c r="B11" s="2">
        <v>9</v>
      </c>
      <c r="C11" s="2">
        <v>19296</v>
      </c>
      <c r="D11" s="2">
        <v>21240</v>
      </c>
      <c r="F11" s="1">
        <f t="shared" si="0"/>
        <v>-10774.125</v>
      </c>
      <c r="G11" s="1">
        <f t="shared" si="1"/>
        <v>1227.2666666666664</v>
      </c>
    </row>
    <row r="12" spans="2:10" x14ac:dyDescent="0.35">
      <c r="B12" s="2">
        <v>10</v>
      </c>
      <c r="C12" s="2">
        <v>35526</v>
      </c>
      <c r="D12" s="2">
        <v>15050</v>
      </c>
      <c r="F12" s="1">
        <f t="shared" si="0"/>
        <v>5455.875</v>
      </c>
      <c r="G12" s="1">
        <f t="shared" si="1"/>
        <v>-4962.7333333333336</v>
      </c>
    </row>
    <row r="13" spans="2:10" x14ac:dyDescent="0.35">
      <c r="B13" s="2">
        <v>11</v>
      </c>
      <c r="C13" s="2">
        <v>23147</v>
      </c>
      <c r="D13" s="2">
        <v>18709</v>
      </c>
      <c r="F13" s="1">
        <f t="shared" si="0"/>
        <v>-6923.125</v>
      </c>
      <c r="G13" s="1">
        <f t="shared" si="1"/>
        <v>-1303.7333333333336</v>
      </c>
    </row>
    <row r="14" spans="2:10" x14ac:dyDescent="0.35">
      <c r="B14" s="2">
        <v>12</v>
      </c>
      <c r="C14" s="2">
        <v>24013</v>
      </c>
      <c r="D14" s="2">
        <v>17042</v>
      </c>
      <c r="F14" s="1">
        <f t="shared" si="0"/>
        <v>-6057.125</v>
      </c>
      <c r="G14" s="1">
        <f t="shared" si="1"/>
        <v>-2970.7333333333336</v>
      </c>
    </row>
    <row r="15" spans="2:10" x14ac:dyDescent="0.35">
      <c r="B15" s="2">
        <v>13</v>
      </c>
      <c r="C15" s="2">
        <v>31799</v>
      </c>
      <c r="D15" s="2">
        <v>22446</v>
      </c>
      <c r="F15" s="1">
        <f t="shared" si="0"/>
        <v>1728.875</v>
      </c>
      <c r="G15" s="1">
        <f t="shared" si="1"/>
        <v>2433.2666666666664</v>
      </c>
    </row>
    <row r="16" spans="2:10" x14ac:dyDescent="0.35">
      <c r="B16" s="2">
        <v>14</v>
      </c>
      <c r="C16" s="2">
        <v>36411</v>
      </c>
      <c r="D16" s="2">
        <v>12053</v>
      </c>
      <c r="F16" s="1">
        <f t="shared" si="0"/>
        <v>6340.875</v>
      </c>
      <c r="G16" s="1">
        <f t="shared" si="1"/>
        <v>-7959.7333333333336</v>
      </c>
    </row>
    <row r="17" spans="2:7" x14ac:dyDescent="0.35">
      <c r="B17" s="2">
        <v>15</v>
      </c>
      <c r="C17" s="2">
        <v>25668</v>
      </c>
      <c r="D17" s="2">
        <v>21317</v>
      </c>
      <c r="F17" s="1">
        <f t="shared" si="0"/>
        <v>-4402.125</v>
      </c>
      <c r="G17" s="1">
        <f t="shared" si="1"/>
        <v>1304.2666666666664</v>
      </c>
    </row>
    <row r="18" spans="2:7" x14ac:dyDescent="0.35">
      <c r="B18" s="2">
        <v>16</v>
      </c>
      <c r="C18" s="2">
        <v>34057</v>
      </c>
      <c r="D18" s="2">
        <v>16319</v>
      </c>
      <c r="F18" s="1">
        <f t="shared" si="0"/>
        <v>3986.875</v>
      </c>
      <c r="G18" s="1">
        <f t="shared" si="1"/>
        <v>-3693.7333333333336</v>
      </c>
    </row>
    <row r="19" spans="2:7" x14ac:dyDescent="0.35">
      <c r="B19" s="2">
        <v>17</v>
      </c>
      <c r="C19" s="2">
        <v>35242</v>
      </c>
      <c r="D19" s="2">
        <v>25641</v>
      </c>
      <c r="F19" s="1">
        <f t="shared" si="0"/>
        <v>5171.875</v>
      </c>
      <c r="G19" s="1">
        <f t="shared" si="1"/>
        <v>5628.2666666666664</v>
      </c>
    </row>
    <row r="20" spans="2:7" x14ac:dyDescent="0.35">
      <c r="B20" s="2">
        <v>18</v>
      </c>
      <c r="C20" s="2">
        <v>26781</v>
      </c>
      <c r="D20" s="2">
        <v>16425</v>
      </c>
      <c r="F20" s="1">
        <f t="shared" si="0"/>
        <v>-3289.125</v>
      </c>
      <c r="G20" s="1">
        <f t="shared" si="1"/>
        <v>-3587.7333333333336</v>
      </c>
    </row>
    <row r="21" spans="2:7" x14ac:dyDescent="0.35">
      <c r="B21" s="2">
        <v>19</v>
      </c>
      <c r="C21" s="2">
        <v>36925</v>
      </c>
      <c r="D21" s="2">
        <v>19390</v>
      </c>
      <c r="F21" s="1">
        <f t="shared" si="0"/>
        <v>6854.875</v>
      </c>
      <c r="G21" s="1">
        <f t="shared" si="1"/>
        <v>-622.73333333333358</v>
      </c>
    </row>
    <row r="22" spans="2:7" x14ac:dyDescent="0.35">
      <c r="B22" s="2">
        <v>20</v>
      </c>
      <c r="C22" s="2">
        <v>16790</v>
      </c>
      <c r="D22" s="2">
        <v>19675</v>
      </c>
      <c r="F22" s="1">
        <f t="shared" si="0"/>
        <v>-13280.125</v>
      </c>
      <c r="G22" s="1">
        <f t="shared" si="1"/>
        <v>-337.73333333333358</v>
      </c>
    </row>
    <row r="23" spans="2:7" x14ac:dyDescent="0.35">
      <c r="B23" s="2">
        <v>21</v>
      </c>
      <c r="C23" s="2">
        <v>32629</v>
      </c>
      <c r="D23" s="2">
        <v>26859</v>
      </c>
      <c r="F23" s="1">
        <f t="shared" si="0"/>
        <v>2558.875</v>
      </c>
      <c r="G23" s="1">
        <f t="shared" si="1"/>
        <v>6846.2666666666664</v>
      </c>
    </row>
    <row r="24" spans="2:7" x14ac:dyDescent="0.35">
      <c r="B24" s="2">
        <v>22</v>
      </c>
      <c r="C24" s="2">
        <v>33233</v>
      </c>
      <c r="D24" s="2">
        <v>16254</v>
      </c>
      <c r="F24" s="1">
        <f t="shared" si="0"/>
        <v>3162.875</v>
      </c>
      <c r="G24" s="1">
        <f t="shared" si="1"/>
        <v>-3758.7333333333336</v>
      </c>
    </row>
    <row r="25" spans="2:7" x14ac:dyDescent="0.35">
      <c r="B25" s="2">
        <v>23</v>
      </c>
      <c r="C25" s="2">
        <v>29482</v>
      </c>
      <c r="D25" s="2">
        <v>24115</v>
      </c>
      <c r="F25" s="1">
        <f t="shared" si="0"/>
        <v>-588.125</v>
      </c>
      <c r="G25" s="1">
        <f t="shared" si="1"/>
        <v>4102.2666666666664</v>
      </c>
    </row>
    <row r="26" spans="2:7" x14ac:dyDescent="0.35">
      <c r="B26" s="2">
        <v>24</v>
      </c>
      <c r="C26" s="2">
        <v>29266</v>
      </c>
      <c r="D26" s="2">
        <v>18315</v>
      </c>
      <c r="F26" s="1">
        <f t="shared" si="0"/>
        <v>-804.125</v>
      </c>
      <c r="G26" s="1">
        <f t="shared" si="1"/>
        <v>-1697.7333333333336</v>
      </c>
    </row>
    <row r="27" spans="2:7" x14ac:dyDescent="0.35">
      <c r="B27" s="2">
        <v>25</v>
      </c>
      <c r="C27" s="2">
        <v>36985</v>
      </c>
      <c r="D27" s="2">
        <v>18663</v>
      </c>
      <c r="F27" s="1">
        <f t="shared" si="0"/>
        <v>6914.875</v>
      </c>
      <c r="G27" s="1">
        <f t="shared" si="1"/>
        <v>-1349.7333333333336</v>
      </c>
    </row>
    <row r="28" spans="2:7" x14ac:dyDescent="0.35">
      <c r="B28" s="2">
        <v>26</v>
      </c>
      <c r="C28" s="2">
        <v>26425</v>
      </c>
      <c r="D28" s="2">
        <v>21589</v>
      </c>
      <c r="F28" s="1">
        <f t="shared" si="0"/>
        <v>-3645.125</v>
      </c>
      <c r="G28" s="1">
        <f t="shared" si="1"/>
        <v>1576.2666666666664</v>
      </c>
    </row>
    <row r="29" spans="2:7" x14ac:dyDescent="0.35">
      <c r="B29" s="2">
        <v>27</v>
      </c>
      <c r="C29" s="2">
        <v>32347</v>
      </c>
      <c r="D29" s="2">
        <v>15266</v>
      </c>
      <c r="F29" s="1">
        <f t="shared" si="0"/>
        <v>2276.875</v>
      </c>
      <c r="G29" s="1">
        <f t="shared" si="1"/>
        <v>-4746.7333333333336</v>
      </c>
    </row>
    <row r="30" spans="2:7" x14ac:dyDescent="0.35">
      <c r="B30" s="2">
        <v>28</v>
      </c>
      <c r="C30" s="2">
        <v>26874</v>
      </c>
      <c r="D30" s="2">
        <v>19067</v>
      </c>
      <c r="F30" s="1">
        <f t="shared" si="0"/>
        <v>-3196.125</v>
      </c>
      <c r="G30" s="1">
        <f t="shared" si="1"/>
        <v>-945.73333333333358</v>
      </c>
    </row>
    <row r="31" spans="2:7" x14ac:dyDescent="0.35">
      <c r="B31" s="2">
        <v>29</v>
      </c>
      <c r="C31" s="2">
        <v>31034</v>
      </c>
      <c r="D31" s="2">
        <v>33165</v>
      </c>
      <c r="F31" s="1">
        <f t="shared" si="0"/>
        <v>963.875</v>
      </c>
      <c r="G31" s="1">
        <f t="shared" si="1"/>
        <v>13152.266666666666</v>
      </c>
    </row>
    <row r="32" spans="2:7" x14ac:dyDescent="0.35">
      <c r="B32" s="2">
        <v>30</v>
      </c>
      <c r="C32" s="2">
        <v>26993</v>
      </c>
      <c r="D32" s="2">
        <v>18383</v>
      </c>
      <c r="F32" s="1">
        <f t="shared" si="0"/>
        <v>-3077.125</v>
      </c>
      <c r="G32" s="1">
        <f t="shared" si="1"/>
        <v>-1629.7333333333336</v>
      </c>
    </row>
    <row r="33" spans="2:7" x14ac:dyDescent="0.35">
      <c r="B33" s="2">
        <v>31</v>
      </c>
      <c r="C33" s="2">
        <v>31379</v>
      </c>
      <c r="D33" s="2">
        <v>23210</v>
      </c>
      <c r="F33" s="1">
        <f t="shared" si="0"/>
        <v>1308.875</v>
      </c>
      <c r="G33" s="1">
        <f t="shared" si="1"/>
        <v>3197.2666666666664</v>
      </c>
    </row>
    <row r="34" spans="2:7" x14ac:dyDescent="0.35">
      <c r="B34" s="2">
        <v>32</v>
      </c>
      <c r="C34" s="2">
        <v>33144</v>
      </c>
      <c r="D34" s="2">
        <v>20727</v>
      </c>
      <c r="F34" s="1">
        <f t="shared" si="0"/>
        <v>3073.875</v>
      </c>
      <c r="G34" s="1">
        <f t="shared" si="1"/>
        <v>714.26666666666642</v>
      </c>
    </row>
    <row r="35" spans="2:7" x14ac:dyDescent="0.35">
      <c r="B35" s="2">
        <v>33</v>
      </c>
      <c r="C35" s="2">
        <v>24278</v>
      </c>
      <c r="D35" s="2">
        <v>22418</v>
      </c>
      <c r="F35" s="1">
        <f t="shared" ref="F35:F66" si="2">C35-$C$125</f>
        <v>-5792.125</v>
      </c>
      <c r="G35" s="1">
        <f t="shared" ref="G35:G66" si="3">D35-$D$125</f>
        <v>2405.2666666666664</v>
      </c>
    </row>
    <row r="36" spans="2:7" x14ac:dyDescent="0.35">
      <c r="B36" s="2">
        <v>34</v>
      </c>
      <c r="C36" s="2">
        <v>38254</v>
      </c>
      <c r="D36" s="2">
        <v>18943</v>
      </c>
      <c r="F36" s="1">
        <f t="shared" si="2"/>
        <v>8183.875</v>
      </c>
      <c r="G36" s="1">
        <f t="shared" si="3"/>
        <v>-1069.7333333333336</v>
      </c>
    </row>
    <row r="37" spans="2:7" x14ac:dyDescent="0.35">
      <c r="B37" s="2">
        <v>35</v>
      </c>
      <c r="C37" s="2">
        <v>24366</v>
      </c>
      <c r="D37" s="2">
        <v>22489</v>
      </c>
      <c r="F37" s="1">
        <f t="shared" si="2"/>
        <v>-5704.125</v>
      </c>
      <c r="G37" s="1">
        <f t="shared" si="3"/>
        <v>2476.2666666666664</v>
      </c>
    </row>
    <row r="38" spans="2:7" x14ac:dyDescent="0.35">
      <c r="B38" s="2">
        <v>36</v>
      </c>
      <c r="C38" s="2">
        <v>17445</v>
      </c>
      <c r="D38" s="2">
        <v>15165</v>
      </c>
      <c r="F38" s="1">
        <f t="shared" si="2"/>
        <v>-12625.125</v>
      </c>
      <c r="G38" s="1">
        <f t="shared" si="3"/>
        <v>-4847.7333333333336</v>
      </c>
    </row>
    <row r="39" spans="2:7" x14ac:dyDescent="0.35">
      <c r="B39" s="2">
        <v>37</v>
      </c>
      <c r="C39" s="2">
        <v>24858</v>
      </c>
      <c r="D39" s="2">
        <v>27272</v>
      </c>
      <c r="F39" s="1">
        <f t="shared" si="2"/>
        <v>-5212.125</v>
      </c>
      <c r="G39" s="1">
        <f t="shared" si="3"/>
        <v>7259.2666666666664</v>
      </c>
    </row>
    <row r="40" spans="2:7" x14ac:dyDescent="0.35">
      <c r="B40" s="2">
        <v>38</v>
      </c>
      <c r="C40" s="2">
        <v>37501</v>
      </c>
      <c r="D40" s="2">
        <v>23323</v>
      </c>
      <c r="F40" s="1">
        <f t="shared" si="2"/>
        <v>7430.875</v>
      </c>
      <c r="G40" s="1">
        <f t="shared" si="3"/>
        <v>3310.2666666666664</v>
      </c>
    </row>
    <row r="41" spans="2:7" x14ac:dyDescent="0.35">
      <c r="B41" s="2">
        <v>39</v>
      </c>
      <c r="C41" s="2">
        <v>26219</v>
      </c>
      <c r="D41" s="2">
        <v>20842</v>
      </c>
      <c r="F41" s="1">
        <f t="shared" si="2"/>
        <v>-3851.125</v>
      </c>
      <c r="G41" s="1">
        <f t="shared" si="3"/>
        <v>829.26666666666642</v>
      </c>
    </row>
    <row r="42" spans="2:7" x14ac:dyDescent="0.35">
      <c r="B42" s="2">
        <v>40</v>
      </c>
      <c r="C42" s="2">
        <v>25132</v>
      </c>
      <c r="D42" s="2">
        <v>15022</v>
      </c>
      <c r="F42" s="1">
        <f t="shared" si="2"/>
        <v>-4938.125</v>
      </c>
      <c r="G42" s="1">
        <f t="shared" si="3"/>
        <v>-4990.7333333333336</v>
      </c>
    </row>
    <row r="43" spans="2:7" x14ac:dyDescent="0.35">
      <c r="B43" s="2">
        <v>41</v>
      </c>
      <c r="C43" s="2">
        <v>29422</v>
      </c>
      <c r="D43" s="2">
        <v>17930</v>
      </c>
      <c r="F43" s="1">
        <f t="shared" si="2"/>
        <v>-648.125</v>
      </c>
      <c r="G43" s="1">
        <f t="shared" si="3"/>
        <v>-2082.7333333333336</v>
      </c>
    </row>
    <row r="44" spans="2:7" x14ac:dyDescent="0.35">
      <c r="B44" s="2">
        <v>42</v>
      </c>
      <c r="C44" s="2">
        <v>34109</v>
      </c>
      <c r="D44" s="2">
        <v>24558</v>
      </c>
      <c r="F44" s="1">
        <f t="shared" si="2"/>
        <v>4038.875</v>
      </c>
      <c r="G44" s="1">
        <f t="shared" si="3"/>
        <v>4545.2666666666664</v>
      </c>
    </row>
    <row r="45" spans="2:7" x14ac:dyDescent="0.35">
      <c r="B45" s="2">
        <v>43</v>
      </c>
      <c r="C45" s="2">
        <v>37531</v>
      </c>
      <c r="D45" s="2">
        <v>20992</v>
      </c>
      <c r="F45" s="1">
        <f t="shared" si="2"/>
        <v>7460.875</v>
      </c>
      <c r="G45" s="1">
        <f t="shared" si="3"/>
        <v>979.26666666666642</v>
      </c>
    </row>
    <row r="46" spans="2:7" x14ac:dyDescent="0.35">
      <c r="B46" s="2">
        <v>44</v>
      </c>
      <c r="C46" s="2">
        <v>37887</v>
      </c>
      <c r="D46" s="2">
        <v>28899</v>
      </c>
      <c r="F46" s="1">
        <f t="shared" si="2"/>
        <v>7816.875</v>
      </c>
      <c r="G46" s="1">
        <f t="shared" si="3"/>
        <v>8886.2666666666664</v>
      </c>
    </row>
    <row r="47" spans="2:7" x14ac:dyDescent="0.35">
      <c r="B47" s="2">
        <v>45</v>
      </c>
      <c r="C47" s="2">
        <v>30549</v>
      </c>
      <c r="D47" s="2">
        <v>23256</v>
      </c>
      <c r="F47" s="1">
        <f t="shared" si="2"/>
        <v>478.875</v>
      </c>
      <c r="G47" s="1">
        <f t="shared" si="3"/>
        <v>3243.2666666666664</v>
      </c>
    </row>
    <row r="48" spans="2:7" x14ac:dyDescent="0.35">
      <c r="B48" s="2">
        <v>46</v>
      </c>
      <c r="C48" s="2">
        <v>24376</v>
      </c>
      <c r="D48" s="2">
        <v>21835</v>
      </c>
      <c r="F48" s="1">
        <f t="shared" si="2"/>
        <v>-5694.125</v>
      </c>
      <c r="G48" s="1">
        <f t="shared" si="3"/>
        <v>1822.2666666666664</v>
      </c>
    </row>
    <row r="49" spans="2:7" x14ac:dyDescent="0.35">
      <c r="B49" s="2">
        <v>47</v>
      </c>
      <c r="C49" s="2">
        <v>39105</v>
      </c>
      <c r="D49" s="2">
        <v>11538</v>
      </c>
      <c r="F49" s="1">
        <f t="shared" si="2"/>
        <v>9034.875</v>
      </c>
      <c r="G49" s="1">
        <f t="shared" si="3"/>
        <v>-8474.7333333333336</v>
      </c>
    </row>
    <row r="50" spans="2:7" x14ac:dyDescent="0.35">
      <c r="B50" s="2">
        <v>48</v>
      </c>
      <c r="C50" s="2">
        <v>27413</v>
      </c>
      <c r="D50" s="2">
        <v>23930</v>
      </c>
      <c r="F50" s="1">
        <f t="shared" si="2"/>
        <v>-2657.125</v>
      </c>
      <c r="G50" s="1">
        <f t="shared" si="3"/>
        <v>3917.2666666666664</v>
      </c>
    </row>
    <row r="51" spans="2:7" x14ac:dyDescent="0.35">
      <c r="B51" s="2">
        <v>49</v>
      </c>
      <c r="C51" s="2">
        <v>25902</v>
      </c>
      <c r="D51" s="2">
        <v>14791</v>
      </c>
      <c r="F51" s="1">
        <f t="shared" si="2"/>
        <v>-4168.125</v>
      </c>
      <c r="G51" s="1">
        <f t="shared" si="3"/>
        <v>-5221.7333333333336</v>
      </c>
    </row>
    <row r="52" spans="2:7" x14ac:dyDescent="0.35">
      <c r="B52" s="2">
        <v>50</v>
      </c>
      <c r="C52" s="2">
        <v>25673</v>
      </c>
      <c r="D52" s="2">
        <v>27197</v>
      </c>
      <c r="F52" s="1">
        <f t="shared" si="2"/>
        <v>-4397.125</v>
      </c>
      <c r="G52" s="1">
        <f t="shared" si="3"/>
        <v>7184.2666666666664</v>
      </c>
    </row>
    <row r="53" spans="2:7" x14ac:dyDescent="0.35">
      <c r="B53" s="2">
        <v>51</v>
      </c>
      <c r="C53" s="2">
        <v>31688</v>
      </c>
      <c r="D53" s="2">
        <v>20330</v>
      </c>
      <c r="F53" s="1">
        <f t="shared" si="2"/>
        <v>1617.875</v>
      </c>
      <c r="G53" s="1">
        <f t="shared" si="3"/>
        <v>317.26666666666642</v>
      </c>
    </row>
    <row r="54" spans="2:7" x14ac:dyDescent="0.35">
      <c r="B54" s="2">
        <v>52</v>
      </c>
      <c r="C54" s="2">
        <v>35130</v>
      </c>
      <c r="D54" s="2">
        <v>19118</v>
      </c>
      <c r="F54" s="1">
        <f t="shared" si="2"/>
        <v>5059.875</v>
      </c>
      <c r="G54" s="1">
        <f t="shared" si="3"/>
        <v>-894.73333333333358</v>
      </c>
    </row>
    <row r="55" spans="2:7" x14ac:dyDescent="0.35">
      <c r="B55" s="2">
        <v>53</v>
      </c>
      <c r="C55" s="2">
        <v>36282</v>
      </c>
      <c r="D55" s="2">
        <v>17198</v>
      </c>
      <c r="F55" s="1">
        <f t="shared" si="2"/>
        <v>6211.875</v>
      </c>
      <c r="G55" s="1">
        <f t="shared" si="3"/>
        <v>-2814.7333333333336</v>
      </c>
    </row>
    <row r="56" spans="2:7" x14ac:dyDescent="0.35">
      <c r="B56" s="2">
        <v>54</v>
      </c>
      <c r="C56" s="2">
        <v>27158</v>
      </c>
      <c r="D56" s="2">
        <v>13970</v>
      </c>
      <c r="F56" s="1">
        <f t="shared" si="2"/>
        <v>-2912.125</v>
      </c>
      <c r="G56" s="1">
        <f t="shared" si="3"/>
        <v>-6042.7333333333336</v>
      </c>
    </row>
    <row r="57" spans="2:7" x14ac:dyDescent="0.35">
      <c r="B57" s="2">
        <v>55</v>
      </c>
      <c r="C57" s="2">
        <v>21272</v>
      </c>
      <c r="D57" s="2">
        <v>19828</v>
      </c>
      <c r="F57" s="1">
        <f t="shared" si="2"/>
        <v>-8798.125</v>
      </c>
      <c r="G57" s="1">
        <f t="shared" si="3"/>
        <v>-184.73333333333358</v>
      </c>
    </row>
    <row r="58" spans="2:7" x14ac:dyDescent="0.35">
      <c r="B58" s="2">
        <v>56</v>
      </c>
      <c r="C58" s="2">
        <v>26118</v>
      </c>
      <c r="D58" s="2">
        <v>19793</v>
      </c>
      <c r="F58" s="1">
        <f t="shared" si="2"/>
        <v>-3952.125</v>
      </c>
      <c r="G58" s="1">
        <f t="shared" si="3"/>
        <v>-219.73333333333358</v>
      </c>
    </row>
    <row r="59" spans="2:7" x14ac:dyDescent="0.35">
      <c r="B59" s="2">
        <v>57</v>
      </c>
      <c r="C59" s="2">
        <v>35736</v>
      </c>
      <c r="D59" s="2">
        <v>23683</v>
      </c>
      <c r="F59" s="1">
        <f t="shared" si="2"/>
        <v>5665.875</v>
      </c>
      <c r="G59" s="1">
        <f t="shared" si="3"/>
        <v>3670.2666666666664</v>
      </c>
    </row>
    <row r="60" spans="2:7" x14ac:dyDescent="0.35">
      <c r="B60" s="2">
        <v>58</v>
      </c>
      <c r="C60" s="2">
        <v>30461</v>
      </c>
      <c r="D60" s="2">
        <v>25147</v>
      </c>
      <c r="F60" s="1">
        <f t="shared" si="2"/>
        <v>390.875</v>
      </c>
      <c r="G60" s="1">
        <f t="shared" si="3"/>
        <v>5134.2666666666664</v>
      </c>
    </row>
    <row r="61" spans="2:7" x14ac:dyDescent="0.35">
      <c r="B61" s="2">
        <v>59</v>
      </c>
      <c r="C61" s="2">
        <v>23900</v>
      </c>
      <c r="D61" s="2">
        <v>17407</v>
      </c>
      <c r="F61" s="1">
        <f t="shared" si="2"/>
        <v>-6170.125</v>
      </c>
      <c r="G61" s="1">
        <f t="shared" si="3"/>
        <v>-2605.7333333333336</v>
      </c>
    </row>
    <row r="62" spans="2:7" x14ac:dyDescent="0.35">
      <c r="B62" s="2">
        <v>60</v>
      </c>
      <c r="C62" s="2">
        <v>19699</v>
      </c>
      <c r="D62" s="2">
        <v>5488</v>
      </c>
      <c r="F62" s="1">
        <f t="shared" si="2"/>
        <v>-10371.125</v>
      </c>
      <c r="G62" s="1">
        <f t="shared" si="3"/>
        <v>-14524.733333333334</v>
      </c>
    </row>
    <row r="63" spans="2:7" x14ac:dyDescent="0.35">
      <c r="B63" s="2">
        <v>61</v>
      </c>
      <c r="C63" s="2">
        <v>30611</v>
      </c>
      <c r="D63" s="2">
        <v>25008</v>
      </c>
      <c r="F63" s="1">
        <f t="shared" si="2"/>
        <v>540.875</v>
      </c>
      <c r="G63" s="1">
        <f t="shared" si="3"/>
        <v>4995.2666666666664</v>
      </c>
    </row>
    <row r="64" spans="2:7" x14ac:dyDescent="0.35">
      <c r="B64" s="2">
        <v>62</v>
      </c>
      <c r="C64" s="2">
        <v>38624</v>
      </c>
      <c r="D64" s="2">
        <v>13910</v>
      </c>
      <c r="F64" s="1">
        <f t="shared" si="2"/>
        <v>8553.875</v>
      </c>
      <c r="G64" s="1">
        <f t="shared" si="3"/>
        <v>-6102.7333333333336</v>
      </c>
    </row>
    <row r="65" spans="2:7" x14ac:dyDescent="0.35">
      <c r="B65" s="2">
        <v>63</v>
      </c>
      <c r="C65" s="2">
        <v>32816</v>
      </c>
      <c r="D65" s="2">
        <v>24735</v>
      </c>
      <c r="F65" s="1">
        <f t="shared" si="2"/>
        <v>2745.875</v>
      </c>
      <c r="G65" s="1">
        <f t="shared" si="3"/>
        <v>4722.2666666666664</v>
      </c>
    </row>
    <row r="66" spans="2:7" x14ac:dyDescent="0.35">
      <c r="B66" s="2">
        <v>64</v>
      </c>
      <c r="C66" s="2">
        <v>25075</v>
      </c>
      <c r="D66" s="2">
        <v>27111</v>
      </c>
      <c r="F66" s="1">
        <f t="shared" si="2"/>
        <v>-4995.125</v>
      </c>
      <c r="G66" s="1">
        <f t="shared" si="3"/>
        <v>7098.2666666666664</v>
      </c>
    </row>
    <row r="67" spans="2:7" x14ac:dyDescent="0.35">
      <c r="B67" s="2">
        <v>65</v>
      </c>
      <c r="C67" s="2">
        <v>34204</v>
      </c>
      <c r="D67" s="2">
        <v>21953</v>
      </c>
      <c r="F67" s="1">
        <f t="shared" ref="F67:F98" si="4">C67-$C$125</f>
        <v>4133.875</v>
      </c>
      <c r="G67" s="1">
        <f t="shared" ref="G67:G98" si="5">D67-$D$125</f>
        <v>1940.2666666666664</v>
      </c>
    </row>
    <row r="68" spans="2:7" x14ac:dyDescent="0.35">
      <c r="B68" s="2">
        <v>66</v>
      </c>
      <c r="C68" s="2">
        <v>29059</v>
      </c>
      <c r="D68" s="2">
        <v>17776</v>
      </c>
      <c r="F68" s="1">
        <f t="shared" si="4"/>
        <v>-1011.125</v>
      </c>
      <c r="G68" s="1">
        <f t="shared" si="5"/>
        <v>-2236.7333333333336</v>
      </c>
    </row>
    <row r="69" spans="2:7" x14ac:dyDescent="0.35">
      <c r="B69" s="2">
        <v>67</v>
      </c>
      <c r="C69" s="2">
        <v>31161</v>
      </c>
      <c r="D69" s="2">
        <v>15841</v>
      </c>
      <c r="F69" s="1">
        <f t="shared" si="4"/>
        <v>1090.875</v>
      </c>
      <c r="G69" s="1">
        <f t="shared" si="5"/>
        <v>-4171.7333333333336</v>
      </c>
    </row>
    <row r="70" spans="2:7" x14ac:dyDescent="0.35">
      <c r="B70" s="2">
        <v>68</v>
      </c>
      <c r="C70" s="2">
        <v>26994</v>
      </c>
      <c r="D70" s="2">
        <v>18821</v>
      </c>
      <c r="F70" s="1">
        <f t="shared" si="4"/>
        <v>-3076.125</v>
      </c>
      <c r="G70" s="1">
        <f t="shared" si="5"/>
        <v>-1191.7333333333336</v>
      </c>
    </row>
    <row r="71" spans="2:7" x14ac:dyDescent="0.35">
      <c r="B71" s="2">
        <v>69</v>
      </c>
      <c r="C71" s="2">
        <v>30576</v>
      </c>
      <c r="D71" s="2">
        <v>11195</v>
      </c>
      <c r="F71" s="1">
        <f t="shared" si="4"/>
        <v>505.875</v>
      </c>
      <c r="G71" s="1">
        <f t="shared" si="5"/>
        <v>-8817.7333333333336</v>
      </c>
    </row>
    <row r="72" spans="2:7" x14ac:dyDescent="0.35">
      <c r="B72" s="2">
        <v>70</v>
      </c>
      <c r="C72" s="2">
        <v>27961</v>
      </c>
      <c r="D72" s="2">
        <v>23604</v>
      </c>
      <c r="F72" s="1">
        <f t="shared" si="4"/>
        <v>-2109.125</v>
      </c>
      <c r="G72" s="1">
        <f t="shared" si="5"/>
        <v>3591.2666666666664</v>
      </c>
    </row>
    <row r="73" spans="2:7" x14ac:dyDescent="0.35">
      <c r="B73" s="2">
        <v>71</v>
      </c>
      <c r="C73" s="2">
        <v>21388</v>
      </c>
      <c r="D73" s="2">
        <v>16180</v>
      </c>
      <c r="F73" s="1">
        <f t="shared" si="4"/>
        <v>-8682.125</v>
      </c>
      <c r="G73" s="1">
        <f t="shared" si="5"/>
        <v>-3832.7333333333336</v>
      </c>
    </row>
    <row r="74" spans="2:7" x14ac:dyDescent="0.35">
      <c r="B74" s="2">
        <v>72</v>
      </c>
      <c r="C74" s="2">
        <v>24180</v>
      </c>
      <c r="D74" s="2">
        <v>19136</v>
      </c>
      <c r="F74" s="1">
        <f t="shared" si="4"/>
        <v>-5890.125</v>
      </c>
      <c r="G74" s="1">
        <f t="shared" si="5"/>
        <v>-876.73333333333358</v>
      </c>
    </row>
    <row r="75" spans="2:7" x14ac:dyDescent="0.35">
      <c r="B75" s="2">
        <v>73</v>
      </c>
      <c r="C75" s="2">
        <v>31336</v>
      </c>
      <c r="D75" s="2">
        <v>16608</v>
      </c>
      <c r="F75" s="1">
        <f t="shared" si="4"/>
        <v>1265.875</v>
      </c>
      <c r="G75" s="1">
        <f t="shared" si="5"/>
        <v>-3404.7333333333336</v>
      </c>
    </row>
    <row r="76" spans="2:7" x14ac:dyDescent="0.35">
      <c r="B76" s="2">
        <v>74</v>
      </c>
      <c r="C76" s="2">
        <v>28753</v>
      </c>
      <c r="D76" s="2">
        <v>13788</v>
      </c>
      <c r="F76" s="1">
        <f t="shared" si="4"/>
        <v>-1317.125</v>
      </c>
      <c r="G76" s="1">
        <f t="shared" si="5"/>
        <v>-6224.7333333333336</v>
      </c>
    </row>
    <row r="77" spans="2:7" x14ac:dyDescent="0.35">
      <c r="B77" s="2">
        <v>75</v>
      </c>
      <c r="C77" s="2">
        <v>33322</v>
      </c>
      <c r="D77" s="2">
        <v>22417</v>
      </c>
      <c r="F77" s="1">
        <f t="shared" si="4"/>
        <v>3251.875</v>
      </c>
      <c r="G77" s="1">
        <f t="shared" si="5"/>
        <v>2404.2666666666664</v>
      </c>
    </row>
    <row r="78" spans="2:7" x14ac:dyDescent="0.35">
      <c r="B78" s="2">
        <v>76</v>
      </c>
      <c r="C78" s="2">
        <v>29253</v>
      </c>
      <c r="D78" s="2">
        <v>5784</v>
      </c>
      <c r="F78" s="1">
        <f t="shared" si="4"/>
        <v>-817.125</v>
      </c>
      <c r="G78" s="1">
        <f t="shared" si="5"/>
        <v>-14228.733333333334</v>
      </c>
    </row>
    <row r="79" spans="2:7" x14ac:dyDescent="0.35">
      <c r="B79" s="2">
        <v>77</v>
      </c>
      <c r="C79" s="2">
        <v>38916</v>
      </c>
      <c r="D79" s="2">
        <v>16823</v>
      </c>
      <c r="F79" s="1">
        <f t="shared" si="4"/>
        <v>8845.875</v>
      </c>
      <c r="G79" s="1">
        <f t="shared" si="5"/>
        <v>-3189.7333333333336</v>
      </c>
    </row>
    <row r="80" spans="2:7" x14ac:dyDescent="0.35">
      <c r="B80" s="2">
        <v>78</v>
      </c>
      <c r="C80" s="2">
        <v>28580</v>
      </c>
      <c r="D80" s="2">
        <v>10391</v>
      </c>
      <c r="F80" s="1">
        <f t="shared" si="4"/>
        <v>-1490.125</v>
      </c>
      <c r="G80" s="1">
        <f t="shared" si="5"/>
        <v>-9621.7333333333336</v>
      </c>
    </row>
    <row r="81" spans="2:7" x14ac:dyDescent="0.35">
      <c r="B81" s="2">
        <v>79</v>
      </c>
      <c r="C81" s="2">
        <v>31230</v>
      </c>
      <c r="D81" s="2">
        <v>8146</v>
      </c>
      <c r="F81" s="1">
        <f t="shared" si="4"/>
        <v>1159.875</v>
      </c>
      <c r="G81" s="1">
        <f t="shared" si="5"/>
        <v>-11866.733333333334</v>
      </c>
    </row>
    <row r="82" spans="2:7" x14ac:dyDescent="0.35">
      <c r="B82" s="2">
        <v>80</v>
      </c>
      <c r="C82" s="2">
        <v>35708</v>
      </c>
      <c r="D82" s="2">
        <v>20367</v>
      </c>
      <c r="F82" s="1">
        <f t="shared" si="4"/>
        <v>5637.875</v>
      </c>
      <c r="G82" s="1">
        <f t="shared" si="5"/>
        <v>354.26666666666642</v>
      </c>
    </row>
    <row r="83" spans="2:7" x14ac:dyDescent="0.35">
      <c r="B83" s="2">
        <v>81</v>
      </c>
      <c r="C83" s="2">
        <v>29595</v>
      </c>
      <c r="D83" s="2">
        <v>17329</v>
      </c>
      <c r="F83" s="1">
        <f t="shared" si="4"/>
        <v>-475.125</v>
      </c>
      <c r="G83" s="1">
        <f t="shared" si="5"/>
        <v>-2683.7333333333336</v>
      </c>
    </row>
    <row r="84" spans="2:7" x14ac:dyDescent="0.35">
      <c r="B84" s="2">
        <v>82</v>
      </c>
      <c r="C84" s="2">
        <v>28168</v>
      </c>
      <c r="D84" s="2">
        <v>16364</v>
      </c>
      <c r="F84" s="1">
        <f t="shared" si="4"/>
        <v>-1902.125</v>
      </c>
      <c r="G84" s="1">
        <f t="shared" si="5"/>
        <v>-3648.7333333333336</v>
      </c>
    </row>
    <row r="85" spans="2:7" x14ac:dyDescent="0.35">
      <c r="B85" s="2">
        <v>83</v>
      </c>
      <c r="C85" s="2">
        <v>33022</v>
      </c>
      <c r="D85" s="2">
        <v>18482</v>
      </c>
      <c r="F85" s="1">
        <f t="shared" si="4"/>
        <v>2951.875</v>
      </c>
      <c r="G85" s="1">
        <f t="shared" si="5"/>
        <v>-1530.7333333333336</v>
      </c>
    </row>
    <row r="86" spans="2:7" x14ac:dyDescent="0.35">
      <c r="B86" s="2">
        <v>84</v>
      </c>
      <c r="C86" s="2">
        <v>25804</v>
      </c>
      <c r="D86" s="2">
        <v>26912</v>
      </c>
      <c r="F86" s="1">
        <f t="shared" si="4"/>
        <v>-4266.125</v>
      </c>
      <c r="G86" s="1">
        <f t="shared" si="5"/>
        <v>6899.2666666666664</v>
      </c>
    </row>
    <row r="87" spans="2:7" x14ac:dyDescent="0.35">
      <c r="B87" s="2">
        <v>85</v>
      </c>
      <c r="C87" s="2">
        <v>29034</v>
      </c>
      <c r="D87" s="2">
        <v>27138</v>
      </c>
      <c r="F87" s="1">
        <f t="shared" si="4"/>
        <v>-1036.125</v>
      </c>
      <c r="G87" s="1">
        <f t="shared" si="5"/>
        <v>7125.2666666666664</v>
      </c>
    </row>
    <row r="88" spans="2:7" x14ac:dyDescent="0.35">
      <c r="B88" s="2">
        <v>86</v>
      </c>
      <c r="C88" s="2">
        <v>27683</v>
      </c>
      <c r="D88" s="2">
        <v>20803</v>
      </c>
      <c r="F88" s="1">
        <f t="shared" si="4"/>
        <v>-2387.125</v>
      </c>
      <c r="G88" s="1">
        <f t="shared" si="5"/>
        <v>790.26666666666642</v>
      </c>
    </row>
    <row r="89" spans="2:7" x14ac:dyDescent="0.35">
      <c r="B89" s="2">
        <v>87</v>
      </c>
      <c r="C89" s="2">
        <v>32796</v>
      </c>
      <c r="D89" s="2">
        <v>21571</v>
      </c>
      <c r="F89" s="1">
        <f t="shared" si="4"/>
        <v>2725.875</v>
      </c>
      <c r="G89" s="1">
        <f t="shared" si="5"/>
        <v>1558.2666666666664</v>
      </c>
    </row>
    <row r="90" spans="2:7" x14ac:dyDescent="0.35">
      <c r="B90" s="2">
        <v>88</v>
      </c>
      <c r="C90" s="2">
        <v>30395</v>
      </c>
      <c r="D90" s="2">
        <v>22540</v>
      </c>
      <c r="F90" s="1">
        <f t="shared" si="4"/>
        <v>324.875</v>
      </c>
      <c r="G90" s="1">
        <f t="shared" si="5"/>
        <v>2527.2666666666664</v>
      </c>
    </row>
    <row r="91" spans="2:7" x14ac:dyDescent="0.35">
      <c r="B91" s="2">
        <v>89</v>
      </c>
      <c r="C91" s="2">
        <v>30092</v>
      </c>
      <c r="D91" s="2">
        <v>23200</v>
      </c>
      <c r="F91" s="1">
        <f t="shared" si="4"/>
        <v>21.875</v>
      </c>
      <c r="G91" s="1">
        <f t="shared" si="5"/>
        <v>3187.2666666666664</v>
      </c>
    </row>
    <row r="92" spans="2:7" x14ac:dyDescent="0.35">
      <c r="B92" s="2">
        <v>90</v>
      </c>
      <c r="C92" s="2">
        <v>27601</v>
      </c>
      <c r="D92" s="2">
        <v>20817</v>
      </c>
      <c r="F92" s="1">
        <f t="shared" si="4"/>
        <v>-2469.125</v>
      </c>
      <c r="G92" s="1">
        <f t="shared" si="5"/>
        <v>804.26666666666642</v>
      </c>
    </row>
    <row r="93" spans="2:7" x14ac:dyDescent="0.35">
      <c r="B93" s="2">
        <v>91</v>
      </c>
      <c r="C93" s="2">
        <v>33597</v>
      </c>
      <c r="D93" s="2">
        <v>35006</v>
      </c>
      <c r="F93" s="1">
        <f t="shared" si="4"/>
        <v>3526.875</v>
      </c>
      <c r="G93" s="1">
        <f t="shared" si="5"/>
        <v>14993.266666666666</v>
      </c>
    </row>
    <row r="94" spans="2:7" x14ac:dyDescent="0.35">
      <c r="B94" s="2">
        <v>92</v>
      </c>
      <c r="C94" s="2">
        <v>35644</v>
      </c>
      <c r="D94" s="2">
        <v>21717</v>
      </c>
      <c r="F94" s="1">
        <f t="shared" si="4"/>
        <v>5573.875</v>
      </c>
      <c r="G94" s="1">
        <f t="shared" si="5"/>
        <v>1704.2666666666664</v>
      </c>
    </row>
    <row r="95" spans="2:7" x14ac:dyDescent="0.35">
      <c r="B95" s="2">
        <v>93</v>
      </c>
      <c r="C95" s="2">
        <v>38867</v>
      </c>
      <c r="D95" s="2">
        <v>18751</v>
      </c>
      <c r="F95" s="1">
        <f t="shared" si="4"/>
        <v>8796.875</v>
      </c>
      <c r="G95" s="1">
        <f t="shared" si="5"/>
        <v>-1261.7333333333336</v>
      </c>
    </row>
    <row r="96" spans="2:7" x14ac:dyDescent="0.35">
      <c r="B96" s="2">
        <v>94</v>
      </c>
      <c r="C96" s="2">
        <v>23308</v>
      </c>
      <c r="D96" s="2">
        <v>21568</v>
      </c>
      <c r="F96" s="1">
        <f t="shared" si="4"/>
        <v>-6762.125</v>
      </c>
      <c r="G96" s="1">
        <f t="shared" si="5"/>
        <v>1555.2666666666664</v>
      </c>
    </row>
    <row r="97" spans="2:7" x14ac:dyDescent="0.35">
      <c r="B97" s="2">
        <v>95</v>
      </c>
      <c r="C97" s="2">
        <v>29411</v>
      </c>
      <c r="D97" s="2">
        <v>31388</v>
      </c>
      <c r="F97" s="1">
        <f t="shared" si="4"/>
        <v>-659.125</v>
      </c>
      <c r="G97" s="1">
        <f t="shared" si="5"/>
        <v>11375.266666666666</v>
      </c>
    </row>
    <row r="98" spans="2:7" x14ac:dyDescent="0.35">
      <c r="B98" s="2">
        <v>96</v>
      </c>
      <c r="C98" s="2">
        <v>35144</v>
      </c>
      <c r="D98" s="2">
        <v>26462</v>
      </c>
      <c r="F98" s="1">
        <f t="shared" si="4"/>
        <v>5073.875</v>
      </c>
      <c r="G98" s="1">
        <f t="shared" si="5"/>
        <v>6449.2666666666664</v>
      </c>
    </row>
    <row r="99" spans="2:7" x14ac:dyDescent="0.35">
      <c r="B99" s="2">
        <v>97</v>
      </c>
      <c r="C99" s="2">
        <v>28910</v>
      </c>
      <c r="D99" s="2">
        <v>19641</v>
      </c>
      <c r="F99" s="1">
        <f t="shared" ref="F99:F122" si="6">C99-$C$125</f>
        <v>-1160.125</v>
      </c>
      <c r="G99" s="1">
        <f t="shared" ref="G99:G122" si="7">D99-$D$125</f>
        <v>-371.73333333333358</v>
      </c>
    </row>
    <row r="100" spans="2:7" x14ac:dyDescent="0.35">
      <c r="B100" s="2">
        <v>98</v>
      </c>
      <c r="C100" s="2">
        <v>29065</v>
      </c>
      <c r="D100" s="2">
        <v>19626</v>
      </c>
      <c r="F100" s="1">
        <f t="shared" si="6"/>
        <v>-1005.125</v>
      </c>
      <c r="G100" s="1">
        <f t="shared" si="7"/>
        <v>-386.73333333333358</v>
      </c>
    </row>
    <row r="101" spans="2:7" x14ac:dyDescent="0.35">
      <c r="B101" s="2">
        <v>99</v>
      </c>
      <c r="C101" s="2">
        <v>38329</v>
      </c>
      <c r="D101" s="2">
        <v>18114</v>
      </c>
      <c r="F101" s="1">
        <f t="shared" si="6"/>
        <v>8258.875</v>
      </c>
      <c r="G101" s="1">
        <f t="shared" si="7"/>
        <v>-1898.7333333333336</v>
      </c>
    </row>
    <row r="102" spans="2:7" x14ac:dyDescent="0.35">
      <c r="B102" s="2">
        <v>100</v>
      </c>
      <c r="C102" s="2">
        <v>38011</v>
      </c>
      <c r="D102" s="2">
        <v>18942</v>
      </c>
      <c r="F102" s="1">
        <f t="shared" si="6"/>
        <v>7940.875</v>
      </c>
      <c r="G102" s="1">
        <f t="shared" si="7"/>
        <v>-1070.7333333333336</v>
      </c>
    </row>
    <row r="103" spans="2:7" x14ac:dyDescent="0.35">
      <c r="B103" s="2">
        <v>101</v>
      </c>
      <c r="C103" s="2">
        <v>32925</v>
      </c>
      <c r="D103" s="2">
        <v>13045</v>
      </c>
      <c r="F103" s="1">
        <f t="shared" si="6"/>
        <v>2854.875</v>
      </c>
      <c r="G103" s="1">
        <f t="shared" si="7"/>
        <v>-6967.7333333333336</v>
      </c>
    </row>
    <row r="104" spans="2:7" x14ac:dyDescent="0.35">
      <c r="B104" s="2">
        <v>102</v>
      </c>
      <c r="C104" s="2">
        <v>33324</v>
      </c>
      <c r="D104" s="2">
        <v>18634</v>
      </c>
      <c r="F104" s="1">
        <f t="shared" si="6"/>
        <v>3253.875</v>
      </c>
      <c r="G104" s="1">
        <f t="shared" si="7"/>
        <v>-1378.7333333333336</v>
      </c>
    </row>
    <row r="105" spans="2:7" x14ac:dyDescent="0.35">
      <c r="B105" s="2">
        <v>103</v>
      </c>
      <c r="C105" s="2">
        <v>18128</v>
      </c>
      <c r="D105" s="2">
        <v>21040</v>
      </c>
      <c r="F105" s="1">
        <f t="shared" si="6"/>
        <v>-11942.125</v>
      </c>
      <c r="G105" s="1">
        <f t="shared" si="7"/>
        <v>1027.2666666666664</v>
      </c>
    </row>
    <row r="106" spans="2:7" x14ac:dyDescent="0.35">
      <c r="B106" s="2">
        <v>104</v>
      </c>
      <c r="C106" s="2">
        <v>27838</v>
      </c>
      <c r="D106" s="2">
        <v>18594</v>
      </c>
      <c r="F106" s="1">
        <f t="shared" si="6"/>
        <v>-2232.125</v>
      </c>
      <c r="G106" s="1">
        <f t="shared" si="7"/>
        <v>-1418.7333333333336</v>
      </c>
    </row>
    <row r="107" spans="2:7" x14ac:dyDescent="0.35">
      <c r="B107" s="2">
        <v>105</v>
      </c>
      <c r="C107" s="2">
        <v>26879</v>
      </c>
      <c r="D107" s="2">
        <v>17853</v>
      </c>
      <c r="F107" s="1">
        <f t="shared" si="6"/>
        <v>-3191.125</v>
      </c>
      <c r="G107" s="1">
        <f t="shared" si="7"/>
        <v>-2159.7333333333336</v>
      </c>
    </row>
    <row r="108" spans="2:7" x14ac:dyDescent="0.35">
      <c r="B108" s="2">
        <v>106</v>
      </c>
      <c r="C108" s="2">
        <v>33988</v>
      </c>
      <c r="D108" s="2">
        <v>21527</v>
      </c>
      <c r="F108" s="1">
        <f t="shared" si="6"/>
        <v>3917.875</v>
      </c>
      <c r="G108" s="1">
        <f t="shared" si="7"/>
        <v>1514.2666666666664</v>
      </c>
    </row>
    <row r="109" spans="2:7" x14ac:dyDescent="0.35">
      <c r="B109" s="2">
        <v>107</v>
      </c>
      <c r="C109" s="2">
        <v>27469</v>
      </c>
      <c r="D109" s="2">
        <v>16859</v>
      </c>
      <c r="F109" s="1">
        <f t="shared" si="6"/>
        <v>-2601.125</v>
      </c>
      <c r="G109" s="1">
        <f t="shared" si="7"/>
        <v>-3153.7333333333336</v>
      </c>
    </row>
    <row r="110" spans="2:7" x14ac:dyDescent="0.35">
      <c r="B110" s="2">
        <v>108</v>
      </c>
      <c r="C110" s="2">
        <v>26195</v>
      </c>
      <c r="D110" s="2">
        <v>23714</v>
      </c>
      <c r="F110" s="1">
        <f t="shared" si="6"/>
        <v>-3875.125</v>
      </c>
      <c r="G110" s="1">
        <f t="shared" si="7"/>
        <v>3701.2666666666664</v>
      </c>
    </row>
    <row r="111" spans="2:7" x14ac:dyDescent="0.35">
      <c r="B111" s="2">
        <v>109</v>
      </c>
      <c r="C111" s="2">
        <v>25427</v>
      </c>
      <c r="D111" s="2">
        <v>20256</v>
      </c>
      <c r="F111" s="1">
        <f t="shared" si="6"/>
        <v>-4643.125</v>
      </c>
      <c r="G111" s="1">
        <f t="shared" si="7"/>
        <v>243.26666666666642</v>
      </c>
    </row>
    <row r="112" spans="2:7" x14ac:dyDescent="0.35">
      <c r="B112" s="2">
        <v>110</v>
      </c>
      <c r="C112" s="2">
        <v>32354</v>
      </c>
      <c r="D112" s="2">
        <v>18787</v>
      </c>
      <c r="F112" s="1">
        <f t="shared" si="6"/>
        <v>2283.875</v>
      </c>
      <c r="G112" s="1">
        <f t="shared" si="7"/>
        <v>-1225.7333333333336</v>
      </c>
    </row>
    <row r="113" spans="2:7" x14ac:dyDescent="0.35">
      <c r="B113" s="2">
        <v>111</v>
      </c>
      <c r="C113" s="2">
        <v>33480</v>
      </c>
      <c r="D113" s="2">
        <v>24697</v>
      </c>
      <c r="F113" s="1">
        <f t="shared" si="6"/>
        <v>3409.875</v>
      </c>
      <c r="G113" s="1">
        <f t="shared" si="7"/>
        <v>4684.2666666666664</v>
      </c>
    </row>
    <row r="114" spans="2:7" x14ac:dyDescent="0.35">
      <c r="B114" s="2">
        <v>112</v>
      </c>
      <c r="C114" s="2">
        <v>39417</v>
      </c>
      <c r="D114" s="2">
        <v>31493</v>
      </c>
      <c r="F114" s="1">
        <f t="shared" si="6"/>
        <v>9346.875</v>
      </c>
      <c r="G114" s="1">
        <f t="shared" si="7"/>
        <v>11480.266666666666</v>
      </c>
    </row>
    <row r="115" spans="2:7" x14ac:dyDescent="0.35">
      <c r="B115" s="2">
        <v>113</v>
      </c>
      <c r="C115" s="2">
        <v>29708</v>
      </c>
      <c r="D115" s="2">
        <v>25758</v>
      </c>
      <c r="F115" s="1">
        <f t="shared" si="6"/>
        <v>-362.125</v>
      </c>
      <c r="G115" s="1">
        <f t="shared" si="7"/>
        <v>5745.2666666666664</v>
      </c>
    </row>
    <row r="116" spans="2:7" x14ac:dyDescent="0.35">
      <c r="B116" s="2">
        <v>114</v>
      </c>
      <c r="C116" s="2">
        <v>33376</v>
      </c>
      <c r="D116" s="2">
        <v>22922</v>
      </c>
      <c r="F116" s="1">
        <f t="shared" si="6"/>
        <v>3305.875</v>
      </c>
      <c r="G116" s="1">
        <f t="shared" si="7"/>
        <v>2909.2666666666664</v>
      </c>
    </row>
    <row r="117" spans="2:7" x14ac:dyDescent="0.35">
      <c r="B117" s="2">
        <v>115</v>
      </c>
      <c r="C117" s="2">
        <v>32245</v>
      </c>
      <c r="D117" s="2">
        <v>24282</v>
      </c>
      <c r="F117" s="1">
        <f t="shared" si="6"/>
        <v>2174.875</v>
      </c>
      <c r="G117" s="1">
        <f t="shared" si="7"/>
        <v>4269.2666666666664</v>
      </c>
    </row>
    <row r="118" spans="2:7" x14ac:dyDescent="0.35">
      <c r="B118" s="2">
        <v>116</v>
      </c>
      <c r="C118" s="2">
        <v>24812</v>
      </c>
      <c r="D118" s="2">
        <v>16651</v>
      </c>
      <c r="F118" s="1">
        <f t="shared" si="6"/>
        <v>-5258.125</v>
      </c>
      <c r="G118" s="1">
        <f t="shared" si="7"/>
        <v>-3361.7333333333336</v>
      </c>
    </row>
    <row r="119" spans="2:7" x14ac:dyDescent="0.35">
      <c r="B119" s="2">
        <v>117</v>
      </c>
      <c r="C119" s="2">
        <v>32867</v>
      </c>
      <c r="D119" s="2">
        <v>23993</v>
      </c>
      <c r="F119" s="1">
        <f t="shared" si="6"/>
        <v>2796.875</v>
      </c>
      <c r="G119" s="1">
        <f t="shared" si="7"/>
        <v>3980.2666666666664</v>
      </c>
    </row>
    <row r="120" spans="2:7" x14ac:dyDescent="0.35">
      <c r="B120" s="2">
        <v>118</v>
      </c>
      <c r="C120" s="2">
        <v>33106</v>
      </c>
      <c r="D120" s="2">
        <v>16844</v>
      </c>
      <c r="F120" s="1">
        <f t="shared" si="6"/>
        <v>3035.875</v>
      </c>
      <c r="G120" s="1">
        <f t="shared" si="7"/>
        <v>-3168.7333333333336</v>
      </c>
    </row>
    <row r="121" spans="2:7" x14ac:dyDescent="0.35">
      <c r="B121" s="2">
        <v>119</v>
      </c>
      <c r="C121" s="2">
        <v>32468</v>
      </c>
      <c r="D121" s="2">
        <v>21207</v>
      </c>
      <c r="F121" s="1">
        <f t="shared" si="6"/>
        <v>2397.875</v>
      </c>
      <c r="G121" s="1">
        <f t="shared" si="7"/>
        <v>1194.2666666666664</v>
      </c>
    </row>
    <row r="122" spans="2:7" ht="15" thickBot="1" x14ac:dyDescent="0.4">
      <c r="B122" s="4">
        <v>120</v>
      </c>
      <c r="C122" s="4">
        <v>38775</v>
      </c>
      <c r="D122" s="4">
        <v>20610</v>
      </c>
      <c r="F122" s="1">
        <f t="shared" si="6"/>
        <v>8704.875</v>
      </c>
      <c r="G122" s="1">
        <f t="shared" si="7"/>
        <v>597.26666666666642</v>
      </c>
    </row>
    <row r="125" spans="2:7" x14ac:dyDescent="0.35">
      <c r="B125" s="2" t="s">
        <v>74</v>
      </c>
      <c r="C125" s="60">
        <f>AVERAGE(C3:C122)</f>
        <v>30070.125</v>
      </c>
      <c r="D125" s="60">
        <f>AVERAGE(D3:D122)</f>
        <v>20012.733333333334</v>
      </c>
    </row>
    <row r="126" spans="2:7" x14ac:dyDescent="0.35">
      <c r="B126" s="2" t="s">
        <v>73</v>
      </c>
      <c r="C126" s="60">
        <f>_xlfn.STDEV.S(C3:C122)</f>
        <v>5095.2954434961475</v>
      </c>
      <c r="D126" s="60">
        <f>_xlfn.STDEV.S(D3:D122)</f>
        <v>4976.9923331861628</v>
      </c>
      <c r="F126" s="49" t="s">
        <v>17</v>
      </c>
      <c r="G126" s="59">
        <f>_xlfn.STDEV.S(F3:G122)</f>
        <v>5025.9436186357789</v>
      </c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6F13-D046-43ED-B4EF-4524F38DF8E4}">
  <dimension ref="B1:M8"/>
  <sheetViews>
    <sheetView workbookViewId="0">
      <selection activeCell="E18" sqref="E18"/>
    </sheetView>
  </sheetViews>
  <sheetFormatPr defaultRowHeight="14.5" x14ac:dyDescent="0.35"/>
  <cols>
    <col min="1" max="1" width="3.1796875" customWidth="1"/>
    <col min="2" max="2" width="14.08984375" customWidth="1"/>
    <col min="3" max="13" width="10.81640625" customWidth="1"/>
  </cols>
  <sheetData>
    <row r="1" spans="2:13" ht="15" thickBot="1" x14ac:dyDescent="0.4">
      <c r="B1" s="7"/>
      <c r="C1" s="12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ht="15" thickBot="1" x14ac:dyDescent="0.4">
      <c r="B2" s="9" t="s">
        <v>0</v>
      </c>
      <c r="C2" s="18">
        <v>4</v>
      </c>
      <c r="D2" s="19">
        <v>4.0999999999999996</v>
      </c>
      <c r="E2" s="18">
        <v>4.2</v>
      </c>
      <c r="F2" s="19">
        <v>4.3</v>
      </c>
      <c r="G2" s="18">
        <v>4.4000000000000004</v>
      </c>
      <c r="H2" s="19">
        <v>4.5</v>
      </c>
      <c r="I2" s="18">
        <v>4.5999999999999996</v>
      </c>
      <c r="J2" s="19">
        <v>4.7</v>
      </c>
      <c r="K2" s="18">
        <v>4.8</v>
      </c>
      <c r="L2" s="19">
        <v>4.9000000000000004</v>
      </c>
      <c r="M2" s="18">
        <v>5</v>
      </c>
    </row>
    <row r="3" spans="2:13" x14ac:dyDescent="0.35">
      <c r="B3" s="3">
        <v>1</v>
      </c>
      <c r="C3" s="2">
        <v>20914</v>
      </c>
      <c r="D3" s="2">
        <v>27877</v>
      </c>
      <c r="E3" s="2">
        <v>21264</v>
      </c>
      <c r="F3" s="2">
        <v>15498</v>
      </c>
      <c r="G3" s="2">
        <v>19788</v>
      </c>
      <c r="H3" s="2">
        <v>11486</v>
      </c>
      <c r="I3" s="2">
        <v>9054</v>
      </c>
      <c r="J3" s="2">
        <v>13362</v>
      </c>
      <c r="K3" s="2">
        <v>9783</v>
      </c>
      <c r="L3" s="2">
        <v>3388</v>
      </c>
      <c r="M3" s="2">
        <v>4209</v>
      </c>
    </row>
    <row r="4" spans="2:13" x14ac:dyDescent="0.35">
      <c r="B4" s="3">
        <v>2</v>
      </c>
      <c r="C4" s="2">
        <v>23810</v>
      </c>
      <c r="D4" s="2">
        <v>18739</v>
      </c>
      <c r="E4" s="2">
        <v>20873</v>
      </c>
      <c r="F4" s="2">
        <v>20886</v>
      </c>
      <c r="G4" s="2">
        <v>19853</v>
      </c>
      <c r="H4" s="2">
        <v>16168</v>
      </c>
      <c r="I4" s="2">
        <v>11534</v>
      </c>
      <c r="J4" s="2">
        <v>15997</v>
      </c>
      <c r="K4" s="2">
        <v>5926</v>
      </c>
      <c r="L4" s="2">
        <v>2075</v>
      </c>
      <c r="M4" s="2">
        <v>1172</v>
      </c>
    </row>
    <row r="5" spans="2:13" x14ac:dyDescent="0.35">
      <c r="B5" s="3">
        <v>3</v>
      </c>
      <c r="C5" s="2">
        <v>27765</v>
      </c>
      <c r="D5" s="2">
        <v>21667</v>
      </c>
      <c r="E5" s="2">
        <v>22975</v>
      </c>
      <c r="F5" s="2">
        <v>21625</v>
      </c>
      <c r="G5" s="2">
        <v>14108</v>
      </c>
      <c r="H5" s="2">
        <v>13423</v>
      </c>
      <c r="I5" s="2">
        <v>17143</v>
      </c>
      <c r="J5" s="2">
        <v>6245</v>
      </c>
      <c r="K5" s="2">
        <v>7194</v>
      </c>
      <c r="L5" s="2">
        <v>8902</v>
      </c>
      <c r="M5" s="2">
        <v>8404</v>
      </c>
    </row>
    <row r="6" spans="2:13" x14ac:dyDescent="0.35">
      <c r="B6" s="3">
        <v>4</v>
      </c>
      <c r="C6" s="2">
        <v>24641</v>
      </c>
      <c r="D6" s="2">
        <v>21323</v>
      </c>
      <c r="E6" s="2">
        <v>23991</v>
      </c>
      <c r="F6" s="2">
        <v>23146</v>
      </c>
      <c r="G6" s="2">
        <v>16448</v>
      </c>
      <c r="H6" s="2">
        <v>13222</v>
      </c>
      <c r="I6" s="2">
        <v>13319</v>
      </c>
      <c r="J6" s="2">
        <v>12096</v>
      </c>
      <c r="K6" s="2">
        <v>13274</v>
      </c>
      <c r="L6" s="2">
        <v>6698</v>
      </c>
      <c r="M6" s="2">
        <v>3489</v>
      </c>
    </row>
    <row r="7" spans="2:13" x14ac:dyDescent="0.35">
      <c r="B7" s="3">
        <v>5</v>
      </c>
      <c r="C7" s="2">
        <v>24038</v>
      </c>
      <c r="D7" s="2">
        <v>18130</v>
      </c>
      <c r="E7" s="2">
        <v>22059</v>
      </c>
      <c r="F7" s="2">
        <v>19979</v>
      </c>
      <c r="G7" s="2">
        <v>15494</v>
      </c>
      <c r="H7" s="2">
        <v>11629</v>
      </c>
      <c r="I7" s="2">
        <v>8900</v>
      </c>
      <c r="J7" s="2">
        <v>14968</v>
      </c>
      <c r="K7" s="2">
        <v>10792</v>
      </c>
      <c r="L7" s="2">
        <v>7542</v>
      </c>
      <c r="M7" s="2">
        <v>6172</v>
      </c>
    </row>
    <row r="8" spans="2:13" ht="15" thickBot="1" x14ac:dyDescent="0.4">
      <c r="B8" s="5">
        <v>6</v>
      </c>
      <c r="C8" s="4">
        <v>22451</v>
      </c>
      <c r="D8" s="4">
        <v>25089</v>
      </c>
      <c r="E8" s="4">
        <v>22997</v>
      </c>
      <c r="F8" s="4">
        <v>21035</v>
      </c>
      <c r="G8" s="4">
        <v>13340</v>
      </c>
      <c r="H8" s="4">
        <v>14038</v>
      </c>
      <c r="I8" s="4">
        <v>9587</v>
      </c>
      <c r="J8" s="4">
        <v>12117</v>
      </c>
      <c r="K8" s="4">
        <v>5528</v>
      </c>
      <c r="L8" s="4">
        <v>8987</v>
      </c>
      <c r="M8" s="4">
        <v>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4"/>
  <sheetViews>
    <sheetView showGridLines="0" topLeftCell="A26" zoomScale="106" zoomScaleNormal="130" workbookViewId="0">
      <selection activeCell="E35" sqref="E35"/>
    </sheetView>
  </sheetViews>
  <sheetFormatPr defaultRowHeight="14.5" x14ac:dyDescent="0.35"/>
  <cols>
    <col min="1" max="1" width="4.81640625" customWidth="1"/>
    <col min="2" max="2" width="22.453125" customWidth="1"/>
    <col min="3" max="3" width="12.54296875" customWidth="1"/>
    <col min="4" max="4" width="13.81640625" customWidth="1"/>
    <col min="5" max="5" width="34.453125" customWidth="1"/>
  </cols>
  <sheetData>
    <row r="1" spans="2:5" x14ac:dyDescent="0.35">
      <c r="B1" s="27"/>
      <c r="C1" s="16"/>
      <c r="D1" s="16"/>
      <c r="E1" s="16"/>
    </row>
    <row r="2" spans="2:5" x14ac:dyDescent="0.35">
      <c r="B2" s="27" t="s">
        <v>10</v>
      </c>
      <c r="C2" s="27" t="s">
        <v>5</v>
      </c>
      <c r="D2" s="27" t="s">
        <v>4</v>
      </c>
      <c r="E2" s="27" t="s">
        <v>29</v>
      </c>
    </row>
    <row r="3" spans="2:5" x14ac:dyDescent="0.35">
      <c r="B3" s="28" t="s">
        <v>11</v>
      </c>
      <c r="C3" s="29" t="s">
        <v>3</v>
      </c>
      <c r="D3" s="30">
        <v>2</v>
      </c>
      <c r="E3" s="65" t="s">
        <v>28</v>
      </c>
    </row>
    <row r="4" spans="2:5" x14ac:dyDescent="0.35">
      <c r="B4" s="28" t="s">
        <v>2</v>
      </c>
      <c r="C4" s="29" t="s">
        <v>1</v>
      </c>
      <c r="D4" s="30">
        <v>1.6</v>
      </c>
      <c r="E4" s="66"/>
    </row>
    <row r="5" spans="2:5" x14ac:dyDescent="0.35">
      <c r="B5" s="16"/>
      <c r="C5" s="16"/>
      <c r="D5" s="23"/>
      <c r="E5" s="16"/>
    </row>
    <row r="6" spans="2:5" x14ac:dyDescent="0.35">
      <c r="B6" s="28" t="s">
        <v>12</v>
      </c>
      <c r="C6" s="29" t="s">
        <v>13</v>
      </c>
      <c r="D6" s="31">
        <f>'Demand A'!a</f>
        <v>70299.691666666666</v>
      </c>
      <c r="E6" s="67" t="s">
        <v>30</v>
      </c>
    </row>
    <row r="7" spans="2:5" x14ac:dyDescent="0.35">
      <c r="B7" s="28" t="s">
        <v>14</v>
      </c>
      <c r="C7" s="29" t="s">
        <v>15</v>
      </c>
      <c r="D7" s="31">
        <f>'Demand A'!b</f>
        <v>10057.391666666666</v>
      </c>
      <c r="E7" s="68"/>
    </row>
    <row r="8" spans="2:5" x14ac:dyDescent="0.35">
      <c r="B8" s="28" t="s">
        <v>16</v>
      </c>
      <c r="C8" s="29" t="s">
        <v>17</v>
      </c>
      <c r="D8" s="31">
        <f>'Demand A'!sigma</f>
        <v>5025.9436186357789</v>
      </c>
      <c r="E8" s="69"/>
    </row>
    <row r="9" spans="2:5" x14ac:dyDescent="0.35">
      <c r="B9" s="16"/>
      <c r="C9" s="6"/>
      <c r="D9" s="23"/>
      <c r="E9" s="16"/>
    </row>
    <row r="10" spans="2:5" ht="29" x14ac:dyDescent="0.35">
      <c r="B10" s="39" t="s">
        <v>6</v>
      </c>
      <c r="C10" s="40" t="s">
        <v>18</v>
      </c>
      <c r="D10" s="41">
        <v>4.4404611340035736</v>
      </c>
      <c r="E10" s="42" t="s">
        <v>31</v>
      </c>
    </row>
    <row r="11" spans="2:5" x14ac:dyDescent="0.35">
      <c r="B11" s="28" t="s">
        <v>7</v>
      </c>
      <c r="C11" s="34" t="s">
        <v>19</v>
      </c>
      <c r="D11" s="32">
        <f>p-c_+g</f>
        <v>4.0404611340035732</v>
      </c>
      <c r="E11" s="35"/>
    </row>
    <row r="12" spans="2:5" x14ac:dyDescent="0.35">
      <c r="B12" s="28" t="s">
        <v>8</v>
      </c>
      <c r="C12" s="34" t="s">
        <v>20</v>
      </c>
      <c r="D12" s="36">
        <f>c_</f>
        <v>2</v>
      </c>
      <c r="E12" s="35"/>
    </row>
    <row r="13" spans="2:5" x14ac:dyDescent="0.35">
      <c r="B13" s="28" t="s">
        <v>9</v>
      </c>
      <c r="C13" s="37" t="s">
        <v>21</v>
      </c>
      <c r="D13" s="32">
        <f>Cu/(Cu+Co)</f>
        <v>0.66889945061621237</v>
      </c>
      <c r="E13" s="35"/>
    </row>
    <row r="14" spans="2:5" x14ac:dyDescent="0.35">
      <c r="B14" s="16"/>
      <c r="C14" s="25"/>
      <c r="D14" s="24"/>
      <c r="E14" s="38"/>
    </row>
    <row r="15" spans="2:5" x14ac:dyDescent="0.35">
      <c r="B15" s="33" t="s">
        <v>22</v>
      </c>
      <c r="C15" s="37" t="s">
        <v>23</v>
      </c>
      <c r="D15" s="31">
        <f>a-b*p</f>
        <v>25640.234861381912</v>
      </c>
      <c r="E15" s="35" t="s">
        <v>24</v>
      </c>
    </row>
    <row r="16" spans="2:5" x14ac:dyDescent="0.35">
      <c r="B16" s="33" t="s">
        <v>25</v>
      </c>
      <c r="C16" s="37" t="s">
        <v>26</v>
      </c>
      <c r="D16" s="31">
        <f>sigma</f>
        <v>5025.9436186357789</v>
      </c>
      <c r="E16" s="35" t="s">
        <v>27</v>
      </c>
    </row>
    <row r="17" spans="2:5" x14ac:dyDescent="0.35">
      <c r="B17" s="16"/>
      <c r="C17" s="25"/>
      <c r="D17" s="24"/>
      <c r="E17" s="38"/>
    </row>
    <row r="18" spans="2:5" x14ac:dyDescent="0.35">
      <c r="B18" s="43" t="s">
        <v>32</v>
      </c>
    </row>
    <row r="20" spans="2:5" x14ac:dyDescent="0.35">
      <c r="B20" s="55" t="s">
        <v>47</v>
      </c>
      <c r="C20" s="55" t="s">
        <v>48</v>
      </c>
      <c r="D20" s="56">
        <f>NORMINV(Cr,md,sd)</f>
        <v>27835.950248790967</v>
      </c>
      <c r="E20" s="57" t="s">
        <v>72</v>
      </c>
    </row>
    <row r="21" spans="2:5" x14ac:dyDescent="0.35">
      <c r="B21" s="55" t="s">
        <v>49</v>
      </c>
      <c r="C21" s="55" t="s">
        <v>50</v>
      </c>
      <c r="D21" s="58">
        <f>(qo-md)/sd</f>
        <v>0.43687624733145142</v>
      </c>
      <c r="E21" s="57" t="s">
        <v>51</v>
      </c>
    </row>
    <row r="22" spans="2:5" x14ac:dyDescent="0.35">
      <c r="B22" s="55" t="s">
        <v>52</v>
      </c>
      <c r="C22" s="55" t="s">
        <v>53</v>
      </c>
      <c r="D22" s="55">
        <f>NORMDIST(z,0,1,TRUE)</f>
        <v>0.66889945061621248</v>
      </c>
      <c r="E22" s="55" t="s">
        <v>54</v>
      </c>
    </row>
    <row r="23" spans="2:5" x14ac:dyDescent="0.35">
      <c r="B23" s="55" t="s">
        <v>55</v>
      </c>
      <c r="C23" s="55" t="s">
        <v>56</v>
      </c>
      <c r="D23" s="58">
        <f>NORMDIST(z,0,1,FALSE)</f>
        <v>0.36263119209039135</v>
      </c>
      <c r="E23" s="55" t="s">
        <v>57</v>
      </c>
    </row>
    <row r="24" spans="2:5" x14ac:dyDescent="0.35">
      <c r="B24" s="55" t="s">
        <v>58</v>
      </c>
      <c r="C24" s="55" t="s">
        <v>59</v>
      </c>
      <c r="D24" s="58">
        <f>fz-z*(1-Fz_ )</f>
        <v>0.21798122658622035</v>
      </c>
      <c r="E24" s="55" t="s">
        <v>60</v>
      </c>
    </row>
    <row r="25" spans="2:5" x14ac:dyDescent="0.35">
      <c r="B25" s="55" t="s">
        <v>61</v>
      </c>
      <c r="C25" s="55" t="s">
        <v>62</v>
      </c>
      <c r="D25" s="58">
        <f>lz*sd</f>
        <v>1095.5613547434139</v>
      </c>
      <c r="E25" s="57" t="s">
        <v>63</v>
      </c>
    </row>
    <row r="26" spans="2:5" x14ac:dyDescent="0.35">
      <c r="B26" s="55" t="s">
        <v>64</v>
      </c>
      <c r="C26" s="55" t="s">
        <v>65</v>
      </c>
      <c r="D26" s="58">
        <f>md-lost</f>
        <v>24544.673506638497</v>
      </c>
      <c r="E26" s="57" t="s">
        <v>66</v>
      </c>
    </row>
    <row r="27" spans="2:5" x14ac:dyDescent="0.35">
      <c r="B27" s="55" t="s">
        <v>67</v>
      </c>
      <c r="C27" s="55" t="s">
        <v>68</v>
      </c>
      <c r="D27" s="58">
        <f>qo-sales</f>
        <v>3291.2767421524695</v>
      </c>
      <c r="E27" s="57" t="s">
        <v>69</v>
      </c>
    </row>
    <row r="28" spans="2:5" x14ac:dyDescent="0.35">
      <c r="B28" s="55" t="s">
        <v>70</v>
      </c>
      <c r="C28" s="55" t="s">
        <v>71</v>
      </c>
      <c r="D28" s="62">
        <f>p*sales+s*left-c_*qo-g*lost</f>
        <v>51564.870087864059</v>
      </c>
      <c r="E28" s="55"/>
    </row>
    <row r="30" spans="2:5" x14ac:dyDescent="0.35">
      <c r="B30" s="63" t="s">
        <v>80</v>
      </c>
      <c r="C30" s="54"/>
    </row>
    <row r="31" spans="2:5" x14ac:dyDescent="0.35">
      <c r="B31" s="70" t="s">
        <v>81</v>
      </c>
      <c r="C31" s="70"/>
    </row>
    <row r="32" spans="2:5" x14ac:dyDescent="0.35">
      <c r="B32" s="70" t="s">
        <v>82</v>
      </c>
      <c r="C32" s="70"/>
    </row>
    <row r="33" spans="2:3" x14ac:dyDescent="0.35">
      <c r="B33" s="70" t="s">
        <v>83</v>
      </c>
      <c r="C33" s="70"/>
    </row>
    <row r="34" spans="2:3" x14ac:dyDescent="0.35">
      <c r="B34" s="63" t="s">
        <v>84</v>
      </c>
      <c r="C34" s="54"/>
    </row>
  </sheetData>
  <mergeCells count="5">
    <mergeCell ref="E3:E4"/>
    <mergeCell ref="E6:E8"/>
    <mergeCell ref="B31:C31"/>
    <mergeCell ref="B32:C32"/>
    <mergeCell ref="B33:C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2"/>
  <sheetViews>
    <sheetView tabSelected="1" topLeftCell="A27" zoomScaleNormal="100" workbookViewId="0">
      <selection activeCell="G41" sqref="G41"/>
    </sheetView>
  </sheetViews>
  <sheetFormatPr defaultRowHeight="14.5" x14ac:dyDescent="0.35"/>
  <cols>
    <col min="1" max="1" width="3.1796875" customWidth="1"/>
    <col min="2" max="2" width="14.08984375" customWidth="1"/>
    <col min="3" max="13" width="10.81640625" customWidth="1"/>
    <col min="14" max="14" width="4.453125" customWidth="1"/>
    <col min="15" max="15" width="12.1796875" customWidth="1"/>
    <col min="16" max="16" width="9.1796875" customWidth="1"/>
    <col min="17" max="17" width="9.90625" customWidth="1"/>
  </cols>
  <sheetData>
    <row r="1" spans="2:17" ht="15" thickBot="1" x14ac:dyDescent="0.4">
      <c r="B1" s="7"/>
      <c r="C1" s="12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O1" s="43"/>
      <c r="P1" s="43"/>
      <c r="Q1" s="43"/>
    </row>
    <row r="2" spans="2:17" ht="15" thickBot="1" x14ac:dyDescent="0.4">
      <c r="B2" s="9" t="s">
        <v>0</v>
      </c>
      <c r="C2" s="18">
        <v>4</v>
      </c>
      <c r="D2" s="19">
        <v>4.0999999999999996</v>
      </c>
      <c r="E2" s="18">
        <v>4.2</v>
      </c>
      <c r="F2" s="19">
        <v>4.3</v>
      </c>
      <c r="G2" s="18">
        <v>4.4000000000000004</v>
      </c>
      <c r="H2" s="19">
        <v>4.5</v>
      </c>
      <c r="I2" s="18">
        <v>4.5999999999999996</v>
      </c>
      <c r="J2" s="19">
        <v>4.7</v>
      </c>
      <c r="K2" s="18">
        <v>4.8</v>
      </c>
      <c r="L2" s="19">
        <v>4.9000000000000004</v>
      </c>
      <c r="M2" s="18">
        <v>5</v>
      </c>
      <c r="O2" s="44"/>
      <c r="P2" s="44"/>
      <c r="Q2" s="44"/>
    </row>
    <row r="3" spans="2:17" x14ac:dyDescent="0.35">
      <c r="B3" s="3">
        <v>1</v>
      </c>
      <c r="C3" s="2">
        <v>20914</v>
      </c>
      <c r="D3" s="2">
        <v>27877</v>
      </c>
      <c r="E3" s="2">
        <v>21264</v>
      </c>
      <c r="F3" s="2">
        <v>15498</v>
      </c>
      <c r="G3" s="2">
        <v>19788</v>
      </c>
      <c r="H3" s="2">
        <v>11486</v>
      </c>
      <c r="I3" s="2">
        <v>9054</v>
      </c>
      <c r="J3" s="2">
        <v>13362</v>
      </c>
      <c r="K3" s="2">
        <v>9783</v>
      </c>
      <c r="L3" s="2">
        <v>3388</v>
      </c>
      <c r="M3" s="2">
        <v>4209</v>
      </c>
      <c r="O3" s="43"/>
      <c r="P3" s="45"/>
      <c r="Q3" s="26"/>
    </row>
    <row r="4" spans="2:17" x14ac:dyDescent="0.35">
      <c r="B4" s="3">
        <v>2</v>
      </c>
      <c r="C4" s="2">
        <v>23810</v>
      </c>
      <c r="D4" s="2">
        <v>18739</v>
      </c>
      <c r="E4" s="2">
        <v>20873</v>
      </c>
      <c r="F4" s="2">
        <v>20886</v>
      </c>
      <c r="G4" s="2">
        <v>19853</v>
      </c>
      <c r="H4" s="2">
        <v>16168</v>
      </c>
      <c r="I4" s="2">
        <v>11534</v>
      </c>
      <c r="J4" s="2">
        <v>15997</v>
      </c>
      <c r="K4" s="2">
        <v>5926</v>
      </c>
      <c r="L4" s="2">
        <v>2075</v>
      </c>
      <c r="M4" s="2">
        <v>1172</v>
      </c>
      <c r="O4" s="43"/>
      <c r="P4" s="45"/>
      <c r="Q4" s="26"/>
    </row>
    <row r="5" spans="2:17" x14ac:dyDescent="0.35">
      <c r="B5" s="3">
        <v>3</v>
      </c>
      <c r="C5" s="2">
        <v>27765</v>
      </c>
      <c r="D5" s="2">
        <v>21667</v>
      </c>
      <c r="E5" s="2">
        <v>22975</v>
      </c>
      <c r="F5" s="2">
        <v>21625</v>
      </c>
      <c r="G5" s="2">
        <v>14108</v>
      </c>
      <c r="H5" s="2">
        <v>13423</v>
      </c>
      <c r="I5" s="2">
        <v>17143</v>
      </c>
      <c r="J5" s="2">
        <v>6245</v>
      </c>
      <c r="K5" s="2">
        <v>7194</v>
      </c>
      <c r="L5" s="2">
        <v>8902</v>
      </c>
      <c r="M5" s="2">
        <v>8404</v>
      </c>
      <c r="O5" s="43"/>
      <c r="P5" s="43"/>
      <c r="Q5" s="43"/>
    </row>
    <row r="6" spans="2:17" x14ac:dyDescent="0.35">
      <c r="B6" s="3">
        <v>4</v>
      </c>
      <c r="C6" s="2">
        <v>24641</v>
      </c>
      <c r="D6" s="2">
        <v>21323</v>
      </c>
      <c r="E6" s="2">
        <v>23991</v>
      </c>
      <c r="F6" s="2">
        <v>23146</v>
      </c>
      <c r="G6" s="2">
        <v>16448</v>
      </c>
      <c r="H6" s="2">
        <v>13222</v>
      </c>
      <c r="I6" s="2">
        <v>13319</v>
      </c>
      <c r="J6" s="2">
        <v>12096</v>
      </c>
      <c r="K6" s="2">
        <v>13274</v>
      </c>
      <c r="L6" s="2">
        <v>6698</v>
      </c>
      <c r="M6" s="2">
        <v>3489</v>
      </c>
      <c r="O6" s="43"/>
      <c r="P6" s="43"/>
      <c r="Q6" s="43"/>
    </row>
    <row r="7" spans="2:17" x14ac:dyDescent="0.35">
      <c r="B7" s="3">
        <v>5</v>
      </c>
      <c r="C7" s="2">
        <v>24038</v>
      </c>
      <c r="D7" s="2">
        <v>18130</v>
      </c>
      <c r="E7" s="2">
        <v>22059</v>
      </c>
      <c r="F7" s="2">
        <v>19979</v>
      </c>
      <c r="G7" s="2">
        <v>15494</v>
      </c>
      <c r="H7" s="2">
        <v>11629</v>
      </c>
      <c r="I7" s="2">
        <v>8900</v>
      </c>
      <c r="J7" s="2">
        <v>14968</v>
      </c>
      <c r="K7" s="2">
        <v>10792</v>
      </c>
      <c r="L7" s="2">
        <v>7542</v>
      </c>
      <c r="M7" s="2">
        <v>6172</v>
      </c>
      <c r="O7" s="43"/>
      <c r="P7" s="43"/>
      <c r="Q7" s="43"/>
    </row>
    <row r="8" spans="2:17" ht="15" thickBot="1" x14ac:dyDescent="0.4">
      <c r="B8" s="5">
        <v>6</v>
      </c>
      <c r="C8" s="4">
        <v>22451</v>
      </c>
      <c r="D8" s="4">
        <v>25089</v>
      </c>
      <c r="E8" s="4">
        <v>22997</v>
      </c>
      <c r="F8" s="4">
        <v>21035</v>
      </c>
      <c r="G8" s="4">
        <v>13340</v>
      </c>
      <c r="H8" s="4">
        <v>14038</v>
      </c>
      <c r="I8" s="4">
        <v>9587</v>
      </c>
      <c r="J8" s="4">
        <v>12117</v>
      </c>
      <c r="K8" s="4">
        <v>5528</v>
      </c>
      <c r="L8" s="4">
        <v>8987</v>
      </c>
      <c r="M8" s="4">
        <v>9453</v>
      </c>
    </row>
    <row r="9" spans="2:17" ht="15" thickBot="1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6"/>
      <c r="P9" s="6"/>
      <c r="Q9" s="6"/>
    </row>
    <row r="10" spans="2:17" ht="15" thickBot="1" x14ac:dyDescent="0.4">
      <c r="B10" s="9" t="s">
        <v>0</v>
      </c>
      <c r="C10" s="17">
        <f>C2</f>
        <v>4</v>
      </c>
      <c r="D10" s="17">
        <f t="shared" ref="D10:M10" si="0">D2</f>
        <v>4.0999999999999996</v>
      </c>
      <c r="E10" s="17">
        <f t="shared" si="0"/>
        <v>4.2</v>
      </c>
      <c r="F10" s="17">
        <f t="shared" si="0"/>
        <v>4.3</v>
      </c>
      <c r="G10" s="17">
        <f t="shared" si="0"/>
        <v>4.4000000000000004</v>
      </c>
      <c r="H10" s="17">
        <f t="shared" si="0"/>
        <v>4.5</v>
      </c>
      <c r="I10" s="17">
        <f t="shared" si="0"/>
        <v>4.5999999999999996</v>
      </c>
      <c r="J10" s="17">
        <f t="shared" si="0"/>
        <v>4.7</v>
      </c>
      <c r="K10" s="17">
        <f t="shared" si="0"/>
        <v>4.8</v>
      </c>
      <c r="L10" s="17">
        <f t="shared" si="0"/>
        <v>4.9000000000000004</v>
      </c>
      <c r="M10" s="17">
        <f t="shared" si="0"/>
        <v>5</v>
      </c>
      <c r="O10" s="21" t="s">
        <v>34</v>
      </c>
      <c r="P10" s="22" t="s">
        <v>35</v>
      </c>
      <c r="Q10" s="6"/>
    </row>
    <row r="11" spans="2:17" x14ac:dyDescent="0.35">
      <c r="B11" s="10">
        <v>1</v>
      </c>
      <c r="C11" s="6">
        <f t="shared" ref="C11:C16" si="1">SMALL(C$3:C$8,$B11)</f>
        <v>20914</v>
      </c>
      <c r="D11" s="11">
        <f t="shared" ref="D11:M16" si="2">SMALL(D$3:D$8,$B11)</f>
        <v>18130</v>
      </c>
      <c r="E11" s="11">
        <f t="shared" si="2"/>
        <v>20873</v>
      </c>
      <c r="F11" s="11">
        <f t="shared" si="2"/>
        <v>15498</v>
      </c>
      <c r="G11" s="11">
        <f t="shared" si="2"/>
        <v>13340</v>
      </c>
      <c r="H11" s="11">
        <f t="shared" si="2"/>
        <v>11486</v>
      </c>
      <c r="I11" s="11">
        <f t="shared" si="2"/>
        <v>8900</v>
      </c>
      <c r="J11" s="11">
        <f t="shared" si="2"/>
        <v>6245</v>
      </c>
      <c r="K11" s="11">
        <f t="shared" si="2"/>
        <v>5528</v>
      </c>
      <c r="L11" s="11">
        <f t="shared" si="2"/>
        <v>2075</v>
      </c>
      <c r="M11" s="11">
        <f t="shared" si="2"/>
        <v>1172</v>
      </c>
      <c r="O11" s="13">
        <f t="shared" ref="O11:O16" si="3">1/6</f>
        <v>0.16666666666666666</v>
      </c>
      <c r="P11" s="13">
        <f>SUM($O$11:O11)</f>
        <v>0.16666666666666666</v>
      </c>
      <c r="Q11" s="16"/>
    </row>
    <row r="12" spans="2:17" x14ac:dyDescent="0.35">
      <c r="B12" s="8">
        <v>2</v>
      </c>
      <c r="C12" s="6">
        <f t="shared" si="1"/>
        <v>22451</v>
      </c>
      <c r="D12" s="6">
        <f t="shared" si="2"/>
        <v>18739</v>
      </c>
      <c r="E12" s="6">
        <f t="shared" si="2"/>
        <v>21264</v>
      </c>
      <c r="F12" s="6">
        <f t="shared" si="2"/>
        <v>19979</v>
      </c>
      <c r="G12" s="6">
        <f t="shared" si="2"/>
        <v>14108</v>
      </c>
      <c r="H12" s="6">
        <f t="shared" si="2"/>
        <v>11629</v>
      </c>
      <c r="I12" s="6">
        <f t="shared" si="2"/>
        <v>9054</v>
      </c>
      <c r="J12" s="6">
        <f t="shared" si="2"/>
        <v>12096</v>
      </c>
      <c r="K12" s="6">
        <f t="shared" si="2"/>
        <v>5926</v>
      </c>
      <c r="L12" s="6">
        <f t="shared" si="2"/>
        <v>3388</v>
      </c>
      <c r="M12" s="6">
        <f t="shared" si="2"/>
        <v>3489</v>
      </c>
      <c r="O12" s="13">
        <f t="shared" si="3"/>
        <v>0.16666666666666666</v>
      </c>
      <c r="P12" s="20">
        <f>SUM($O$11:O12)</f>
        <v>0.33333333333333331</v>
      </c>
      <c r="Q12" s="6"/>
    </row>
    <row r="13" spans="2:17" x14ac:dyDescent="0.35">
      <c r="B13" s="8">
        <v>3</v>
      </c>
      <c r="C13" s="6">
        <f t="shared" si="1"/>
        <v>23810</v>
      </c>
      <c r="D13" s="6">
        <f t="shared" si="2"/>
        <v>21323</v>
      </c>
      <c r="E13" s="6">
        <f t="shared" si="2"/>
        <v>22059</v>
      </c>
      <c r="F13" s="6">
        <f t="shared" si="2"/>
        <v>20886</v>
      </c>
      <c r="G13" s="6">
        <f t="shared" si="2"/>
        <v>15494</v>
      </c>
      <c r="H13" s="6">
        <f t="shared" si="2"/>
        <v>13222</v>
      </c>
      <c r="I13" s="6">
        <f t="shared" si="2"/>
        <v>9587</v>
      </c>
      <c r="J13" s="6">
        <f t="shared" si="2"/>
        <v>12117</v>
      </c>
      <c r="K13" s="6">
        <f t="shared" si="2"/>
        <v>7194</v>
      </c>
      <c r="L13" s="6">
        <f t="shared" si="2"/>
        <v>6698</v>
      </c>
      <c r="M13" s="6">
        <f t="shared" si="2"/>
        <v>4209</v>
      </c>
      <c r="O13" s="13">
        <f t="shared" si="3"/>
        <v>0.16666666666666666</v>
      </c>
      <c r="P13" s="20">
        <f>SUM($O$11:O13)</f>
        <v>0.5</v>
      </c>
      <c r="Q13" s="6"/>
    </row>
    <row r="14" spans="2:17" x14ac:dyDescent="0.35">
      <c r="B14" s="8">
        <v>4</v>
      </c>
      <c r="C14" s="6">
        <f t="shared" si="1"/>
        <v>24038</v>
      </c>
      <c r="D14" s="6">
        <f t="shared" si="2"/>
        <v>21667</v>
      </c>
      <c r="E14" s="6">
        <f t="shared" si="2"/>
        <v>22975</v>
      </c>
      <c r="F14" s="6">
        <f t="shared" si="2"/>
        <v>21035</v>
      </c>
      <c r="G14" s="6">
        <f t="shared" si="2"/>
        <v>16448</v>
      </c>
      <c r="H14" s="6">
        <f t="shared" si="2"/>
        <v>13423</v>
      </c>
      <c r="I14" s="6">
        <f t="shared" si="2"/>
        <v>11534</v>
      </c>
      <c r="J14" s="6">
        <f t="shared" si="2"/>
        <v>13362</v>
      </c>
      <c r="K14" s="6">
        <f t="shared" si="2"/>
        <v>9783</v>
      </c>
      <c r="L14" s="6">
        <f t="shared" si="2"/>
        <v>7542</v>
      </c>
      <c r="M14" s="6">
        <f t="shared" si="2"/>
        <v>6172</v>
      </c>
      <c r="O14" s="13">
        <f t="shared" si="3"/>
        <v>0.16666666666666666</v>
      </c>
      <c r="P14" s="20">
        <f>SUM($O$11:O14)</f>
        <v>0.66666666666666663</v>
      </c>
      <c r="Q14" s="6"/>
    </row>
    <row r="15" spans="2:17" x14ac:dyDescent="0.35">
      <c r="B15" s="8">
        <v>5</v>
      </c>
      <c r="C15" s="6">
        <f t="shared" si="1"/>
        <v>24641</v>
      </c>
      <c r="D15" s="6">
        <f t="shared" si="2"/>
        <v>25089</v>
      </c>
      <c r="E15" s="6">
        <f t="shared" si="2"/>
        <v>22997</v>
      </c>
      <c r="F15" s="6">
        <f t="shared" si="2"/>
        <v>21625</v>
      </c>
      <c r="G15" s="6">
        <f t="shared" si="2"/>
        <v>19788</v>
      </c>
      <c r="H15" s="6">
        <f t="shared" si="2"/>
        <v>14038</v>
      </c>
      <c r="I15" s="6">
        <f t="shared" si="2"/>
        <v>13319</v>
      </c>
      <c r="J15" s="6">
        <f t="shared" si="2"/>
        <v>14968</v>
      </c>
      <c r="K15" s="6">
        <f t="shared" si="2"/>
        <v>10792</v>
      </c>
      <c r="L15" s="6">
        <f t="shared" si="2"/>
        <v>8902</v>
      </c>
      <c r="M15" s="6">
        <f t="shared" si="2"/>
        <v>8404</v>
      </c>
      <c r="O15" s="13">
        <f t="shared" si="3"/>
        <v>0.16666666666666666</v>
      </c>
      <c r="P15" s="20">
        <f>SUM($O$11:O15)</f>
        <v>0.83333333333333326</v>
      </c>
      <c r="Q15" s="6"/>
    </row>
    <row r="16" spans="2:17" ht="15" thickBot="1" x14ac:dyDescent="0.4">
      <c r="B16" s="5">
        <v>6</v>
      </c>
      <c r="C16" s="4">
        <f t="shared" si="1"/>
        <v>27765</v>
      </c>
      <c r="D16" s="4">
        <f t="shared" si="2"/>
        <v>27877</v>
      </c>
      <c r="E16" s="4">
        <f t="shared" si="2"/>
        <v>23991</v>
      </c>
      <c r="F16" s="4">
        <f t="shared" si="2"/>
        <v>23146</v>
      </c>
      <c r="G16" s="4">
        <f t="shared" si="2"/>
        <v>19853</v>
      </c>
      <c r="H16" s="4">
        <f t="shared" si="2"/>
        <v>16168</v>
      </c>
      <c r="I16" s="4">
        <f t="shared" si="2"/>
        <v>17143</v>
      </c>
      <c r="J16" s="4">
        <f t="shared" si="2"/>
        <v>15997</v>
      </c>
      <c r="K16" s="4">
        <f t="shared" si="2"/>
        <v>13274</v>
      </c>
      <c r="L16" s="4">
        <f t="shared" si="2"/>
        <v>8987</v>
      </c>
      <c r="M16" s="4">
        <f t="shared" si="2"/>
        <v>9453</v>
      </c>
      <c r="O16" s="14">
        <f t="shared" si="3"/>
        <v>0.16666666666666666</v>
      </c>
      <c r="P16" s="15">
        <f>SUM($O$11:O16)</f>
        <v>0.99999999999999989</v>
      </c>
      <c r="Q16" s="6"/>
    </row>
    <row r="17" spans="2:17" x14ac:dyDescent="0.35">
      <c r="Q17" s="16"/>
    </row>
    <row r="18" spans="2:17" x14ac:dyDescent="0.35">
      <c r="B18" s="43" t="s">
        <v>33</v>
      </c>
    </row>
    <row r="20" spans="2:17" x14ac:dyDescent="0.35">
      <c r="B20" t="s">
        <v>7</v>
      </c>
      <c r="C20" s="46">
        <f t="shared" ref="C20:M20" si="4">C10-c_+g</f>
        <v>3.6</v>
      </c>
      <c r="D20" s="46">
        <f t="shared" si="4"/>
        <v>3.6999999999999997</v>
      </c>
      <c r="E20" s="46">
        <f t="shared" si="4"/>
        <v>3.8000000000000003</v>
      </c>
      <c r="F20" s="46">
        <f t="shared" si="4"/>
        <v>3.9</v>
      </c>
      <c r="G20" s="46">
        <f t="shared" si="4"/>
        <v>4</v>
      </c>
      <c r="H20" s="46">
        <f t="shared" si="4"/>
        <v>4.0999999999999996</v>
      </c>
      <c r="I20" s="46">
        <f t="shared" si="4"/>
        <v>4.1999999999999993</v>
      </c>
      <c r="J20" s="46">
        <f t="shared" si="4"/>
        <v>4.3000000000000007</v>
      </c>
      <c r="K20" s="46">
        <f t="shared" si="4"/>
        <v>4.4000000000000004</v>
      </c>
      <c r="L20" s="46">
        <f t="shared" si="4"/>
        <v>4.5</v>
      </c>
      <c r="M20" s="46">
        <f t="shared" si="4"/>
        <v>4.5999999999999996</v>
      </c>
    </row>
    <row r="21" spans="2:17" x14ac:dyDescent="0.35">
      <c r="B21" t="s">
        <v>8</v>
      </c>
      <c r="C21" s="47">
        <f t="shared" ref="C21:M21" si="5">c_</f>
        <v>2</v>
      </c>
      <c r="D21" s="47">
        <f t="shared" si="5"/>
        <v>2</v>
      </c>
      <c r="E21" s="47">
        <f t="shared" si="5"/>
        <v>2</v>
      </c>
      <c r="F21" s="47">
        <f t="shared" si="5"/>
        <v>2</v>
      </c>
      <c r="G21" s="47">
        <f t="shared" si="5"/>
        <v>2</v>
      </c>
      <c r="H21" s="47">
        <f t="shared" si="5"/>
        <v>2</v>
      </c>
      <c r="I21" s="47">
        <f t="shared" si="5"/>
        <v>2</v>
      </c>
      <c r="J21" s="47">
        <f t="shared" si="5"/>
        <v>2</v>
      </c>
      <c r="K21" s="47">
        <f t="shared" si="5"/>
        <v>2</v>
      </c>
      <c r="L21" s="47">
        <f t="shared" si="5"/>
        <v>2</v>
      </c>
      <c r="M21" s="47">
        <f t="shared" si="5"/>
        <v>2</v>
      </c>
    </row>
    <row r="22" spans="2:17" x14ac:dyDescent="0.35">
      <c r="B22" t="s">
        <v>36</v>
      </c>
      <c r="C22" s="48">
        <f>C20/(C20+C21)</f>
        <v>0.6428571428571429</v>
      </c>
      <c r="D22" s="48">
        <f t="shared" ref="D22:M22" si="6">D20/(D20+D21)</f>
        <v>0.64912280701754388</v>
      </c>
      <c r="E22" s="48">
        <f t="shared" si="6"/>
        <v>0.65517241379310343</v>
      </c>
      <c r="F22" s="48">
        <f t="shared" si="6"/>
        <v>0.66101694915254228</v>
      </c>
      <c r="G22" s="48">
        <f t="shared" si="6"/>
        <v>0.66666666666666663</v>
      </c>
      <c r="H22" s="48">
        <f t="shared" si="6"/>
        <v>0.67213114754098358</v>
      </c>
      <c r="I22" s="48">
        <f t="shared" si="6"/>
        <v>0.67741935483870963</v>
      </c>
      <c r="J22" s="48">
        <f t="shared" si="6"/>
        <v>0.68253968253968256</v>
      </c>
      <c r="K22" s="48">
        <f t="shared" si="6"/>
        <v>0.6875</v>
      </c>
      <c r="L22" s="48">
        <f t="shared" si="6"/>
        <v>0.69230769230769229</v>
      </c>
      <c r="M22" s="48">
        <f t="shared" si="6"/>
        <v>0.69696969696969691</v>
      </c>
    </row>
    <row r="23" spans="2:17" x14ac:dyDescent="0.35">
      <c r="B23" t="s">
        <v>38</v>
      </c>
      <c r="C23">
        <f t="shared" ref="C23:M23" si="7">IF(LOOKUP(C22,F)=C22,MATCH(C22,F,0),MATCH(C22,F,1)+1)</f>
        <v>4</v>
      </c>
      <c r="D23">
        <f t="shared" si="7"/>
        <v>4</v>
      </c>
      <c r="E23">
        <f t="shared" si="7"/>
        <v>4</v>
      </c>
      <c r="F23">
        <f t="shared" si="7"/>
        <v>4</v>
      </c>
      <c r="G23">
        <f t="shared" si="7"/>
        <v>4</v>
      </c>
      <c r="H23">
        <f t="shared" si="7"/>
        <v>5</v>
      </c>
      <c r="I23">
        <f t="shared" si="7"/>
        <v>5</v>
      </c>
      <c r="J23">
        <f t="shared" si="7"/>
        <v>5</v>
      </c>
      <c r="K23">
        <f t="shared" si="7"/>
        <v>5</v>
      </c>
      <c r="L23">
        <f t="shared" si="7"/>
        <v>5</v>
      </c>
      <c r="M23">
        <f t="shared" si="7"/>
        <v>5</v>
      </c>
    </row>
    <row r="24" spans="2:17" x14ac:dyDescent="0.35">
      <c r="B24" t="s">
        <v>37</v>
      </c>
      <c r="C24">
        <f>INDEX(C11:C16,C23)</f>
        <v>24038</v>
      </c>
      <c r="D24">
        <f t="shared" ref="D24:M24" si="8">INDEX(D11:D16,D23)</f>
        <v>21667</v>
      </c>
      <c r="E24" s="53">
        <f t="shared" si="8"/>
        <v>22975</v>
      </c>
      <c r="F24">
        <f t="shared" si="8"/>
        <v>21035</v>
      </c>
      <c r="G24">
        <f t="shared" si="8"/>
        <v>16448</v>
      </c>
      <c r="H24">
        <f t="shared" si="8"/>
        <v>14038</v>
      </c>
      <c r="I24">
        <f t="shared" si="8"/>
        <v>13319</v>
      </c>
      <c r="J24">
        <f t="shared" si="8"/>
        <v>14968</v>
      </c>
      <c r="K24">
        <f t="shared" si="8"/>
        <v>10792</v>
      </c>
      <c r="L24">
        <f t="shared" si="8"/>
        <v>8902</v>
      </c>
      <c r="M24">
        <f t="shared" si="8"/>
        <v>8404</v>
      </c>
    </row>
    <row r="26" spans="2:17" ht="15" thickBot="1" x14ac:dyDescent="0.4">
      <c r="B26" s="49" t="s">
        <v>39</v>
      </c>
    </row>
    <row r="27" spans="2:17" ht="15" thickBot="1" x14ac:dyDescent="0.4">
      <c r="B27" s="9" t="s">
        <v>0</v>
      </c>
      <c r="C27" s="18">
        <v>4</v>
      </c>
      <c r="D27" s="19">
        <v>4.0999999999999996</v>
      </c>
      <c r="E27" s="52">
        <v>4.2</v>
      </c>
      <c r="F27" s="19">
        <v>4.3</v>
      </c>
      <c r="G27" s="18">
        <v>4.4000000000000004</v>
      </c>
      <c r="H27" s="19">
        <v>4.5</v>
      </c>
      <c r="I27" s="18">
        <v>4.5999999999999996</v>
      </c>
      <c r="J27" s="19">
        <v>4.7</v>
      </c>
      <c r="K27" s="18">
        <v>4.8</v>
      </c>
      <c r="L27" s="19">
        <v>4.9000000000000004</v>
      </c>
      <c r="M27" s="18">
        <v>5</v>
      </c>
    </row>
    <row r="28" spans="2:17" x14ac:dyDescent="0.35">
      <c r="B28" s="3">
        <v>1</v>
      </c>
      <c r="C28" s="2">
        <f>MIN(C$24,C11)</f>
        <v>20914</v>
      </c>
      <c r="D28" s="2">
        <f t="shared" ref="D28:M28" si="9">MIN(D$24,D11)</f>
        <v>18130</v>
      </c>
      <c r="E28" s="2">
        <f t="shared" si="9"/>
        <v>20873</v>
      </c>
      <c r="F28" s="2">
        <f t="shared" si="9"/>
        <v>15498</v>
      </c>
      <c r="G28" s="2">
        <f t="shared" si="9"/>
        <v>13340</v>
      </c>
      <c r="H28" s="2">
        <f t="shared" si="9"/>
        <v>11486</v>
      </c>
      <c r="I28" s="2">
        <f t="shared" si="9"/>
        <v>8900</v>
      </c>
      <c r="J28" s="2">
        <f t="shared" si="9"/>
        <v>6245</v>
      </c>
      <c r="K28" s="2">
        <f t="shared" si="9"/>
        <v>5528</v>
      </c>
      <c r="L28" s="2">
        <f t="shared" si="9"/>
        <v>2075</v>
      </c>
      <c r="M28" s="2">
        <f t="shared" si="9"/>
        <v>1172</v>
      </c>
      <c r="N28" s="2"/>
    </row>
    <row r="29" spans="2:17" x14ac:dyDescent="0.35">
      <c r="B29" s="3">
        <v>2</v>
      </c>
      <c r="C29" s="2">
        <f t="shared" ref="C29:M33" si="10">MIN(C$24,C12)</f>
        <v>22451</v>
      </c>
      <c r="D29" s="2">
        <f t="shared" si="10"/>
        <v>18739</v>
      </c>
      <c r="E29" s="2">
        <f t="shared" si="10"/>
        <v>21264</v>
      </c>
      <c r="F29" s="2">
        <f t="shared" si="10"/>
        <v>19979</v>
      </c>
      <c r="G29" s="2">
        <f t="shared" si="10"/>
        <v>14108</v>
      </c>
      <c r="H29" s="2">
        <f t="shared" si="10"/>
        <v>11629</v>
      </c>
      <c r="I29" s="2">
        <f t="shared" si="10"/>
        <v>9054</v>
      </c>
      <c r="J29" s="2">
        <f t="shared" si="10"/>
        <v>12096</v>
      </c>
      <c r="K29" s="2">
        <f t="shared" si="10"/>
        <v>5926</v>
      </c>
      <c r="L29" s="2">
        <f t="shared" si="10"/>
        <v>3388</v>
      </c>
      <c r="M29" s="2">
        <f t="shared" si="10"/>
        <v>3489</v>
      </c>
    </row>
    <row r="30" spans="2:17" x14ac:dyDescent="0.35">
      <c r="B30" s="3">
        <v>3</v>
      </c>
      <c r="C30" s="2">
        <f t="shared" si="10"/>
        <v>23810</v>
      </c>
      <c r="D30" s="2">
        <f t="shared" si="10"/>
        <v>21323</v>
      </c>
      <c r="E30" s="2">
        <f t="shared" si="10"/>
        <v>22059</v>
      </c>
      <c r="F30" s="2">
        <f t="shared" si="10"/>
        <v>20886</v>
      </c>
      <c r="G30" s="2">
        <f t="shared" si="10"/>
        <v>15494</v>
      </c>
      <c r="H30" s="2">
        <f t="shared" si="10"/>
        <v>13222</v>
      </c>
      <c r="I30" s="2">
        <f t="shared" si="10"/>
        <v>9587</v>
      </c>
      <c r="J30" s="2">
        <f t="shared" si="10"/>
        <v>12117</v>
      </c>
      <c r="K30" s="2">
        <f t="shared" si="10"/>
        <v>7194</v>
      </c>
      <c r="L30" s="2">
        <f t="shared" si="10"/>
        <v>6698</v>
      </c>
      <c r="M30" s="2">
        <f t="shared" si="10"/>
        <v>4209</v>
      </c>
    </row>
    <row r="31" spans="2:17" x14ac:dyDescent="0.35">
      <c r="B31" s="3">
        <v>4</v>
      </c>
      <c r="C31" s="2">
        <f t="shared" si="10"/>
        <v>24038</v>
      </c>
      <c r="D31" s="2">
        <f t="shared" si="10"/>
        <v>21667</v>
      </c>
      <c r="E31" s="2">
        <f t="shared" si="10"/>
        <v>22975</v>
      </c>
      <c r="F31" s="2">
        <f t="shared" si="10"/>
        <v>21035</v>
      </c>
      <c r="G31" s="2">
        <f t="shared" si="10"/>
        <v>16448</v>
      </c>
      <c r="H31" s="2">
        <f t="shared" si="10"/>
        <v>13423</v>
      </c>
      <c r="I31" s="2">
        <f t="shared" si="10"/>
        <v>11534</v>
      </c>
      <c r="J31" s="2">
        <f t="shared" si="10"/>
        <v>13362</v>
      </c>
      <c r="K31" s="2">
        <f t="shared" si="10"/>
        <v>9783</v>
      </c>
      <c r="L31" s="2">
        <f t="shared" si="10"/>
        <v>7542</v>
      </c>
      <c r="M31" s="2">
        <f t="shared" si="10"/>
        <v>6172</v>
      </c>
    </row>
    <row r="32" spans="2:17" x14ac:dyDescent="0.35">
      <c r="B32" s="3">
        <v>5</v>
      </c>
      <c r="C32" s="2">
        <f t="shared" si="10"/>
        <v>24038</v>
      </c>
      <c r="D32" s="2">
        <f t="shared" si="10"/>
        <v>21667</v>
      </c>
      <c r="E32" s="2">
        <f t="shared" si="10"/>
        <v>22975</v>
      </c>
      <c r="F32" s="2">
        <f t="shared" si="10"/>
        <v>21035</v>
      </c>
      <c r="G32" s="2">
        <f t="shared" si="10"/>
        <v>16448</v>
      </c>
      <c r="H32" s="2">
        <f t="shared" si="10"/>
        <v>14038</v>
      </c>
      <c r="I32" s="2">
        <f t="shared" si="10"/>
        <v>13319</v>
      </c>
      <c r="J32" s="2">
        <f t="shared" si="10"/>
        <v>14968</v>
      </c>
      <c r="K32" s="2">
        <f t="shared" si="10"/>
        <v>10792</v>
      </c>
      <c r="L32" s="2">
        <f t="shared" si="10"/>
        <v>8902</v>
      </c>
      <c r="M32" s="2">
        <f t="shared" si="10"/>
        <v>8404</v>
      </c>
    </row>
    <row r="33" spans="2:13" ht="15" thickBot="1" x14ac:dyDescent="0.4">
      <c r="B33" s="5">
        <v>6</v>
      </c>
      <c r="C33" s="2">
        <f t="shared" si="10"/>
        <v>24038</v>
      </c>
      <c r="D33" s="2">
        <f t="shared" si="10"/>
        <v>21667</v>
      </c>
      <c r="E33" s="2">
        <f t="shared" si="10"/>
        <v>22975</v>
      </c>
      <c r="F33" s="2">
        <f t="shared" si="10"/>
        <v>21035</v>
      </c>
      <c r="G33" s="2">
        <f t="shared" si="10"/>
        <v>16448</v>
      </c>
      <c r="H33" s="2">
        <f t="shared" si="10"/>
        <v>14038</v>
      </c>
      <c r="I33" s="2">
        <f t="shared" si="10"/>
        <v>13319</v>
      </c>
      <c r="J33" s="2">
        <f t="shared" si="10"/>
        <v>14968</v>
      </c>
      <c r="K33" s="2">
        <f t="shared" si="10"/>
        <v>10792</v>
      </c>
      <c r="L33" s="2">
        <f t="shared" si="10"/>
        <v>8902</v>
      </c>
      <c r="M33" s="2">
        <f t="shared" si="10"/>
        <v>8404</v>
      </c>
    </row>
    <row r="35" spans="2:13" x14ac:dyDescent="0.35">
      <c r="B35" t="s">
        <v>40</v>
      </c>
      <c r="C35" s="1">
        <f>SUMPRODUCT(C28:C33,$O$11:$O$16)</f>
        <v>23214.833333333328</v>
      </c>
      <c r="D35" s="1">
        <f t="shared" ref="D35:M35" si="11">SUMPRODUCT(D28:D33,$O$11:$O$16)</f>
        <v>20532.166666666668</v>
      </c>
      <c r="E35" s="1">
        <f t="shared" si="11"/>
        <v>22186.833333333332</v>
      </c>
      <c r="F35" s="1">
        <f t="shared" si="11"/>
        <v>19911.333333333328</v>
      </c>
      <c r="G35" s="1">
        <f t="shared" si="11"/>
        <v>15380.999999999996</v>
      </c>
      <c r="H35" s="1">
        <f t="shared" si="11"/>
        <v>12972.666666666664</v>
      </c>
      <c r="I35" s="1">
        <f t="shared" si="11"/>
        <v>10952.166666666664</v>
      </c>
      <c r="J35" s="1">
        <f t="shared" si="11"/>
        <v>12292.666666666666</v>
      </c>
      <c r="K35" s="1">
        <f t="shared" si="11"/>
        <v>8335.8333333333321</v>
      </c>
      <c r="L35" s="1">
        <f t="shared" si="11"/>
        <v>6251.1666666666661</v>
      </c>
      <c r="M35" s="1">
        <f t="shared" si="11"/>
        <v>5308.333333333333</v>
      </c>
    </row>
    <row r="36" spans="2:13" x14ac:dyDescent="0.35">
      <c r="B36" t="s">
        <v>41</v>
      </c>
      <c r="C36" s="1">
        <f>SUMPRODUCT(C11:C16,$O$11:$O$16)-C35</f>
        <v>721.66666666666788</v>
      </c>
      <c r="D36" s="1">
        <f t="shared" ref="D36:M36" si="12">SUMPRODUCT(D11:D16,$O$11:$O$16)-D35</f>
        <v>1605.3333333333321</v>
      </c>
      <c r="E36" s="1">
        <f t="shared" si="12"/>
        <v>173</v>
      </c>
      <c r="F36" s="1">
        <f t="shared" si="12"/>
        <v>450.16666666667152</v>
      </c>
      <c r="G36" s="1">
        <f t="shared" si="12"/>
        <v>1124.1666666666679</v>
      </c>
      <c r="H36" s="1">
        <f t="shared" si="12"/>
        <v>355</v>
      </c>
      <c r="I36" s="1">
        <f t="shared" si="12"/>
        <v>637.33333333333394</v>
      </c>
      <c r="J36" s="1">
        <f t="shared" si="12"/>
        <v>171.5</v>
      </c>
      <c r="K36" s="1">
        <f t="shared" si="12"/>
        <v>413.66666666666788</v>
      </c>
      <c r="L36" s="1">
        <f t="shared" si="12"/>
        <v>14.16666666666697</v>
      </c>
      <c r="M36" s="1">
        <f t="shared" si="12"/>
        <v>174.83333333333303</v>
      </c>
    </row>
    <row r="37" spans="2:13" x14ac:dyDescent="0.35">
      <c r="B37" t="s">
        <v>42</v>
      </c>
      <c r="C37" s="50">
        <f t="shared" ref="C37:M37" si="13">C10*C35-c_*C24-g*C36</f>
        <v>43628.666666666642</v>
      </c>
      <c r="D37" s="50">
        <f t="shared" si="13"/>
        <v>38279.35</v>
      </c>
      <c r="E37" s="51">
        <f t="shared" si="13"/>
        <v>46957.899999999994</v>
      </c>
      <c r="F37" s="50">
        <f t="shared" si="13"/>
        <v>42828.466666666631</v>
      </c>
      <c r="G37" s="50">
        <f t="shared" si="13"/>
        <v>32981.733333333323</v>
      </c>
      <c r="H37" s="50">
        <f t="shared" si="13"/>
        <v>29732.999999999985</v>
      </c>
      <c r="I37" s="50">
        <f t="shared" si="13"/>
        <v>22722.233333333319</v>
      </c>
      <c r="J37" s="50">
        <f t="shared" si="13"/>
        <v>27565.133333333331</v>
      </c>
      <c r="K37" s="50">
        <f t="shared" si="13"/>
        <v>17766.133333333324</v>
      </c>
      <c r="L37" s="50">
        <f t="shared" si="13"/>
        <v>12804.05</v>
      </c>
      <c r="M37" s="50">
        <f t="shared" si="13"/>
        <v>9453.9333333333307</v>
      </c>
    </row>
    <row r="39" spans="2:13" x14ac:dyDescent="0.35">
      <c r="C39" s="71" t="s">
        <v>43</v>
      </c>
      <c r="D39" s="71"/>
      <c r="E39" s="71"/>
    </row>
    <row r="40" spans="2:13" x14ac:dyDescent="0.35">
      <c r="C40" s="53" t="s">
        <v>44</v>
      </c>
      <c r="D40" s="53"/>
      <c r="E40" s="53"/>
    </row>
    <row r="41" spans="2:13" x14ac:dyDescent="0.35">
      <c r="C41" s="71" t="s">
        <v>45</v>
      </c>
      <c r="D41" s="71"/>
      <c r="E41" s="53"/>
    </row>
    <row r="42" spans="2:13" x14ac:dyDescent="0.35">
      <c r="C42" s="71" t="s">
        <v>46</v>
      </c>
      <c r="D42" s="71"/>
      <c r="E42" s="53"/>
    </row>
  </sheetData>
  <mergeCells count="3">
    <mergeCell ref="C39:E39"/>
    <mergeCell ref="C41:D41"/>
    <mergeCell ref="C42:D4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E6805-18F8-41AC-9D1F-DB7F79ECD0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25</vt:i4>
      </vt:variant>
    </vt:vector>
  </HeadingPairs>
  <TitlesOfParts>
    <vt:vector size="29" baseType="lpstr">
      <vt:lpstr>Demand A</vt:lpstr>
      <vt:lpstr>Demand B</vt:lpstr>
      <vt:lpstr>Product A</vt:lpstr>
      <vt:lpstr>Product B</vt:lpstr>
      <vt:lpstr>'Demand A'!a</vt:lpstr>
      <vt:lpstr>a</vt:lpstr>
      <vt:lpstr>'Demand A'!b</vt:lpstr>
      <vt:lpstr>b</vt:lpstr>
      <vt:lpstr>c_</vt:lpstr>
      <vt:lpstr>Co</vt:lpstr>
      <vt:lpstr>Cr</vt:lpstr>
      <vt:lpstr>Cu</vt:lpstr>
      <vt:lpstr>F</vt:lpstr>
      <vt:lpstr>fz</vt:lpstr>
      <vt:lpstr>Fz_</vt:lpstr>
      <vt:lpstr>g</vt:lpstr>
      <vt:lpstr>left</vt:lpstr>
      <vt:lpstr>lost</vt:lpstr>
      <vt:lpstr>lz</vt:lpstr>
      <vt:lpstr>md</vt:lpstr>
      <vt:lpstr>p</vt:lpstr>
      <vt:lpstr>profit</vt:lpstr>
      <vt:lpstr>qo</vt:lpstr>
      <vt:lpstr>'Product A'!s</vt:lpstr>
      <vt:lpstr>sales</vt:lpstr>
      <vt:lpstr>sd</vt:lpstr>
      <vt:lpstr>'Demand A'!sigma</vt:lpstr>
      <vt:lpstr>sigma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2018-04-15T01:17:37Z</dcterms:modified>
</cp:coreProperties>
</file>