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e\Desktop\"/>
    </mc:Choice>
  </mc:AlternateContent>
  <xr:revisionPtr revIDLastSave="0" documentId="13_ncr:1_{591CE977-714F-4F29-9F7C-2FF359ACF817}" xr6:coauthVersionLast="31" xr6:coauthVersionMax="31" xr10:uidLastSave="{00000000-0000-0000-0000-000000000000}"/>
  <bookViews>
    <workbookView xWindow="0" yWindow="0" windowWidth="14380" windowHeight="4100" activeTab="2" xr2:uid="{00000000-000D-0000-FFFF-FFFF00000000}"/>
  </bookViews>
  <sheets>
    <sheet name="First Best" sheetId="22" r:id="rId1"/>
    <sheet name="Whole Sale" sheetId="19" r:id="rId2"/>
    <sheet name="Buy Back" sheetId="24" r:id="rId3"/>
  </sheets>
  <definedNames>
    <definedName name="B">'Buy Back'!$J$8</definedName>
    <definedName name="C_" localSheetId="2">'Buy Back'!$J$10</definedName>
    <definedName name="C_" localSheetId="0">'First Best'!$D$12</definedName>
    <definedName name="C_">'Whole Sale'!$J$10</definedName>
    <definedName name="CO" localSheetId="2">'Buy Back'!$D$16</definedName>
    <definedName name="CO" localSheetId="0">'First Best'!$I$6</definedName>
    <definedName name="CO">'Whole Sale'!$D$16</definedName>
    <definedName name="COST">'First Best'!$I$20</definedName>
    <definedName name="COST_P" localSheetId="2">'Buy Back'!$D$30</definedName>
    <definedName name="COST_P">'Whole Sale'!$D$30</definedName>
    <definedName name="COST_W" localSheetId="2">'Buy Back'!$J$16</definedName>
    <definedName name="COST_W">'Whole Sale'!$J$16</definedName>
    <definedName name="CR" localSheetId="2">'Buy Back'!$D$17</definedName>
    <definedName name="CR" localSheetId="0">'First Best'!$I$7</definedName>
    <definedName name="CR">'Whole Sale'!$D$17</definedName>
    <definedName name="CU" localSheetId="2">'Buy Back'!$D$15</definedName>
    <definedName name="CU" localSheetId="0">'First Best'!$I$5</definedName>
    <definedName name="CU">'Whole Sale'!$D$15</definedName>
    <definedName name="fz" localSheetId="2">'Buy Back'!$D$24</definedName>
    <definedName name="fz" localSheetId="0">'First Best'!$I$14</definedName>
    <definedName name="fz">'Whole Sale'!$D$24</definedName>
    <definedName name="Fz_" localSheetId="2">'Buy Back'!$D$23</definedName>
    <definedName name="Fz_" localSheetId="0">'First Best'!$I$13</definedName>
    <definedName name="Fz_">'Whole Sale'!$D$23</definedName>
    <definedName name="G">'First Best'!$D$13</definedName>
    <definedName name="G_P" localSheetId="2">'Buy Back'!$D$12</definedName>
    <definedName name="G_P">'Whole Sale'!$D$12</definedName>
    <definedName name="G_W" localSheetId="2">'Buy Back'!$J$11</definedName>
    <definedName name="G_W">'Whole Sale'!$J$11</definedName>
    <definedName name="LEFTOVER" localSheetId="2">'Buy Back'!$D$28</definedName>
    <definedName name="LEFTOVER" localSheetId="0">'First Best'!$I$18</definedName>
    <definedName name="LEFTOVER">'Whole Sale'!$D$28</definedName>
    <definedName name="LOSTSALES" localSheetId="2">'Buy Back'!$D$26</definedName>
    <definedName name="LOSTSALES" localSheetId="0">'First Best'!$I$16</definedName>
    <definedName name="LOSTSALES">'Whole Sale'!$D$26</definedName>
    <definedName name="Lz" localSheetId="2">'Buy Back'!$D$25</definedName>
    <definedName name="Lz" localSheetId="0">'First Best'!$I$15</definedName>
    <definedName name="Lz">'Whole Sale'!$D$25</definedName>
    <definedName name="MD" localSheetId="2">'Buy Back'!$D$7</definedName>
    <definedName name="MD" localSheetId="0">'First Best'!$D$6</definedName>
    <definedName name="MD">'Whole Sale'!$D$7</definedName>
    <definedName name="P" localSheetId="2">'Buy Back'!$D$10</definedName>
    <definedName name="P" localSheetId="0">'First Best'!$D$10</definedName>
    <definedName name="P">'Whole Sale'!$D$10</definedName>
    <definedName name="PROFIT" localSheetId="2">'Buy Back'!$J$21</definedName>
    <definedName name="PROFIT" localSheetId="0">'First Best'!$I$21</definedName>
    <definedName name="PROFIT">'Whole Sale'!$J$21</definedName>
    <definedName name="PROFIT_P" localSheetId="2">'Buy Back'!$D$31</definedName>
    <definedName name="PROFIT_P">'Whole Sale'!$D$31</definedName>
    <definedName name="PROFIT_W" localSheetId="2">'Buy Back'!$J$17</definedName>
    <definedName name="PROFIT_W">'Whole Sale'!$J$17</definedName>
    <definedName name="Q" localSheetId="2">'Buy Back'!$D$21</definedName>
    <definedName name="Q" localSheetId="0">'First Best'!$I$11</definedName>
    <definedName name="Q">'Whole Sale'!$D$21</definedName>
    <definedName name="Qstar" localSheetId="2">'Buy Back'!$D$18</definedName>
    <definedName name="Qstar" localSheetId="0">'First Best'!$I$8</definedName>
    <definedName name="Qstar">'Whole Sale'!$D$18</definedName>
    <definedName name="REV">'First Best'!$I$19</definedName>
    <definedName name="REV_P" localSheetId="2">'Buy Back'!$D$29</definedName>
    <definedName name="REV_P">'Whole Sale'!$D$29</definedName>
    <definedName name="REV_W" localSheetId="2">'Buy Back'!$J$15</definedName>
    <definedName name="REV_W">'Whole Sale'!$J$15</definedName>
    <definedName name="S" localSheetId="2">'Buy Back'!$J$12</definedName>
    <definedName name="S" localSheetId="0">'First Best'!$D$11</definedName>
    <definedName name="S">'Whole Sale'!$D$11</definedName>
    <definedName name="SALES" localSheetId="2">'Buy Back'!$D$27</definedName>
    <definedName name="SALES" localSheetId="0">'First Best'!$I$17</definedName>
    <definedName name="SALES">'Whole Sale'!$D$27</definedName>
    <definedName name="SD" localSheetId="2">'Buy Back'!$D$8</definedName>
    <definedName name="SD" localSheetId="0">'First Best'!$D$7</definedName>
    <definedName name="SD">'Whole Sale'!$D$8</definedName>
    <definedName name="solver_adj" localSheetId="2" hidden="1">'Buy Back'!$J$7</definedName>
    <definedName name="solver_adj" localSheetId="0" hidden="1">'First Best'!$I$6</definedName>
    <definedName name="solver_adj" localSheetId="1" hidden="1">'Whole Sale'!$J$7</definedName>
    <definedName name="solver_cvg" localSheetId="2" hidden="1">0.0001</definedName>
    <definedName name="solver_cvg" localSheetId="0" hidden="1">0.0001</definedName>
    <definedName name="solver_cvg" localSheetId="1" hidden="1">0.0001</definedName>
    <definedName name="solver_drv" localSheetId="2" hidden="1">1</definedName>
    <definedName name="solver_drv" localSheetId="0" hidden="1">1</definedName>
    <definedName name="solver_drv" localSheetId="1" hidden="1">1</definedName>
    <definedName name="solver_dua" localSheetId="2" hidden="1">1</definedName>
    <definedName name="solver_dua" localSheetId="0" hidden="1">1</definedName>
    <definedName name="solver_dua" localSheetId="1" hidden="1">1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ibd" localSheetId="2" hidden="1">2</definedName>
    <definedName name="solver_ibd" localSheetId="0" hidden="1">2</definedName>
    <definedName name="solver_ibd" localSheetId="1" hidden="1">2</definedName>
    <definedName name="solver_itr" localSheetId="2" hidden="1">100</definedName>
    <definedName name="solver_itr" localSheetId="0" hidden="1">1000</definedName>
    <definedName name="solver_itr" localSheetId="1" hidden="1">100</definedName>
    <definedName name="solver_lhs1" localSheetId="2" hidden="1">'Buy Back'!$J$30</definedName>
    <definedName name="solver_lhs1" localSheetId="0" hidden="1">'First Best'!$I$18</definedName>
    <definedName name="solver_lhs1" localSheetId="1" hidden="1">'Whole Sale'!$J$30</definedName>
    <definedName name="solver_lhs2" localSheetId="2" hidden="1">'Buy Back'!#REF!</definedName>
    <definedName name="solver_lhs2" localSheetId="0" hidden="1">'First Best'!#REF!</definedName>
    <definedName name="solver_lhs2" localSheetId="1" hidden="1">'Whole Sale'!#REF!</definedName>
    <definedName name="solver_lin" localSheetId="2" hidden="1">2</definedName>
    <definedName name="solver_lin" localSheetId="0" hidden="1">2</definedName>
    <definedName name="solver_lin" localSheetId="1" hidden="1">2</definedName>
    <definedName name="solver_loc" localSheetId="2" hidden="1">1</definedName>
    <definedName name="solver_loc" localSheetId="0" hidden="1">1</definedName>
    <definedName name="solver_loc" localSheetId="1" hidden="1">1</definedName>
    <definedName name="solver_lva" localSheetId="2" hidden="1">2</definedName>
    <definedName name="solver_lva" localSheetId="0" hidden="1">2</definedName>
    <definedName name="solver_lva" localSheetId="1" hidden="1">2</definedName>
    <definedName name="solver_mip" localSheetId="2" hidden="1">1000</definedName>
    <definedName name="solver_mip" localSheetId="0" hidden="1">1000</definedName>
    <definedName name="solver_mip" localSheetId="1" hidden="1">1000</definedName>
    <definedName name="solver_mni" localSheetId="2" hidden="1">30</definedName>
    <definedName name="solver_mni" localSheetId="0" hidden="1">30</definedName>
    <definedName name="solver_mni" localSheetId="1" hidden="1">30</definedName>
    <definedName name="solver_mrt" localSheetId="2" hidden="1">0.075</definedName>
    <definedName name="solver_mrt" localSheetId="0" hidden="1">0.075</definedName>
    <definedName name="solver_mrt" localSheetId="1" hidden="1">0.075</definedName>
    <definedName name="solver_msl" localSheetId="2" hidden="1">2</definedName>
    <definedName name="solver_msl" localSheetId="0" hidden="1">2</definedName>
    <definedName name="solver_msl" localSheetId="1" hidden="1">2</definedName>
    <definedName name="solver_neg" localSheetId="2" hidden="1">1</definedName>
    <definedName name="solver_neg" localSheetId="0" hidden="1">1</definedName>
    <definedName name="solver_neg" localSheetId="1" hidden="1">1</definedName>
    <definedName name="solver_nod" localSheetId="2" hidden="1">1000</definedName>
    <definedName name="solver_nod" localSheetId="0" hidden="1">1000</definedName>
    <definedName name="solver_nod" localSheetId="1" hidden="1">1000</definedName>
    <definedName name="solver_num" localSheetId="2" hidden="1">0</definedName>
    <definedName name="solver_num" localSheetId="0" hidden="1">1</definedName>
    <definedName name="solver_num" localSheetId="1" hidden="1">0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ofx" localSheetId="2" hidden="1">2</definedName>
    <definedName name="solver_ofx" localSheetId="0" hidden="1">2</definedName>
    <definedName name="solver_ofx" localSheetId="1" hidden="1">2</definedName>
    <definedName name="solver_opt" localSheetId="2" hidden="1">'Buy Back'!$J$17</definedName>
    <definedName name="solver_opt" localSheetId="0" hidden="1">'First Best'!$I$17</definedName>
    <definedName name="solver_opt" localSheetId="1" hidden="1">'Whole Sale'!$J$17</definedName>
    <definedName name="solver_pre" localSheetId="2" hidden="1">0.000001</definedName>
    <definedName name="solver_pre" localSheetId="0" hidden="1">0.000001</definedName>
    <definedName name="solver_pre" localSheetId="1" hidden="1">0.000001</definedName>
    <definedName name="solver_pro" localSheetId="2" hidden="1">2</definedName>
    <definedName name="solver_pro" localSheetId="0" hidden="1">2</definedName>
    <definedName name="solver_pro" localSheetId="1" hidden="1">2</definedName>
    <definedName name="solver_rbv" localSheetId="2" hidden="1">1</definedName>
    <definedName name="solver_rbv" localSheetId="0" hidden="1">1</definedName>
    <definedName name="solver_rbv" localSheetId="1" hidden="1">1</definedName>
    <definedName name="solver_rel1" localSheetId="2" hidden="1">2</definedName>
    <definedName name="solver_rel1" localSheetId="0" hidden="1">1</definedName>
    <definedName name="solver_rel1" localSheetId="1" hidden="1">2</definedName>
    <definedName name="solver_rel2" localSheetId="2" hidden="1">3</definedName>
    <definedName name="solver_rel2" localSheetId="0" hidden="1">3</definedName>
    <definedName name="solver_rel2" localSheetId="1" hidden="1">3</definedName>
    <definedName name="solver_reo" localSheetId="2" hidden="1">2</definedName>
    <definedName name="solver_reo" localSheetId="0" hidden="1">2</definedName>
    <definedName name="solver_reo" localSheetId="1" hidden="1">2</definedName>
    <definedName name="solver_rep" localSheetId="2" hidden="1">2</definedName>
    <definedName name="solver_rep" localSheetId="0" hidden="1">2</definedName>
    <definedName name="solver_rep" localSheetId="1" hidden="1">2</definedName>
    <definedName name="solver_rhs1" localSheetId="2" hidden="1">'Buy Back'!$D$28</definedName>
    <definedName name="solver_rhs1" localSheetId="0" hidden="1">'First Best'!#REF!</definedName>
    <definedName name="solver_rhs1" localSheetId="1" hidden="1">'Whole Sale'!$D$28</definedName>
    <definedName name="solver_rhs2" localSheetId="2" hidden="1">1</definedName>
    <definedName name="solver_rhs2" localSheetId="0" hidden="1">1</definedName>
    <definedName name="solver_rhs2" localSheetId="1" hidden="1">1</definedName>
    <definedName name="solver_rlx" localSheetId="2" hidden="1">2</definedName>
    <definedName name="solver_rlx" localSheetId="0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2</definedName>
    <definedName name="solver_scl" localSheetId="0" hidden="1">1</definedName>
    <definedName name="solver_scl" localSheetId="1" hidden="1">2</definedName>
    <definedName name="solver_sho" localSheetId="2" hidden="1">2</definedName>
    <definedName name="solver_sho" localSheetId="0" hidden="1">2</definedName>
    <definedName name="solver_sho" localSheetId="1" hidden="1">2</definedName>
    <definedName name="solver_ssz" localSheetId="2" hidden="1">0</definedName>
    <definedName name="solver_ssz" localSheetId="0" hidden="1">0</definedName>
    <definedName name="solver_ssz" localSheetId="1" hidden="1">0</definedName>
    <definedName name="solver_tim" localSheetId="2" hidden="1">100</definedName>
    <definedName name="solver_tim" localSheetId="0" hidden="1">100</definedName>
    <definedName name="solver_tim" localSheetId="1" hidden="1">100</definedName>
    <definedName name="solver_tms" localSheetId="2" hidden="1">2</definedName>
    <definedName name="solver_tms" localSheetId="0" hidden="1">2</definedName>
    <definedName name="solver_tms" localSheetId="1" hidden="1">2</definedName>
    <definedName name="solver_tol" localSheetId="2" hidden="1">0.05</definedName>
    <definedName name="solver_tol" localSheetId="0" hidden="1">0.05</definedName>
    <definedName name="solver_tol" localSheetId="1" hidden="1">0.05</definedName>
    <definedName name="solver_typ" localSheetId="2" hidden="1">1</definedName>
    <definedName name="solver_typ" localSheetId="0" hidden="1">1</definedName>
    <definedName name="solver_typ" localSheetId="1" hidden="1">1</definedName>
    <definedName name="solver_val" localSheetId="2" hidden="1">0</definedName>
    <definedName name="solver_val" localSheetId="1" hidden="1">0</definedName>
    <definedName name="solver_ver" localSheetId="2" hidden="1">3</definedName>
    <definedName name="solver_ver" localSheetId="0" hidden="1">2</definedName>
    <definedName name="solver_ver" localSheetId="1" hidden="1">3</definedName>
    <definedName name="W" localSheetId="2">'Buy Back'!$J$7</definedName>
    <definedName name="W">'Whole Sale'!$J$7</definedName>
    <definedName name="z" localSheetId="2">'Buy Back'!$D$22</definedName>
    <definedName name="z" localSheetId="0">'First Best'!$I$12</definedName>
    <definedName name="z">'Whole Sale'!$D$22</definedName>
  </definedNames>
  <calcPr calcId="179017" iterate="1" iterateCount="1" calcOnSave="0"/>
</workbook>
</file>

<file path=xl/calcChain.xml><?xml version="1.0" encoding="utf-8"?>
<calcChain xmlns="http://schemas.openxmlformats.org/spreadsheetml/2006/main">
  <c r="D15" i="24" l="1"/>
  <c r="D16" i="19"/>
  <c r="D15" i="19"/>
  <c r="I6" i="22"/>
  <c r="I5" i="22"/>
  <c r="J8" i="24" l="1"/>
  <c r="D17" i="19"/>
  <c r="D18" i="19" s="1"/>
  <c r="I11" i="22"/>
  <c r="I7" i="22"/>
  <c r="I8" i="22" s="1"/>
  <c r="D16" i="24" l="1"/>
  <c r="D17" i="24" s="1"/>
  <c r="D18" i="24" s="1"/>
  <c r="D21" i="24" s="1"/>
  <c r="D21" i="19"/>
  <c r="D22" i="24" l="1"/>
  <c r="J15" i="24"/>
  <c r="J15" i="19"/>
  <c r="I12" i="22"/>
  <c r="D22" i="19"/>
  <c r="D23" i="24" l="1"/>
  <c r="D24" i="24"/>
  <c r="D23" i="19"/>
  <c r="I13" i="22"/>
  <c r="I14" i="22"/>
  <c r="D24" i="19"/>
  <c r="D25" i="24" l="1"/>
  <c r="D26" i="24" s="1"/>
  <c r="I15" i="22"/>
  <c r="D25" i="19"/>
  <c r="D27" i="24" l="1"/>
  <c r="D26" i="19"/>
  <c r="I16" i="22"/>
  <c r="I20" i="22" s="1"/>
  <c r="D29" i="24" l="1"/>
  <c r="D28" i="24"/>
  <c r="J16" i="19"/>
  <c r="J17" i="19" s="1"/>
  <c r="D35" i="19" s="1"/>
  <c r="D30" i="19"/>
  <c r="I17" i="22"/>
  <c r="D27" i="19"/>
  <c r="D30" i="24" l="1"/>
  <c r="D31" i="24" s="1"/>
  <c r="J16" i="24"/>
  <c r="J17" i="24" s="1"/>
  <c r="I19" i="22"/>
  <c r="I21" i="22" s="1"/>
  <c r="I18" i="22"/>
  <c r="D28" i="19"/>
  <c r="D29" i="19" s="1"/>
  <c r="D31" i="19" s="1"/>
  <c r="J21" i="24" l="1"/>
  <c r="J24" i="24"/>
  <c r="C35" i="19"/>
  <c r="J21" i="19"/>
  <c r="E35" i="19" l="1"/>
  <c r="J24" i="19"/>
</calcChain>
</file>

<file path=xl/sharedStrings.xml><?xml version="1.0" encoding="utf-8"?>
<sst xmlns="http://schemas.openxmlformats.org/spreadsheetml/2006/main" count="316" uniqueCount="121">
  <si>
    <t>units</t>
  </si>
  <si>
    <t>INPUTS</t>
  </si>
  <si>
    <t>Demand Parameters</t>
  </si>
  <si>
    <t>Order Quantity</t>
  </si>
  <si>
    <t>Q</t>
  </si>
  <si>
    <t>Price and Cost Parameters</t>
  </si>
  <si>
    <t>Unit selling price</t>
  </si>
  <si>
    <t>P</t>
  </si>
  <si>
    <t>Cost of underage</t>
  </si>
  <si>
    <t>CU</t>
  </si>
  <si>
    <t>Cost of Overage</t>
  </si>
  <si>
    <t>CO</t>
  </si>
  <si>
    <t>Critical Ratio</t>
  </si>
  <si>
    <t>CR</t>
  </si>
  <si>
    <t>Goodwill cost</t>
  </si>
  <si>
    <t>G</t>
  </si>
  <si>
    <t>Exact order Quantity</t>
  </si>
  <si>
    <t>Unit production cost</t>
  </si>
  <si>
    <t>Wholesale price</t>
  </si>
  <si>
    <t>W</t>
  </si>
  <si>
    <t>Total Supply Chain Profit</t>
  </si>
  <si>
    <t>Pete's Extreme Sports</t>
  </si>
  <si>
    <t>Winter Gear</t>
  </si>
  <si>
    <t>MD</t>
  </si>
  <si>
    <t>SD</t>
  </si>
  <si>
    <t>Mean Demand</t>
  </si>
  <si>
    <t>Std of Demand</t>
  </si>
  <si>
    <t>G_P</t>
  </si>
  <si>
    <t>G_W</t>
  </si>
  <si>
    <t>Decisions</t>
  </si>
  <si>
    <t>Salvage price</t>
  </si>
  <si>
    <t>C_</t>
  </si>
  <si>
    <t>Standardized value of Q</t>
  </si>
  <si>
    <t>z</t>
  </si>
  <si>
    <t>Fz_</t>
  </si>
  <si>
    <t>=NORMDIST(z,0,1,TRUE)</t>
  </si>
  <si>
    <t>fz</t>
  </si>
  <si>
    <t>=NORMDIST(z,0,1,FALSE)</t>
  </si>
  <si>
    <t>Lz</t>
  </si>
  <si>
    <t>=fz-z*(1-Fz_ )</t>
  </si>
  <si>
    <t>Expected lost sales</t>
  </si>
  <si>
    <t>LOSTSALES</t>
  </si>
  <si>
    <t>=Lz*SD</t>
  </si>
  <si>
    <t>Expected sales</t>
  </si>
  <si>
    <t>SALES</t>
  </si>
  <si>
    <t>Expected leftover</t>
  </si>
  <si>
    <t>LEFTOVER</t>
  </si>
  <si>
    <t>=Q-SALES</t>
  </si>
  <si>
    <t>Expected revenue</t>
  </si>
  <si>
    <t>REV</t>
  </si>
  <si>
    <t>Expected cost</t>
  </si>
  <si>
    <t>COST</t>
  </si>
  <si>
    <t>Expected profit</t>
  </si>
  <si>
    <t>PROFIT</t>
  </si>
  <si>
    <t>=REV-COST</t>
  </si>
  <si>
    <t>=CU/(CO+CU)</t>
  </si>
  <si>
    <t>Standard normal CDF</t>
  </si>
  <si>
    <t>Standard normal PDF</t>
  </si>
  <si>
    <t>Qstar</t>
  </si>
  <si>
    <t>=(Q-MD)/SD</t>
  </si>
  <si>
    <t>=ROUND(Qstar,0)</t>
  </si>
  <si>
    <t>S</t>
  </si>
  <si>
    <t>Standard normal loss fn</t>
  </si>
  <si>
    <t>REV_W</t>
  </si>
  <si>
    <t>COST_W</t>
  </si>
  <si>
    <t>PROFIT_W</t>
  </si>
  <si>
    <t>REV_P</t>
  </si>
  <si>
    <t>COST_P</t>
  </si>
  <si>
    <t>PROFIT_P</t>
  </si>
  <si>
    <t>=REV_P-COST_P</t>
  </si>
  <si>
    <t>=REV_W-COST_W</t>
  </si>
  <si>
    <t>=PROFIT_P+PROFIT_W</t>
  </si>
  <si>
    <t>=MD-LOSTSALES</t>
  </si>
  <si>
    <t>Coordinated Supply Chain</t>
  </si>
  <si>
    <t>Wholesale Price Contract</t>
  </si>
  <si>
    <t>Profit Difference</t>
  </si>
  <si>
    <t>='First Best'!PROFIT-PROFIT</t>
  </si>
  <si>
    <t>User Input</t>
  </si>
  <si>
    <t>EXPECTED PROFIT ANALYSIS</t>
  </si>
  <si>
    <t>CRITICAL RATIO ANALYSIS</t>
  </si>
  <si>
    <t>TOTAL SUPPLY CHAIN PROFIT</t>
  </si>
  <si>
    <t>PROFIT OF FIRST BEST - PROFIT OF THIS CONTRACT</t>
  </si>
  <si>
    <t>Symbol</t>
  </si>
  <si>
    <t>Input</t>
  </si>
  <si>
    <t>Metric</t>
  </si>
  <si>
    <t>Price and Cost</t>
  </si>
  <si>
    <t>Demand</t>
  </si>
  <si>
    <t>Formula</t>
  </si>
  <si>
    <t>=NORMINV(CR,MD,SD)</t>
  </si>
  <si>
    <t>Question 2</t>
  </si>
  <si>
    <t>=P*SALES+S*LEFTOVER</t>
  </si>
  <si>
    <t>=C_*Q+G*LOSTSALES</t>
  </si>
  <si>
    <t>=W*Q+G_P*LOSTSALES</t>
  </si>
  <si>
    <t>=W*Q</t>
  </si>
  <si>
    <t>=C_*Q+G_W*LOSTSALES</t>
  </si>
  <si>
    <t>Question 1</t>
  </si>
  <si>
    <t>First best order quantity=3851</t>
  </si>
  <si>
    <t>Maximum expected profit of supply chain=$4,891,811</t>
  </si>
  <si>
    <t>Explanation:</t>
  </si>
  <si>
    <t xml:space="preserve">As wholesale price increases, Pete's profit decreases </t>
  </si>
  <si>
    <t>As wholesale price increases, Winter Gear's profit first increases and then decreases</t>
  </si>
  <si>
    <t>As wholesale price increases, Total supply Chain profit decreases.</t>
  </si>
  <si>
    <t>Question 3</t>
  </si>
  <si>
    <t>Wholesale price that maximizes total supply chain profit= $500</t>
  </si>
  <si>
    <t>Wholesale price that maximizes Winter Gear's profit= $2250</t>
  </si>
  <si>
    <t>Winter Gear will charge wholesale price=$2250 that maximises its own profit</t>
  </si>
  <si>
    <t>Question 4</t>
  </si>
  <si>
    <t>Exact wholesale price that maximises Winter Gear's expected profit=$2263.44</t>
  </si>
  <si>
    <t>Equilibrium total supply chain profit under wholesale price contract=$3,354,657</t>
  </si>
  <si>
    <t>Difference between first best supply chain profit and equilibrium supply chain profit under wholesale price contract=$1,537,154</t>
  </si>
  <si>
    <t>The wholesale price contract cannot coordinate the supply chain.</t>
  </si>
  <si>
    <t>Buy back price</t>
  </si>
  <si>
    <t>B</t>
  </si>
  <si>
    <t>=(W-B)*LEFTOVER+G_P*LOSTSALES</t>
  </si>
  <si>
    <t>=(W-C_)*Q</t>
  </si>
  <si>
    <t>'=G_W*LOSTSALES+(B-S)*LEFTOVER</t>
  </si>
  <si>
    <t>=(P-W)*SALES</t>
  </si>
  <si>
    <t>Question 5</t>
  </si>
  <si>
    <t>Lowest W= $1909.81</t>
  </si>
  <si>
    <t>Question 6</t>
  </si>
  <si>
    <t>Highest W= $2692.74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</si>
</sst>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"/>
    <numFmt numFmtId="167" formatCode="_(* #,##0_);_(* \(#,##0\);_(* &quot;-&quot;??_);_(@_)"/>
  </numFmts>
  <fonts count="12" x14ac:knownFonts="1">
    <font>
      <sz val="12"/>
      <name val="Arial"/>
    </font>
    <font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rgb="FF0000FF"/>
      <name val="Arial"/>
      <family val="2"/>
    </font>
    <font>
      <b/>
      <sz val="10"/>
      <color rgb="FFC00000"/>
      <name val="Arial"/>
      <family val="2"/>
    </font>
    <font>
      <sz val="12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42" fontId="2" fillId="0" borderId="0" xfId="0" applyNumberFormat="1" applyFont="1" applyFill="1" applyBorder="1"/>
    <xf numFmtId="42" fontId="2" fillId="0" borderId="0" xfId="1" applyNumberFormat="1" applyFont="1" applyFill="1" applyBorder="1"/>
    <xf numFmtId="2" fontId="2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2" fillId="0" borderId="1" xfId="0" applyFont="1" applyFill="1" applyBorder="1"/>
    <xf numFmtId="0" fontId="7" fillId="0" borderId="0" xfId="0" applyFont="1" applyFill="1" applyBorder="1"/>
    <xf numFmtId="0" fontId="5" fillId="0" borderId="1" xfId="0" applyFont="1" applyFill="1" applyBorder="1"/>
    <xf numFmtId="0" fontId="5" fillId="0" borderId="1" xfId="0" applyFont="1" applyBorder="1"/>
    <xf numFmtId="0" fontId="4" fillId="0" borderId="1" xfId="0" applyFont="1" applyBorder="1"/>
    <xf numFmtId="0" fontId="5" fillId="0" borderId="1" xfId="0" quotePrefix="1" applyFont="1" applyFill="1" applyBorder="1"/>
    <xf numFmtId="0" fontId="5" fillId="0" borderId="0" xfId="0" quotePrefix="1" applyFont="1" applyFill="1" applyBorder="1"/>
    <xf numFmtId="0" fontId="5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/>
    <xf numFmtId="0" fontId="5" fillId="0" borderId="1" xfId="0" applyFont="1" applyBorder="1" applyAlignment="1"/>
    <xf numFmtId="0" fontId="2" fillId="0" borderId="1" xfId="0" applyFont="1" applyBorder="1" applyAlignment="1"/>
    <xf numFmtId="0" fontId="2" fillId="0" borderId="1" xfId="0" quotePrefix="1" applyFont="1" applyBorder="1"/>
    <xf numFmtId="0" fontId="5" fillId="0" borderId="1" xfId="0" applyNumberFormat="1" applyFont="1" applyBorder="1"/>
    <xf numFmtId="4" fontId="2" fillId="0" borderId="1" xfId="0" applyNumberFormat="1" applyFont="1" applyFill="1" applyBorder="1"/>
    <xf numFmtId="0" fontId="2" fillId="0" borderId="1" xfId="0" quotePrefix="1" applyFont="1" applyFill="1" applyBorder="1"/>
    <xf numFmtId="165" fontId="2" fillId="0" borderId="1" xfId="0" applyNumberFormat="1" applyFont="1" applyFill="1" applyBorder="1"/>
    <xf numFmtId="5" fontId="5" fillId="0" borderId="1" xfId="1" applyNumberFormat="1" applyFont="1" applyBorder="1"/>
    <xf numFmtId="5" fontId="5" fillId="0" borderId="1" xfId="1" applyNumberFormat="1" applyFont="1" applyFill="1" applyBorder="1"/>
    <xf numFmtId="166" fontId="2" fillId="0" borderId="1" xfId="0" quotePrefix="1" applyNumberFormat="1" applyFont="1" applyFill="1" applyBorder="1"/>
    <xf numFmtId="0" fontId="8" fillId="2" borderId="1" xfId="0" applyFont="1" applyFill="1" applyBorder="1"/>
    <xf numFmtId="0" fontId="8" fillId="0" borderId="0" xfId="0" applyFont="1" applyFill="1" applyBorder="1"/>
    <xf numFmtId="165" fontId="8" fillId="2" borderId="1" xfId="1" applyNumberFormat="1" applyFont="1" applyFill="1" applyBorder="1"/>
    <xf numFmtId="165" fontId="8" fillId="2" borderId="1" xfId="0" applyNumberFormat="1" applyFont="1" applyFill="1" applyBorder="1"/>
    <xf numFmtId="166" fontId="9" fillId="0" borderId="1" xfId="0" applyNumberFormat="1" applyFont="1" applyFill="1" applyBorder="1"/>
    <xf numFmtId="7" fontId="8" fillId="2" borderId="1" xfId="1" applyNumberFormat="1" applyFont="1" applyFill="1" applyBorder="1" applyAlignment="1"/>
    <xf numFmtId="7" fontId="8" fillId="2" borderId="1" xfId="0" applyNumberFormat="1" applyFont="1" applyFill="1" applyBorder="1" applyAlignment="1"/>
    <xf numFmtId="165" fontId="2" fillId="3" borderId="1" xfId="1" applyNumberFormat="1" applyFont="1" applyFill="1" applyBorder="1"/>
    <xf numFmtId="165" fontId="2" fillId="0" borderId="0" xfId="0" applyNumberFormat="1" applyFont="1" applyFill="1" applyBorder="1"/>
    <xf numFmtId="165" fontId="2" fillId="0" borderId="0" xfId="0" applyNumberFormat="1" applyFont="1" applyFill="1" applyBorder="1" applyAlignment="1">
      <alignment horizontal="center"/>
    </xf>
    <xf numFmtId="166" fontId="9" fillId="0" borderId="1" xfId="0" quotePrefix="1" applyNumberFormat="1" applyFont="1" applyFill="1" applyBorder="1"/>
    <xf numFmtId="0" fontId="9" fillId="0" borderId="0" xfId="0" applyFont="1" applyFill="1" applyBorder="1"/>
    <xf numFmtId="0" fontId="7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7" fillId="0" borderId="5" xfId="0" applyFont="1" applyFill="1" applyBorder="1"/>
    <xf numFmtId="0" fontId="2" fillId="0" borderId="6" xfId="0" applyFont="1" applyFill="1" applyBorder="1"/>
    <xf numFmtId="0" fontId="3" fillId="0" borderId="5" xfId="0" applyFont="1" applyFill="1" applyBorder="1"/>
    <xf numFmtId="0" fontId="2" fillId="0" borderId="5" xfId="0" applyFont="1" applyFill="1" applyBorder="1"/>
    <xf numFmtId="0" fontId="6" fillId="0" borderId="5" xfId="0" applyFont="1" applyFill="1" applyBorder="1"/>
    <xf numFmtId="0" fontId="3" fillId="0" borderId="0" xfId="0" applyFont="1" applyFill="1" applyBorder="1" applyAlignment="1">
      <alignment horizontal="center"/>
    </xf>
    <xf numFmtId="167" fontId="3" fillId="0" borderId="0" xfId="2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3" fontId="2" fillId="0" borderId="1" xfId="0" applyNumberFormat="1" applyFont="1" applyFill="1" applyBorder="1"/>
    <xf numFmtId="2" fontId="5" fillId="0" borderId="1" xfId="0" applyNumberFormat="1" applyFont="1" applyFill="1" applyBorder="1"/>
    <xf numFmtId="164" fontId="5" fillId="0" borderId="1" xfId="0" applyNumberFormat="1" applyFont="1" applyFill="1" applyBorder="1"/>
    <xf numFmtId="1" fontId="5" fillId="0" borderId="1" xfId="0" applyNumberFormat="1" applyFont="1" applyFill="1" applyBorder="1"/>
    <xf numFmtId="166" fontId="2" fillId="0" borderId="1" xfId="0" applyNumberFormat="1" applyFont="1" applyFill="1" applyBorder="1"/>
    <xf numFmtId="0" fontId="5" fillId="0" borderId="1" xfId="0" applyNumberFormat="1" applyFont="1" applyFill="1" applyBorder="1"/>
    <xf numFmtId="0" fontId="7" fillId="0" borderId="8" xfId="0" applyFont="1" applyFill="1" applyBorder="1"/>
    <xf numFmtId="0" fontId="2" fillId="0" borderId="9" xfId="0" applyFont="1" applyFill="1" applyBorder="1"/>
    <xf numFmtId="0" fontId="2" fillId="0" borderId="7" xfId="0" applyFont="1" applyFill="1" applyBorder="1"/>
    <xf numFmtId="0" fontId="11" fillId="0" borderId="0" xfId="0" applyFont="1" applyFill="1" applyBorder="1"/>
    <xf numFmtId="166" fontId="2" fillId="0" borderId="0" xfId="0" applyNumberFormat="1" applyFont="1" applyFill="1" applyBorder="1"/>
    <xf numFmtId="6" fontId="2" fillId="0" borderId="0" xfId="0" applyNumberFormat="1" applyFont="1" applyFill="1" applyBorder="1"/>
    <xf numFmtId="0" fontId="2" fillId="0" borderId="0" xfId="0" applyFont="1" applyFill="1" applyBorder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CCFFCC"/>
      <rgbColor rgb="000000FF"/>
      <rgbColor rgb="00FFFF99"/>
      <rgbColor rgb="00FFCCFF"/>
      <rgbColor rgb="0000FFFF"/>
      <rgbColor rgb="00800000"/>
      <rgbColor rgb="00008000"/>
      <rgbColor rgb="00000080"/>
      <rgbColor rgb="00808000"/>
      <rgbColor rgb="00800080"/>
      <rgbColor rgb="00008080"/>
      <rgbColor rgb="00F8F8F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99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vs Wholesale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Pete's Profit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'Whole Sale'!$B$36:$B$46</c:f>
              <c:numCache>
                <c:formatCode>General</c:formatCode>
                <c:ptCount val="11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  <c:pt idx="5">
                  <c:v>1750</c:v>
                </c:pt>
                <c:pt idx="6">
                  <c:v>2000</c:v>
                </c:pt>
                <c:pt idx="7">
                  <c:v>2250</c:v>
                </c:pt>
                <c:pt idx="8">
                  <c:v>2500</c:v>
                </c:pt>
                <c:pt idx="9">
                  <c:v>2750</c:v>
                </c:pt>
                <c:pt idx="10">
                  <c:v>3000</c:v>
                </c:pt>
              </c:numCache>
            </c:numRef>
          </c:xVal>
          <c:yVal>
            <c:numRef>
              <c:f>'Whole Sale'!$C$36:$C$46</c:f>
              <c:numCache>
                <c:formatCode>"$"#,##0</c:formatCode>
                <c:ptCount val="11"/>
                <c:pt idx="0">
                  <c:v>4893177.284060359</c:v>
                </c:pt>
                <c:pt idx="1">
                  <c:v>4052797.8464663341</c:v>
                </c:pt>
                <c:pt idx="2">
                  <c:v>3330191.0858220863</c:v>
                </c:pt>
                <c:pt idx="3">
                  <c:v>2679836.788800111</c:v>
                </c:pt>
                <c:pt idx="4">
                  <c:v>2087723.8691248009</c:v>
                </c:pt>
                <c:pt idx="5">
                  <c:v>1547761.6493633981</c:v>
                </c:pt>
                <c:pt idx="6">
                  <c:v>1057699.3153569875</c:v>
                </c:pt>
                <c:pt idx="7">
                  <c:v>618077.57332476461</c:v>
                </c:pt>
                <c:pt idx="8">
                  <c:v>232461.91400065506</c:v>
                </c:pt>
                <c:pt idx="9">
                  <c:v>-90710.458634592127</c:v>
                </c:pt>
                <c:pt idx="10">
                  <c:v>-330799.95310484665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3D-4DB0-AB64-F3240118D231}"/>
            </c:ext>
          </c:extLst>
        </c:ser>
        <c:ser>
          <c:idx val="1"/>
          <c:order val="1"/>
          <c:tx>
            <c:v>Winter Gear Profit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'Whole Sale'!$B$36:$B$46</c:f>
              <c:numCache>
                <c:formatCode>General</c:formatCode>
                <c:ptCount val="11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  <c:pt idx="5">
                  <c:v>1750</c:v>
                </c:pt>
                <c:pt idx="6">
                  <c:v>2000</c:v>
                </c:pt>
                <c:pt idx="7">
                  <c:v>2250</c:v>
                </c:pt>
                <c:pt idx="8">
                  <c:v>2500</c:v>
                </c:pt>
                <c:pt idx="9">
                  <c:v>2750</c:v>
                </c:pt>
                <c:pt idx="10">
                  <c:v>3000</c:v>
                </c:pt>
              </c:numCache>
            </c:numRef>
          </c:xVal>
          <c:yVal>
            <c:numRef>
              <c:f>'Whole Sale'!$D$36:$D$46</c:f>
              <c:numCache>
                <c:formatCode>"$"#,##0</c:formatCode>
                <c:ptCount val="11"/>
                <c:pt idx="0">
                  <c:v>-1433.8832672401331</c:v>
                </c:pt>
                <c:pt idx="1">
                  <c:v>756304.3496787576</c:v>
                </c:pt>
                <c:pt idx="2">
                  <c:v>1341708.2805292807</c:v>
                </c:pt>
                <c:pt idx="3">
                  <c:v>1819526.0717091011</c:v>
                </c:pt>
                <c:pt idx="4">
                  <c:v>2204074.8971931636</c:v>
                </c:pt>
                <c:pt idx="5">
                  <c:v>2495523.7863057638</c:v>
                </c:pt>
                <c:pt idx="6">
                  <c:v>2686249.9377597263</c:v>
                </c:pt>
                <c:pt idx="7">
                  <c:v>2757707.0521204332</c:v>
                </c:pt>
                <c:pt idx="8">
                  <c:v>2675251.0830909684</c:v>
                </c:pt>
                <c:pt idx="9">
                  <c:v>2351153.5946695823</c:v>
                </c:pt>
                <c:pt idx="10">
                  <c:v>1508713.6406268321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3D-4DB0-AB64-F3240118D231}"/>
            </c:ext>
          </c:extLst>
        </c:ser>
        <c:ser>
          <c:idx val="2"/>
          <c:order val="2"/>
          <c:tx>
            <c:v>Total Supply Chain Profit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'Whole Sale'!$B$36:$B$46</c:f>
              <c:numCache>
                <c:formatCode>General</c:formatCode>
                <c:ptCount val="11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  <c:pt idx="5">
                  <c:v>1750</c:v>
                </c:pt>
                <c:pt idx="6">
                  <c:v>2000</c:v>
                </c:pt>
                <c:pt idx="7">
                  <c:v>2250</c:v>
                </c:pt>
                <c:pt idx="8">
                  <c:v>2500</c:v>
                </c:pt>
                <c:pt idx="9">
                  <c:v>2750</c:v>
                </c:pt>
                <c:pt idx="10">
                  <c:v>3000</c:v>
                </c:pt>
              </c:numCache>
            </c:numRef>
          </c:xVal>
          <c:yVal>
            <c:numRef>
              <c:f>'Whole Sale'!$E$36:$E$46</c:f>
              <c:numCache>
                <c:formatCode>"$"#,##0</c:formatCode>
                <c:ptCount val="11"/>
                <c:pt idx="0">
                  <c:v>4891743.4007931184</c:v>
                </c:pt>
                <c:pt idx="1">
                  <c:v>4809102.1961450912</c:v>
                </c:pt>
                <c:pt idx="2">
                  <c:v>4671899.366351367</c:v>
                </c:pt>
                <c:pt idx="3">
                  <c:v>4499362.8605092121</c:v>
                </c:pt>
                <c:pt idx="4">
                  <c:v>4291798.7663179645</c:v>
                </c:pt>
                <c:pt idx="5">
                  <c:v>4043285.4356691618</c:v>
                </c:pt>
                <c:pt idx="6">
                  <c:v>3743949.2531167138</c:v>
                </c:pt>
                <c:pt idx="7">
                  <c:v>3375784.6254451978</c:v>
                </c:pt>
                <c:pt idx="8">
                  <c:v>2907712.9970916235</c:v>
                </c:pt>
                <c:pt idx="9">
                  <c:v>2260443.1360349902</c:v>
                </c:pt>
                <c:pt idx="10">
                  <c:v>1177913.6875219855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3D-4DB0-AB64-F3240118D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572776"/>
        <c:axId val="664573432"/>
      </c:scatterChart>
      <c:valAx>
        <c:axId val="664572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573432"/>
        <c:crosses val="autoZero"/>
        <c:crossBetween val="midCat"/>
      </c:valAx>
      <c:valAx>
        <c:axId val="66457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572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898525</xdr:colOff>
      <xdr:row>32</xdr:row>
      <xdr:rowOff>28575</xdr:rowOff>
    </xdr:from>
    <xdr:to>
      <xdr:col>10</xdr:col>
      <xdr:colOff>3175</xdr:colOff>
      <xdr:row>49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D87DDA-DEEA-4653-B507-60CF8E920C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K25"/>
  <sheetViews>
    <sheetView showGridLines="0" topLeftCell="A6" zoomScale="98" zoomScaleNormal="115" workbookViewId="0">
      <selection activeCell="G9" sqref="G9"/>
    </sheetView>
  </sheetViews>
  <sheetFormatPr defaultColWidth="8.84375" defaultRowHeight="12.5" x14ac:dyDescent="0.25"/>
  <cols>
    <col min="1" max="1" width="2.15234375" style="1" customWidth="1"/>
    <col min="2" max="2" width="13.84375" style="1" customWidth="1"/>
    <col min="3" max="3" width="6.07421875" style="1" customWidth="1"/>
    <col min="4" max="4" width="8.15234375" style="1" customWidth="1"/>
    <col min="5" max="5" width="5.3828125" style="1" customWidth="1"/>
    <col min="6" max="6" width="2.921875" style="1" customWidth="1"/>
    <col min="7" max="7" width="21.4609375" style="1" customWidth="1"/>
    <col min="8" max="8" width="9.4609375" style="1" customWidth="1"/>
    <col min="9" max="9" width="8.53515625" style="1" customWidth="1"/>
    <col min="10" max="10" width="4.84375" style="1" customWidth="1"/>
    <col min="11" max="11" width="25" style="1" customWidth="1"/>
    <col min="12" max="16384" width="8.84375" style="1"/>
  </cols>
  <sheetData>
    <row r="2" spans="2:11" ht="13" x14ac:dyDescent="0.3">
      <c r="B2" s="9" t="s">
        <v>73</v>
      </c>
    </row>
    <row r="3" spans="2:11" x14ac:dyDescent="0.25">
      <c r="G3" s="7"/>
    </row>
    <row r="4" spans="2:11" ht="13" x14ac:dyDescent="0.3">
      <c r="B4" s="9" t="s">
        <v>1</v>
      </c>
      <c r="G4" s="9" t="s">
        <v>79</v>
      </c>
      <c r="H4" s="49" t="s">
        <v>82</v>
      </c>
      <c r="I4" s="50" t="s">
        <v>83</v>
      </c>
      <c r="J4" s="2" t="s">
        <v>84</v>
      </c>
      <c r="K4" s="49" t="s">
        <v>87</v>
      </c>
    </row>
    <row r="5" spans="2:11" ht="13" x14ac:dyDescent="0.3">
      <c r="B5" s="2" t="s">
        <v>86</v>
      </c>
      <c r="C5" s="49" t="s">
        <v>82</v>
      </c>
      <c r="D5" s="50" t="s">
        <v>83</v>
      </c>
      <c r="E5" s="2" t="s">
        <v>84</v>
      </c>
      <c r="G5" s="8" t="s">
        <v>8</v>
      </c>
      <c r="H5" s="8" t="s">
        <v>9</v>
      </c>
      <c r="I5" s="24">
        <f>P-C_+G</f>
        <v>2950</v>
      </c>
      <c r="J5" s="8"/>
      <c r="K5" s="24"/>
    </row>
    <row r="6" spans="2:11" x14ac:dyDescent="0.25">
      <c r="B6" s="8" t="s">
        <v>25</v>
      </c>
      <c r="C6" s="8" t="s">
        <v>23</v>
      </c>
      <c r="D6" s="29">
        <v>2000</v>
      </c>
      <c r="E6" s="8" t="s">
        <v>0</v>
      </c>
      <c r="G6" s="8" t="s">
        <v>10</v>
      </c>
      <c r="H6" s="8" t="s">
        <v>11</v>
      </c>
      <c r="I6" s="24">
        <f>C_-S</f>
        <v>50</v>
      </c>
      <c r="J6" s="8"/>
      <c r="K6" s="24"/>
    </row>
    <row r="7" spans="2:11" x14ac:dyDescent="0.25">
      <c r="B7" s="8" t="s">
        <v>26</v>
      </c>
      <c r="C7" s="8" t="s">
        <v>24</v>
      </c>
      <c r="D7" s="29">
        <v>870</v>
      </c>
      <c r="E7" s="8" t="s">
        <v>0</v>
      </c>
      <c r="G7" s="8" t="s">
        <v>12</v>
      </c>
      <c r="H7" s="8" t="s">
        <v>13</v>
      </c>
      <c r="I7" s="23">
        <f>CU/(CO+CU)</f>
        <v>0.98333333333333328</v>
      </c>
      <c r="J7" s="8"/>
      <c r="K7" s="10" t="s">
        <v>55</v>
      </c>
    </row>
    <row r="8" spans="2:11" x14ac:dyDescent="0.25">
      <c r="D8" s="30"/>
      <c r="G8" s="8" t="s">
        <v>16</v>
      </c>
      <c r="H8" s="8" t="s">
        <v>58</v>
      </c>
      <c r="I8" s="52">
        <f>NORMINV(CR,MD,SD)</f>
        <v>3851.399353740936</v>
      </c>
      <c r="J8" s="8" t="s">
        <v>0</v>
      </c>
      <c r="K8" s="24" t="s">
        <v>88</v>
      </c>
    </row>
    <row r="9" spans="2:11" ht="13" x14ac:dyDescent="0.3">
      <c r="B9" s="2" t="s">
        <v>85</v>
      </c>
      <c r="C9" s="49" t="s">
        <v>82</v>
      </c>
      <c r="D9" s="50" t="s">
        <v>83</v>
      </c>
      <c r="E9" s="2" t="s">
        <v>84</v>
      </c>
    </row>
    <row r="10" spans="2:11" ht="13" x14ac:dyDescent="0.3">
      <c r="B10" s="8" t="s">
        <v>6</v>
      </c>
      <c r="C10" s="8" t="s">
        <v>7</v>
      </c>
      <c r="D10" s="34">
        <v>3000</v>
      </c>
      <c r="E10" s="8"/>
      <c r="G10" s="9" t="s">
        <v>78</v>
      </c>
      <c r="H10" s="49" t="s">
        <v>82</v>
      </c>
      <c r="I10" s="50" t="s">
        <v>83</v>
      </c>
      <c r="J10" s="2" t="s">
        <v>84</v>
      </c>
      <c r="K10" s="49" t="s">
        <v>87</v>
      </c>
    </row>
    <row r="11" spans="2:11" x14ac:dyDescent="0.25">
      <c r="B11" s="10" t="s">
        <v>30</v>
      </c>
      <c r="C11" s="8" t="s">
        <v>61</v>
      </c>
      <c r="D11" s="35">
        <v>450</v>
      </c>
      <c r="E11" s="8"/>
      <c r="G11" s="8" t="s">
        <v>3</v>
      </c>
      <c r="H11" s="18" t="s">
        <v>4</v>
      </c>
      <c r="I11" s="22">
        <f>ROUND(Qstar,0)</f>
        <v>3851</v>
      </c>
      <c r="J11" s="11" t="s">
        <v>0</v>
      </c>
      <c r="K11" s="21" t="s">
        <v>60</v>
      </c>
    </row>
    <row r="12" spans="2:11" x14ac:dyDescent="0.25">
      <c r="B12" s="8" t="s">
        <v>17</v>
      </c>
      <c r="C12" s="10" t="s">
        <v>31</v>
      </c>
      <c r="D12" s="35">
        <v>500</v>
      </c>
      <c r="E12" s="8"/>
      <c r="G12" s="11" t="s">
        <v>32</v>
      </c>
      <c r="H12" s="19" t="s">
        <v>33</v>
      </c>
      <c r="I12" s="53">
        <f>(Q-MD)/SD</f>
        <v>2.1275862068965519</v>
      </c>
      <c r="J12" s="11" t="s">
        <v>0</v>
      </c>
      <c r="K12" s="21" t="s">
        <v>59</v>
      </c>
    </row>
    <row r="13" spans="2:11" x14ac:dyDescent="0.25">
      <c r="B13" s="8" t="s">
        <v>14</v>
      </c>
      <c r="C13" s="10" t="s">
        <v>15</v>
      </c>
      <c r="D13" s="35">
        <v>450</v>
      </c>
      <c r="E13" s="8"/>
      <c r="G13" s="16" t="s">
        <v>56</v>
      </c>
      <c r="H13" s="19" t="s">
        <v>34</v>
      </c>
      <c r="I13" s="53">
        <f>NORMDIST(z,0,1, TRUE)</f>
        <v>0.98331429658397729</v>
      </c>
      <c r="J13" s="11"/>
      <c r="K13" s="10" t="s">
        <v>35</v>
      </c>
    </row>
    <row r="14" spans="2:11" x14ac:dyDescent="0.25">
      <c r="G14" s="17" t="s">
        <v>57</v>
      </c>
      <c r="H14" s="15" t="s">
        <v>36</v>
      </c>
      <c r="I14" s="53">
        <f>NORMDIST(z,0,1,FALSE)</f>
        <v>4.1492189798105192E-2</v>
      </c>
      <c r="J14" s="12"/>
      <c r="K14" s="10" t="s">
        <v>37</v>
      </c>
    </row>
    <row r="15" spans="2:11" x14ac:dyDescent="0.25">
      <c r="G15" s="17" t="s">
        <v>62</v>
      </c>
      <c r="H15" s="15" t="s">
        <v>38</v>
      </c>
      <c r="I15" s="53">
        <f>fz-z*(1-Fz_)</f>
        <v>5.9919173578085877E-3</v>
      </c>
      <c r="J15" s="12"/>
      <c r="K15" s="10" t="s">
        <v>39</v>
      </c>
    </row>
    <row r="16" spans="2:11" x14ac:dyDescent="0.25">
      <c r="G16" s="11" t="s">
        <v>40</v>
      </c>
      <c r="H16" s="20" t="s">
        <v>41</v>
      </c>
      <c r="I16" s="54">
        <f>Lz*SD</f>
        <v>5.2129681012934714</v>
      </c>
      <c r="J16" s="11" t="s">
        <v>0</v>
      </c>
      <c r="K16" s="10" t="s">
        <v>42</v>
      </c>
    </row>
    <row r="17" spans="2:11" x14ac:dyDescent="0.25">
      <c r="G17" s="11" t="s">
        <v>43</v>
      </c>
      <c r="H17" s="19" t="s">
        <v>44</v>
      </c>
      <c r="I17" s="55">
        <f>MD-LOSTSALES</f>
        <v>1994.7870318987066</v>
      </c>
      <c r="J17" s="11" t="s">
        <v>0</v>
      </c>
      <c r="K17" s="24" t="s">
        <v>72</v>
      </c>
    </row>
    <row r="18" spans="2:11" x14ac:dyDescent="0.25">
      <c r="G18" s="11" t="s">
        <v>45</v>
      </c>
      <c r="H18" s="20" t="s">
        <v>46</v>
      </c>
      <c r="I18" s="55">
        <f>Q-SALES</f>
        <v>1856.2129681012934</v>
      </c>
      <c r="J18" s="11" t="s">
        <v>0</v>
      </c>
      <c r="K18" s="10" t="s">
        <v>47</v>
      </c>
    </row>
    <row r="19" spans="2:11" x14ac:dyDescent="0.25">
      <c r="D19" s="3"/>
      <c r="G19" s="11" t="s">
        <v>48</v>
      </c>
      <c r="H19" s="20" t="s">
        <v>49</v>
      </c>
      <c r="I19" s="28">
        <f>P*SALES+S*LEFTOVER</f>
        <v>6819656.9313417021</v>
      </c>
      <c r="J19" s="11"/>
      <c r="K19" s="24" t="s">
        <v>90</v>
      </c>
    </row>
    <row r="20" spans="2:11" x14ac:dyDescent="0.25">
      <c r="G20" s="10" t="s">
        <v>50</v>
      </c>
      <c r="H20" s="18" t="s">
        <v>51</v>
      </c>
      <c r="I20" s="28">
        <f>C_*Q+G*LOSTSALES</f>
        <v>1927845.8356455821</v>
      </c>
      <c r="J20" s="10"/>
      <c r="K20" s="24" t="s">
        <v>91</v>
      </c>
    </row>
    <row r="21" spans="2:11" ht="13" x14ac:dyDescent="0.3">
      <c r="G21" s="10" t="s">
        <v>52</v>
      </c>
      <c r="H21" s="18" t="s">
        <v>53</v>
      </c>
      <c r="I21" s="39">
        <f>REV-COST</f>
        <v>4891811.0956961196</v>
      </c>
      <c r="J21" s="10"/>
      <c r="K21" s="24" t="s">
        <v>54</v>
      </c>
    </row>
    <row r="23" spans="2:11" ht="13" x14ac:dyDescent="0.3">
      <c r="B23" s="61" t="s">
        <v>95</v>
      </c>
    </row>
    <row r="24" spans="2:11" x14ac:dyDescent="0.25">
      <c r="B24" s="64" t="s">
        <v>96</v>
      </c>
      <c r="C24" s="64"/>
      <c r="D24" s="64"/>
    </row>
    <row r="25" spans="2:11" x14ac:dyDescent="0.25">
      <c r="B25" s="64" t="s">
        <v>97</v>
      </c>
      <c r="C25" s="64"/>
      <c r="D25" s="64"/>
      <c r="E25" s="64"/>
      <c r="F25" s="64"/>
      <c r="G25" s="64"/>
    </row>
  </sheetData>
  <mergeCells count="2">
    <mergeCell ref="B24:D24"/>
    <mergeCell ref="B25:G25"/>
  </mergeCells>
  <phoneticPr fontId="0" type="noConversion"/>
  <printOptions horizontalCentered="1" headings="1"/>
  <pageMargins left="0.5" right="0.5" top="0.75" bottom="0.75" header="0.5" footer="0.5"/>
  <pageSetup orientation="landscape" horizontalDpi="300" verticalDpi="300" r:id="rId1"/>
  <headerFooter alignWithMargins="0">
    <oddHeader>&amp;L&amp;F&amp;R&amp;D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L68"/>
  <sheetViews>
    <sheetView showGridLines="0" topLeftCell="A51" workbookViewId="0">
      <selection activeCell="H13" sqref="H13"/>
    </sheetView>
  </sheetViews>
  <sheetFormatPr defaultColWidth="8.84375" defaultRowHeight="12.5" x14ac:dyDescent="0.25"/>
  <cols>
    <col min="1" max="1" width="2.15234375" style="1" customWidth="1"/>
    <col min="2" max="2" width="16.84375" style="1" customWidth="1"/>
    <col min="3" max="3" width="9.4609375" style="1" customWidth="1"/>
    <col min="4" max="4" width="9.84375" style="1" customWidth="1"/>
    <col min="5" max="5" width="8.3828125" style="1" customWidth="1"/>
    <col min="6" max="6" width="27" style="1" customWidth="1"/>
    <col min="7" max="7" width="3.4609375" style="1" customWidth="1"/>
    <col min="8" max="8" width="18.15234375" style="1" customWidth="1"/>
    <col min="9" max="9" width="8.4609375" style="1" customWidth="1"/>
    <col min="10" max="10" width="9.15234375" style="1" customWidth="1"/>
    <col min="11" max="11" width="19.921875" style="1" customWidth="1"/>
    <col min="12" max="12" width="8.53515625" style="1" customWidth="1"/>
    <col min="13" max="16384" width="8.84375" style="1"/>
  </cols>
  <sheetData>
    <row r="1" spans="2:12" ht="13" x14ac:dyDescent="0.3">
      <c r="B1" s="9" t="s">
        <v>74</v>
      </c>
    </row>
    <row r="3" spans="2:12" ht="13" x14ac:dyDescent="0.3">
      <c r="B3" s="41" t="s">
        <v>21</v>
      </c>
      <c r="C3" s="42"/>
      <c r="D3" s="42"/>
      <c r="E3" s="42"/>
      <c r="F3" s="43"/>
      <c r="H3" s="41" t="s">
        <v>22</v>
      </c>
      <c r="I3" s="42"/>
      <c r="J3" s="42"/>
      <c r="K3" s="43"/>
    </row>
    <row r="4" spans="2:12" ht="13" x14ac:dyDescent="0.3">
      <c r="B4" s="44"/>
      <c r="F4" s="45"/>
      <c r="H4" s="44"/>
      <c r="K4" s="45"/>
    </row>
    <row r="5" spans="2:12" ht="13" x14ac:dyDescent="0.3">
      <c r="B5" s="44" t="s">
        <v>1</v>
      </c>
      <c r="F5" s="45"/>
      <c r="H5" s="44" t="s">
        <v>1</v>
      </c>
      <c r="K5" s="45"/>
    </row>
    <row r="6" spans="2:12" ht="13" x14ac:dyDescent="0.3">
      <c r="B6" s="46" t="s">
        <v>2</v>
      </c>
      <c r="C6" s="49" t="s">
        <v>82</v>
      </c>
      <c r="D6" s="50" t="s">
        <v>83</v>
      </c>
      <c r="E6" s="2" t="s">
        <v>84</v>
      </c>
      <c r="F6" s="51" t="s">
        <v>87</v>
      </c>
      <c r="H6" s="48" t="s">
        <v>29</v>
      </c>
      <c r="I6" s="49" t="s">
        <v>82</v>
      </c>
      <c r="J6" s="50" t="s">
        <v>83</v>
      </c>
      <c r="K6" s="51" t="s">
        <v>87</v>
      </c>
      <c r="L6" s="49"/>
    </row>
    <row r="7" spans="2:12" x14ac:dyDescent="0.25">
      <c r="B7" s="8" t="s">
        <v>25</v>
      </c>
      <c r="C7" s="8" t="s">
        <v>23</v>
      </c>
      <c r="D7" s="29">
        <v>2000</v>
      </c>
      <c r="E7" s="8" t="s">
        <v>0</v>
      </c>
      <c r="F7" s="8"/>
      <c r="H7" s="8" t="s">
        <v>18</v>
      </c>
      <c r="I7" s="18" t="s">
        <v>19</v>
      </c>
      <c r="J7" s="36">
        <v>2263.443537366169</v>
      </c>
      <c r="K7" s="8" t="s">
        <v>77</v>
      </c>
    </row>
    <row r="8" spans="2:12" x14ac:dyDescent="0.25">
      <c r="B8" s="8" t="s">
        <v>26</v>
      </c>
      <c r="C8" s="8" t="s">
        <v>24</v>
      </c>
      <c r="D8" s="29">
        <v>870</v>
      </c>
      <c r="E8" s="8" t="s">
        <v>0</v>
      </c>
      <c r="F8" s="8"/>
      <c r="H8" s="47"/>
      <c r="J8" s="37"/>
      <c r="K8" s="45"/>
    </row>
    <row r="9" spans="2:12" ht="13" x14ac:dyDescent="0.3">
      <c r="B9" s="46" t="s">
        <v>5</v>
      </c>
      <c r="D9" s="30"/>
      <c r="F9" s="45"/>
      <c r="H9" s="46" t="s">
        <v>5</v>
      </c>
      <c r="I9" s="6"/>
      <c r="J9" s="38"/>
      <c r="K9" s="45"/>
    </row>
    <row r="10" spans="2:12" x14ac:dyDescent="0.25">
      <c r="B10" s="8" t="s">
        <v>6</v>
      </c>
      <c r="C10" s="8" t="s">
        <v>7</v>
      </c>
      <c r="D10" s="31">
        <v>3000</v>
      </c>
      <c r="E10" s="8"/>
      <c r="F10" s="8"/>
      <c r="H10" s="8" t="s">
        <v>17</v>
      </c>
      <c r="I10" s="10" t="s">
        <v>31</v>
      </c>
      <c r="J10" s="32">
        <v>500</v>
      </c>
      <c r="K10" s="8"/>
    </row>
    <row r="11" spans="2:12" x14ac:dyDescent="0.25">
      <c r="B11" s="10" t="s">
        <v>30</v>
      </c>
      <c r="C11" s="8" t="s">
        <v>61</v>
      </c>
      <c r="D11" s="32">
        <v>450</v>
      </c>
      <c r="E11" s="8"/>
      <c r="F11" s="8"/>
      <c r="H11" s="8" t="s">
        <v>14</v>
      </c>
      <c r="I11" s="8" t="s">
        <v>28</v>
      </c>
      <c r="J11" s="32">
        <v>250</v>
      </c>
      <c r="K11" s="8"/>
    </row>
    <row r="12" spans="2:12" x14ac:dyDescent="0.25">
      <c r="B12" s="8" t="s">
        <v>14</v>
      </c>
      <c r="C12" s="8" t="s">
        <v>27</v>
      </c>
      <c r="D12" s="31">
        <v>200</v>
      </c>
      <c r="E12" s="8"/>
      <c r="F12" s="8"/>
      <c r="H12" s="47"/>
      <c r="K12" s="45"/>
    </row>
    <row r="13" spans="2:12" x14ac:dyDescent="0.25">
      <c r="B13" s="47"/>
      <c r="F13" s="45"/>
      <c r="H13" s="47"/>
      <c r="K13" s="45"/>
    </row>
    <row r="14" spans="2:12" ht="13" x14ac:dyDescent="0.3">
      <c r="B14" s="58" t="s">
        <v>79</v>
      </c>
      <c r="C14" s="59"/>
      <c r="D14" s="59"/>
      <c r="E14" s="59"/>
      <c r="F14" s="60"/>
      <c r="H14" s="44" t="s">
        <v>78</v>
      </c>
      <c r="K14" s="45"/>
    </row>
    <row r="15" spans="2:12" x14ac:dyDescent="0.25">
      <c r="B15" s="8" t="s">
        <v>8</v>
      </c>
      <c r="C15" s="8" t="s">
        <v>9</v>
      </c>
      <c r="D15" s="25">
        <f>P-W+G_P</f>
        <v>936.55646263383096</v>
      </c>
      <c r="E15" s="8"/>
      <c r="F15" s="13"/>
      <c r="G15" s="14"/>
      <c r="H15" s="11" t="s">
        <v>48</v>
      </c>
      <c r="I15" s="20" t="s">
        <v>63</v>
      </c>
      <c r="J15" s="28">
        <f>W*Q</f>
        <v>3718837.7318926156</v>
      </c>
      <c r="K15" s="24" t="s">
        <v>93</v>
      </c>
    </row>
    <row r="16" spans="2:12" x14ac:dyDescent="0.25">
      <c r="B16" s="8" t="s">
        <v>10</v>
      </c>
      <c r="C16" s="8" t="s">
        <v>11</v>
      </c>
      <c r="D16" s="25">
        <f>W-S</f>
        <v>1813.443537366169</v>
      </c>
      <c r="E16" s="8"/>
      <c r="F16" s="24"/>
      <c r="G16" s="14"/>
      <c r="H16" s="8" t="s">
        <v>50</v>
      </c>
      <c r="I16" s="18" t="s">
        <v>64</v>
      </c>
      <c r="J16" s="28">
        <f>C_*Q+G_W*LOSTSALES</f>
        <v>960099.4259135836</v>
      </c>
      <c r="K16" s="24" t="s">
        <v>94</v>
      </c>
    </row>
    <row r="17" spans="2:11" x14ac:dyDescent="0.25">
      <c r="B17" s="8" t="s">
        <v>12</v>
      </c>
      <c r="C17" s="8" t="s">
        <v>13</v>
      </c>
      <c r="D17" s="23">
        <f>CU/(CO+CU)</f>
        <v>0.34056598641230218</v>
      </c>
      <c r="E17" s="8"/>
      <c r="F17" s="10" t="s">
        <v>55</v>
      </c>
      <c r="G17" s="7"/>
      <c r="H17" s="10" t="s">
        <v>52</v>
      </c>
      <c r="I17" s="18" t="s">
        <v>65</v>
      </c>
      <c r="J17" s="28">
        <f>REV_W-COST_W</f>
        <v>2758738.3059790321</v>
      </c>
      <c r="K17" s="24" t="s">
        <v>70</v>
      </c>
    </row>
    <row r="18" spans="2:11" x14ac:dyDescent="0.25">
      <c r="B18" s="8" t="s">
        <v>16</v>
      </c>
      <c r="C18" s="8" t="s">
        <v>58</v>
      </c>
      <c r="D18" s="52">
        <f>NORMINV(CR,MD,SD)</f>
        <v>1642.5005208876946</v>
      </c>
      <c r="E18" s="8" t="s">
        <v>0</v>
      </c>
      <c r="F18" s="24" t="s">
        <v>88</v>
      </c>
      <c r="G18" s="7"/>
    </row>
    <row r="19" spans="2:11" x14ac:dyDescent="0.25">
      <c r="B19" s="47"/>
      <c r="F19" s="45"/>
    </row>
    <row r="20" spans="2:11" ht="13" x14ac:dyDescent="0.3">
      <c r="B20" s="44" t="s">
        <v>78</v>
      </c>
      <c r="F20" s="45"/>
      <c r="H20" s="41" t="s">
        <v>80</v>
      </c>
      <c r="I20" s="42"/>
      <c r="J20" s="42"/>
      <c r="K20" s="43"/>
    </row>
    <row r="21" spans="2:11" ht="13" x14ac:dyDescent="0.3">
      <c r="B21" s="8" t="s">
        <v>3</v>
      </c>
      <c r="C21" s="18" t="s">
        <v>4</v>
      </c>
      <c r="D21" s="57">
        <f>ROUND(Qstar,0)</f>
        <v>1643</v>
      </c>
      <c r="E21" s="11" t="s">
        <v>0</v>
      </c>
      <c r="F21" s="21" t="s">
        <v>60</v>
      </c>
      <c r="H21" s="8" t="s">
        <v>20</v>
      </c>
      <c r="I21" s="8" t="s">
        <v>53</v>
      </c>
      <c r="J21" s="33">
        <f>PROFIT_P+PROFIT_W</f>
        <v>3354656.8890369958</v>
      </c>
      <c r="K21" s="24" t="s">
        <v>71</v>
      </c>
    </row>
    <row r="22" spans="2:11" x14ac:dyDescent="0.25">
      <c r="B22" s="11" t="s">
        <v>32</v>
      </c>
      <c r="C22" s="19" t="s">
        <v>33</v>
      </c>
      <c r="D22" s="53">
        <f>(Q-MD)/SD</f>
        <v>-0.41034482758620688</v>
      </c>
      <c r="E22" s="11" t="s">
        <v>0</v>
      </c>
      <c r="F22" s="21" t="s">
        <v>59</v>
      </c>
      <c r="H22" s="47"/>
      <c r="K22" s="45"/>
    </row>
    <row r="23" spans="2:11" ht="13" x14ac:dyDescent="0.3">
      <c r="B23" s="16" t="s">
        <v>56</v>
      </c>
      <c r="C23" s="19" t="s">
        <v>34</v>
      </c>
      <c r="D23" s="53">
        <f>NORMDIST(z,0,1, TRUE)</f>
        <v>0.34077650627965983</v>
      </c>
      <c r="E23" s="11"/>
      <c r="F23" s="10" t="s">
        <v>35</v>
      </c>
      <c r="H23" s="44" t="s">
        <v>81</v>
      </c>
      <c r="J23" s="5"/>
      <c r="K23" s="45"/>
    </row>
    <row r="24" spans="2:11" ht="13" x14ac:dyDescent="0.3">
      <c r="B24" s="17" t="s">
        <v>57</v>
      </c>
      <c r="C24" s="15" t="s">
        <v>36</v>
      </c>
      <c r="D24" s="53">
        <f>NORMDIST(z,0,1,FALSE)</f>
        <v>0.3667297889611183</v>
      </c>
      <c r="E24" s="12"/>
      <c r="F24" s="10" t="s">
        <v>37</v>
      </c>
      <c r="H24" s="8" t="s">
        <v>75</v>
      </c>
      <c r="I24" s="8"/>
      <c r="J24" s="33">
        <f>'First Best'!PROFIT-PROFIT</f>
        <v>1537154.2066591238</v>
      </c>
      <c r="K24" s="24" t="s">
        <v>76</v>
      </c>
    </row>
    <row r="25" spans="2:11" x14ac:dyDescent="0.25">
      <c r="B25" s="17" t="s">
        <v>62</v>
      </c>
      <c r="C25" s="15" t="s">
        <v>38</v>
      </c>
      <c r="D25" s="53">
        <f>fz-z*(1-Fz_)</f>
        <v>0.63723873983256829</v>
      </c>
      <c r="E25" s="12"/>
      <c r="F25" s="10" t="s">
        <v>39</v>
      </c>
      <c r="J25" s="5"/>
    </row>
    <row r="26" spans="2:11" x14ac:dyDescent="0.25">
      <c r="B26" s="11" t="s">
        <v>40</v>
      </c>
      <c r="C26" s="20" t="s">
        <v>41</v>
      </c>
      <c r="D26" s="54">
        <f>Lz*SD</f>
        <v>554.39770365433446</v>
      </c>
      <c r="E26" s="11" t="s">
        <v>0</v>
      </c>
      <c r="F26" s="10" t="s">
        <v>42</v>
      </c>
      <c r="J26" s="3"/>
    </row>
    <row r="27" spans="2:11" x14ac:dyDescent="0.25">
      <c r="B27" s="11" t="s">
        <v>43</v>
      </c>
      <c r="C27" s="19" t="s">
        <v>44</v>
      </c>
      <c r="D27" s="55">
        <f>MD-LOSTSALES</f>
        <v>1445.6022963456655</v>
      </c>
      <c r="E27" s="11" t="s">
        <v>0</v>
      </c>
      <c r="F27" s="24" t="s">
        <v>72</v>
      </c>
      <c r="J27" s="3"/>
    </row>
    <row r="28" spans="2:11" x14ac:dyDescent="0.25">
      <c r="B28" s="11" t="s">
        <v>45</v>
      </c>
      <c r="C28" s="20" t="s">
        <v>46</v>
      </c>
      <c r="D28" s="55">
        <f>Q-SALES</f>
        <v>197.39770365433446</v>
      </c>
      <c r="E28" s="11" t="s">
        <v>0</v>
      </c>
      <c r="F28" s="10" t="s">
        <v>47</v>
      </c>
      <c r="J28" s="4"/>
    </row>
    <row r="29" spans="2:11" x14ac:dyDescent="0.25">
      <c r="B29" s="11" t="s">
        <v>48</v>
      </c>
      <c r="C29" s="20" t="s">
        <v>66</v>
      </c>
      <c r="D29" s="26">
        <f>P*SALES+S*LEFTOVER</f>
        <v>4425635.8556814464</v>
      </c>
      <c r="E29" s="11"/>
      <c r="F29" s="24" t="s">
        <v>90</v>
      </c>
      <c r="J29" s="3"/>
    </row>
    <row r="30" spans="2:11" x14ac:dyDescent="0.25">
      <c r="B30" s="10" t="s">
        <v>50</v>
      </c>
      <c r="C30" s="18" t="s">
        <v>67</v>
      </c>
      <c r="D30" s="27">
        <f>W*Q+G_P*LOSTSALES</f>
        <v>3829717.2726234826</v>
      </c>
      <c r="E30" s="10"/>
      <c r="F30" s="24" t="s">
        <v>92</v>
      </c>
      <c r="J30" s="3"/>
    </row>
    <row r="31" spans="2:11" x14ac:dyDescent="0.25">
      <c r="B31" s="10" t="s">
        <v>52</v>
      </c>
      <c r="C31" s="18" t="s">
        <v>68</v>
      </c>
      <c r="D31" s="27">
        <f>REV_P-COST_P</f>
        <v>595918.58305796375</v>
      </c>
      <c r="E31" s="10"/>
      <c r="F31" s="24" t="s">
        <v>69</v>
      </c>
    </row>
    <row r="33" spans="2:5" ht="13" x14ac:dyDescent="0.3">
      <c r="B33" s="40" t="s">
        <v>89</v>
      </c>
    </row>
    <row r="34" spans="2:5" x14ac:dyDescent="0.25">
      <c r="B34" s="8" t="s">
        <v>19</v>
      </c>
      <c r="C34" s="8" t="s">
        <v>68</v>
      </c>
      <c r="D34" s="8" t="s">
        <v>65</v>
      </c>
      <c r="E34" s="8" t="s">
        <v>53</v>
      </c>
    </row>
    <row r="35" spans="2:5" x14ac:dyDescent="0.25">
      <c r="B35" s="8"/>
      <c r="C35" s="56">
        <f>PROFIT_P</f>
        <v>595918.58305796375</v>
      </c>
      <c r="D35" s="56">
        <f>PROFIT_W</f>
        <v>2758738.3059790321</v>
      </c>
      <c r="E35" s="56">
        <f>PROFIT</f>
        <v>3354656.8890369958</v>
      </c>
    </row>
    <row r="36" spans="2:5" x14ac:dyDescent="0.25">
      <c r="B36" s="8">
        <v>500</v>
      </c>
      <c r="C36" s="56">
        <f t="dataTable" ref="C36:E46" dt2D="0" dtr="0" r1="J7"/>
        <v>4893177.284060359</v>
      </c>
      <c r="D36" s="56">
        <v>-1433.8832672401331</v>
      </c>
      <c r="E36" s="56">
        <v>4891743.4007931184</v>
      </c>
    </row>
    <row r="37" spans="2:5" x14ac:dyDescent="0.25">
      <c r="B37" s="8">
        <v>750</v>
      </c>
      <c r="C37" s="56">
        <v>4052797.8464663341</v>
      </c>
      <c r="D37" s="56">
        <v>756304.3496787576</v>
      </c>
      <c r="E37" s="56">
        <v>4809102.1961450912</v>
      </c>
    </row>
    <row r="38" spans="2:5" x14ac:dyDescent="0.25">
      <c r="B38" s="8">
        <v>1000</v>
      </c>
      <c r="C38" s="56">
        <v>3330191.0858220863</v>
      </c>
      <c r="D38" s="56">
        <v>1341708.2805292807</v>
      </c>
      <c r="E38" s="56">
        <v>4671899.366351367</v>
      </c>
    </row>
    <row r="39" spans="2:5" x14ac:dyDescent="0.25">
      <c r="B39" s="8">
        <v>1250</v>
      </c>
      <c r="C39" s="56">
        <v>2679836.788800111</v>
      </c>
      <c r="D39" s="56">
        <v>1819526.0717091011</v>
      </c>
      <c r="E39" s="56">
        <v>4499362.8605092121</v>
      </c>
    </row>
    <row r="40" spans="2:5" x14ac:dyDescent="0.25">
      <c r="B40" s="8">
        <v>1500</v>
      </c>
      <c r="C40" s="56">
        <v>2087723.8691248009</v>
      </c>
      <c r="D40" s="56">
        <v>2204074.8971931636</v>
      </c>
      <c r="E40" s="56">
        <v>4291798.7663179645</v>
      </c>
    </row>
    <row r="41" spans="2:5" x14ac:dyDescent="0.25">
      <c r="B41" s="8">
        <v>1750</v>
      </c>
      <c r="C41" s="56">
        <v>1547761.6493633981</v>
      </c>
      <c r="D41" s="56">
        <v>2495523.7863057638</v>
      </c>
      <c r="E41" s="56">
        <v>4043285.4356691618</v>
      </c>
    </row>
    <row r="42" spans="2:5" x14ac:dyDescent="0.25">
      <c r="B42" s="8">
        <v>2000</v>
      </c>
      <c r="C42" s="56">
        <v>1057699.3153569875</v>
      </c>
      <c r="D42" s="56">
        <v>2686249.9377597263</v>
      </c>
      <c r="E42" s="56">
        <v>3743949.2531167138</v>
      </c>
    </row>
    <row r="43" spans="2:5" x14ac:dyDescent="0.25">
      <c r="B43" s="8">
        <v>2250</v>
      </c>
      <c r="C43" s="56">
        <v>618077.57332476461</v>
      </c>
      <c r="D43" s="56">
        <v>2757707.0521204332</v>
      </c>
      <c r="E43" s="56">
        <v>3375784.6254451978</v>
      </c>
    </row>
    <row r="44" spans="2:5" x14ac:dyDescent="0.25">
      <c r="B44" s="8">
        <v>2500</v>
      </c>
      <c r="C44" s="56">
        <v>232461.91400065506</v>
      </c>
      <c r="D44" s="56">
        <v>2675251.0830909684</v>
      </c>
      <c r="E44" s="56">
        <v>2907712.9970916235</v>
      </c>
    </row>
    <row r="45" spans="2:5" x14ac:dyDescent="0.25">
      <c r="B45" s="8">
        <v>2750</v>
      </c>
      <c r="C45" s="56">
        <v>-90710.458634592127</v>
      </c>
      <c r="D45" s="56">
        <v>2351153.5946695823</v>
      </c>
      <c r="E45" s="56">
        <v>2260443.1360349902</v>
      </c>
    </row>
    <row r="46" spans="2:5" x14ac:dyDescent="0.25">
      <c r="B46" s="8">
        <v>3000</v>
      </c>
      <c r="C46" s="56">
        <v>-330799.95310484665</v>
      </c>
      <c r="D46" s="56">
        <v>1508713.6406268321</v>
      </c>
      <c r="E46" s="56">
        <v>1177913.6875219855</v>
      </c>
    </row>
    <row r="50" spans="2:6" x14ac:dyDescent="0.25">
      <c r="B50" s="1" t="s">
        <v>98</v>
      </c>
    </row>
    <row r="51" spans="2:6" x14ac:dyDescent="0.25">
      <c r="B51" s="64" t="s">
        <v>99</v>
      </c>
      <c r="C51" s="64"/>
      <c r="D51" s="64"/>
      <c r="E51" s="64"/>
    </row>
    <row r="52" spans="2:6" x14ac:dyDescent="0.25">
      <c r="B52" s="64" t="s">
        <v>100</v>
      </c>
      <c r="C52" s="64"/>
      <c r="D52" s="64"/>
      <c r="E52" s="64"/>
      <c r="F52" s="64"/>
    </row>
    <row r="53" spans="2:6" x14ac:dyDescent="0.25">
      <c r="B53" s="64" t="s">
        <v>101</v>
      </c>
      <c r="C53" s="64"/>
      <c r="D53" s="64"/>
      <c r="E53" s="64"/>
      <c r="F53" s="64"/>
    </row>
    <row r="56" spans="2:6" ht="13" x14ac:dyDescent="0.3">
      <c r="B56" s="61" t="s">
        <v>102</v>
      </c>
    </row>
    <row r="58" spans="2:6" x14ac:dyDescent="0.25">
      <c r="B58" s="64" t="s">
        <v>103</v>
      </c>
      <c r="C58" s="64"/>
      <c r="D58" s="64"/>
      <c r="E58" s="64"/>
    </row>
    <row r="59" spans="2:6" x14ac:dyDescent="0.25">
      <c r="B59" s="1" t="s">
        <v>104</v>
      </c>
    </row>
    <row r="60" spans="2:6" x14ac:dyDescent="0.25">
      <c r="B60" s="1" t="s">
        <v>105</v>
      </c>
    </row>
    <row r="63" spans="2:6" ht="13" x14ac:dyDescent="0.3">
      <c r="B63" s="61" t="s">
        <v>106</v>
      </c>
    </row>
    <row r="65" spans="2:8" x14ac:dyDescent="0.25">
      <c r="B65" s="64" t="s">
        <v>107</v>
      </c>
      <c r="C65" s="64"/>
      <c r="D65" s="64"/>
      <c r="E65" s="64"/>
      <c r="F65" s="64"/>
    </row>
    <row r="66" spans="2:8" x14ac:dyDescent="0.25">
      <c r="B66" s="64" t="s">
        <v>108</v>
      </c>
      <c r="C66" s="64"/>
      <c r="D66" s="64"/>
      <c r="E66" s="64"/>
      <c r="F66" s="64"/>
    </row>
    <row r="67" spans="2:8" x14ac:dyDescent="0.25">
      <c r="B67" s="64" t="s">
        <v>109</v>
      </c>
      <c r="C67" s="64"/>
      <c r="D67" s="64"/>
      <c r="E67" s="64"/>
      <c r="F67" s="64"/>
      <c r="G67" s="64"/>
      <c r="H67" s="64"/>
    </row>
    <row r="68" spans="2:8" x14ac:dyDescent="0.25">
      <c r="B68" s="64" t="s">
        <v>110</v>
      </c>
      <c r="C68" s="64"/>
      <c r="D68" s="64"/>
      <c r="E68" s="64"/>
    </row>
  </sheetData>
  <mergeCells count="8">
    <mergeCell ref="B67:H67"/>
    <mergeCell ref="B68:E68"/>
    <mergeCell ref="B51:E51"/>
    <mergeCell ref="B52:F52"/>
    <mergeCell ref="B53:F53"/>
    <mergeCell ref="B58:E58"/>
    <mergeCell ref="B65:F65"/>
    <mergeCell ref="B66:F66"/>
  </mergeCells>
  <phoneticPr fontId="0" type="noConversion"/>
  <printOptions horizontalCentered="1" headings="1"/>
  <pageMargins left="0.5" right="0.5" top="0.75" bottom="0.75" header="0.5" footer="0.5"/>
  <pageSetup scale="81" orientation="landscape" horizontalDpi="300" verticalDpi="300" r:id="rId1"/>
  <headerFooter alignWithMargins="0">
    <oddHeader>&amp;L&amp;F&amp;R&amp;D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C0A4-BD7E-4CCE-AEBC-3999F7AF7480}">
  <sheetPr>
    <pageSetUpPr fitToPage="1"/>
  </sheetPr>
  <dimension ref="B1:L68"/>
  <sheetViews>
    <sheetView showGridLines="0" tabSelected="1" topLeftCell="A22" workbookViewId="0">
      <selection activeCell="H38" sqref="H38"/>
    </sheetView>
  </sheetViews>
  <sheetFormatPr defaultColWidth="8.84375" defaultRowHeight="12.5" x14ac:dyDescent="0.25"/>
  <cols>
    <col min="1" max="1" width="2.15234375" style="1" customWidth="1"/>
    <col min="2" max="2" width="16.84375" style="1" customWidth="1"/>
    <col min="3" max="3" width="9.4609375" style="1" customWidth="1"/>
    <col min="4" max="4" width="9.84375" style="1" customWidth="1"/>
    <col min="5" max="5" width="8.3828125" style="1" customWidth="1"/>
    <col min="6" max="6" width="27" style="1" customWidth="1"/>
    <col min="7" max="7" width="3.4609375" style="1" customWidth="1"/>
    <col min="8" max="8" width="18.15234375" style="1" customWidth="1"/>
    <col min="9" max="9" width="8.4609375" style="1" customWidth="1"/>
    <col min="10" max="10" width="9.15234375" style="1" customWidth="1"/>
    <col min="11" max="11" width="19.921875" style="1" customWidth="1"/>
    <col min="12" max="12" width="8.53515625" style="1" customWidth="1"/>
    <col min="13" max="16384" width="8.84375" style="1"/>
  </cols>
  <sheetData>
    <row r="1" spans="2:12" ht="13" x14ac:dyDescent="0.3">
      <c r="B1" s="9" t="s">
        <v>74</v>
      </c>
    </row>
    <row r="3" spans="2:12" ht="13" x14ac:dyDescent="0.3">
      <c r="B3" s="41" t="s">
        <v>21</v>
      </c>
      <c r="C3" s="42"/>
      <c r="D3" s="42"/>
      <c r="E3" s="42"/>
      <c r="F3" s="43"/>
      <c r="H3" s="41" t="s">
        <v>22</v>
      </c>
      <c r="I3" s="42"/>
      <c r="J3" s="42"/>
      <c r="K3" s="43"/>
    </row>
    <row r="4" spans="2:12" ht="13" x14ac:dyDescent="0.3">
      <c r="B4" s="44"/>
      <c r="F4" s="45"/>
      <c r="H4" s="44"/>
      <c r="K4" s="45"/>
    </row>
    <row r="5" spans="2:12" ht="13" x14ac:dyDescent="0.3">
      <c r="B5" s="44" t="s">
        <v>1</v>
      </c>
      <c r="F5" s="45"/>
      <c r="H5" s="44" t="s">
        <v>1</v>
      </c>
      <c r="K5" s="45"/>
    </row>
    <row r="6" spans="2:12" ht="13" x14ac:dyDescent="0.3">
      <c r="B6" s="46" t="s">
        <v>2</v>
      </c>
      <c r="C6" s="49" t="s">
        <v>82</v>
      </c>
      <c r="D6" s="50" t="s">
        <v>83</v>
      </c>
      <c r="E6" s="2" t="s">
        <v>84</v>
      </c>
      <c r="F6" s="51" t="s">
        <v>87</v>
      </c>
      <c r="H6" s="48" t="s">
        <v>29</v>
      </c>
      <c r="I6" s="49" t="s">
        <v>82</v>
      </c>
      <c r="J6" s="50" t="s">
        <v>83</v>
      </c>
      <c r="K6" s="51" t="s">
        <v>87</v>
      </c>
      <c r="L6" s="49"/>
    </row>
    <row r="7" spans="2:12" x14ac:dyDescent="0.25">
      <c r="B7" s="8" t="s">
        <v>25</v>
      </c>
      <c r="C7" s="8" t="s">
        <v>23</v>
      </c>
      <c r="D7" s="29">
        <v>2000</v>
      </c>
      <c r="E7" s="8" t="s">
        <v>0</v>
      </c>
      <c r="F7" s="8"/>
      <c r="H7" s="8" t="s">
        <v>18</v>
      </c>
      <c r="I7" s="18" t="s">
        <v>19</v>
      </c>
      <c r="J7" s="36">
        <v>2000</v>
      </c>
      <c r="K7" s="8" t="s">
        <v>77</v>
      </c>
    </row>
    <row r="8" spans="2:12" ht="13.25" customHeight="1" x14ac:dyDescent="0.25">
      <c r="B8" s="8" t="s">
        <v>26</v>
      </c>
      <c r="C8" s="8" t="s">
        <v>24</v>
      </c>
      <c r="D8" s="29">
        <v>870</v>
      </c>
      <c r="E8" s="8" t="s">
        <v>0</v>
      </c>
      <c r="F8" s="8"/>
      <c r="H8" s="47" t="s">
        <v>111</v>
      </c>
      <c r="I8" s="1" t="s">
        <v>112</v>
      </c>
      <c r="J8" s="37">
        <f>P+G_P-(CU/'First Best'!CR)</f>
        <v>1979.6610169491526</v>
      </c>
      <c r="K8" s="45"/>
    </row>
    <row r="9" spans="2:12" ht="13" x14ac:dyDescent="0.3">
      <c r="B9" s="46" t="s">
        <v>5</v>
      </c>
      <c r="D9" s="30"/>
      <c r="F9" s="45"/>
      <c r="H9" s="46" t="s">
        <v>5</v>
      </c>
      <c r="I9" s="6"/>
      <c r="J9" s="38"/>
      <c r="K9" s="45"/>
    </row>
    <row r="10" spans="2:12" x14ac:dyDescent="0.25">
      <c r="B10" s="8" t="s">
        <v>6</v>
      </c>
      <c r="C10" s="8" t="s">
        <v>7</v>
      </c>
      <c r="D10" s="31">
        <v>3000</v>
      </c>
      <c r="E10" s="8"/>
      <c r="F10" s="8"/>
      <c r="H10" s="8" t="s">
        <v>17</v>
      </c>
      <c r="I10" s="10" t="s">
        <v>31</v>
      </c>
      <c r="J10" s="32">
        <v>500</v>
      </c>
      <c r="K10" s="8"/>
    </row>
    <row r="11" spans="2:12" x14ac:dyDescent="0.25">
      <c r="B11" s="10"/>
      <c r="C11" s="8"/>
      <c r="D11" s="32"/>
      <c r="E11" s="8"/>
      <c r="F11" s="8"/>
      <c r="H11" s="8" t="s">
        <v>14</v>
      </c>
      <c r="I11" s="8" t="s">
        <v>28</v>
      </c>
      <c r="J11" s="32">
        <v>250</v>
      </c>
      <c r="K11" s="8"/>
    </row>
    <row r="12" spans="2:12" x14ac:dyDescent="0.25">
      <c r="B12" s="8" t="s">
        <v>14</v>
      </c>
      <c r="C12" s="8" t="s">
        <v>27</v>
      </c>
      <c r="D12" s="31">
        <v>200</v>
      </c>
      <c r="E12" s="8"/>
      <c r="F12" s="8"/>
      <c r="H12" s="47" t="s">
        <v>30</v>
      </c>
      <c r="I12" s="1" t="s">
        <v>61</v>
      </c>
      <c r="J12" s="63">
        <v>450</v>
      </c>
      <c r="K12" s="45"/>
    </row>
    <row r="13" spans="2:12" x14ac:dyDescent="0.25">
      <c r="B13" s="47"/>
      <c r="F13" s="45"/>
      <c r="H13" s="47"/>
      <c r="K13" s="45"/>
    </row>
    <row r="14" spans="2:12" ht="13" x14ac:dyDescent="0.3">
      <c r="B14" s="58" t="s">
        <v>79</v>
      </c>
      <c r="C14" s="59"/>
      <c r="D14" s="59"/>
      <c r="E14" s="59"/>
      <c r="F14" s="60"/>
      <c r="H14" s="44" t="s">
        <v>78</v>
      </c>
      <c r="K14" s="45"/>
    </row>
    <row r="15" spans="2:12" x14ac:dyDescent="0.25">
      <c r="B15" s="8" t="s">
        <v>8</v>
      </c>
      <c r="C15" s="8" t="s">
        <v>9</v>
      </c>
      <c r="D15" s="25">
        <f>P-W+G_P</f>
        <v>1200</v>
      </c>
      <c r="E15" s="8"/>
      <c r="F15" s="13"/>
      <c r="G15" s="14"/>
      <c r="H15" s="11" t="s">
        <v>48</v>
      </c>
      <c r="I15" s="20" t="s">
        <v>63</v>
      </c>
      <c r="J15" s="28">
        <f>(W-C_)*Q</f>
        <v>5776500</v>
      </c>
      <c r="K15" s="24" t="s">
        <v>114</v>
      </c>
    </row>
    <row r="16" spans="2:12" ht="13.25" customHeight="1" x14ac:dyDescent="0.25">
      <c r="B16" s="8" t="s">
        <v>10</v>
      </c>
      <c r="C16" s="8" t="s">
        <v>11</v>
      </c>
      <c r="D16" s="25">
        <f>W-B</f>
        <v>20.338983050847446</v>
      </c>
      <c r="E16" s="8"/>
      <c r="F16" s="24"/>
      <c r="G16" s="14"/>
      <c r="H16" s="8" t="s">
        <v>50</v>
      </c>
      <c r="I16" s="18" t="s">
        <v>64</v>
      </c>
      <c r="J16" s="28">
        <f>G_W*LOSTSALES+(B-S)*LEFTOVER</f>
        <v>2840679.8584853527</v>
      </c>
      <c r="K16" s="24" t="s">
        <v>115</v>
      </c>
    </row>
    <row r="17" spans="2:11" x14ac:dyDescent="0.25">
      <c r="B17" s="8" t="s">
        <v>12</v>
      </c>
      <c r="C17" s="8" t="s">
        <v>13</v>
      </c>
      <c r="D17" s="23">
        <f>CU/(CO+CU)</f>
        <v>0.98333333333333339</v>
      </c>
      <c r="E17" s="8"/>
      <c r="F17" s="10" t="s">
        <v>55</v>
      </c>
      <c r="G17" s="7"/>
      <c r="H17" s="10" t="s">
        <v>52</v>
      </c>
      <c r="I17" s="18" t="s">
        <v>65</v>
      </c>
      <c r="J17" s="28">
        <f>REV_W-COST_W</f>
        <v>2935820.1415146473</v>
      </c>
      <c r="K17" s="24" t="s">
        <v>70</v>
      </c>
    </row>
    <row r="18" spans="2:11" x14ac:dyDescent="0.25">
      <c r="B18" s="8" t="s">
        <v>16</v>
      </c>
      <c r="C18" s="8" t="s">
        <v>58</v>
      </c>
      <c r="D18" s="52">
        <f>NORMINV(CR,MD,SD)</f>
        <v>3851.3993537409378</v>
      </c>
      <c r="E18" s="8" t="s">
        <v>0</v>
      </c>
      <c r="F18" s="24" t="s">
        <v>88</v>
      </c>
      <c r="G18" s="7"/>
    </row>
    <row r="19" spans="2:11" x14ac:dyDescent="0.25">
      <c r="B19" s="47"/>
      <c r="F19" s="45"/>
    </row>
    <row r="20" spans="2:11" ht="13" x14ac:dyDescent="0.3">
      <c r="B20" s="44" t="s">
        <v>78</v>
      </c>
      <c r="F20" s="45"/>
      <c r="H20" s="41" t="s">
        <v>80</v>
      </c>
      <c r="I20" s="42"/>
      <c r="J20" s="42"/>
      <c r="K20" s="43"/>
    </row>
    <row r="21" spans="2:11" ht="13" x14ac:dyDescent="0.3">
      <c r="B21" s="8" t="s">
        <v>3</v>
      </c>
      <c r="C21" s="18" t="s">
        <v>4</v>
      </c>
      <c r="D21" s="57">
        <f>ROUND(Qstar,0)</f>
        <v>3851</v>
      </c>
      <c r="E21" s="11" t="s">
        <v>0</v>
      </c>
      <c r="F21" s="21" t="s">
        <v>60</v>
      </c>
      <c r="H21" s="8" t="s">
        <v>20</v>
      </c>
      <c r="I21" s="8" t="s">
        <v>53</v>
      </c>
      <c r="J21" s="33">
        <f>PROFIT_P+PROFIT_W</f>
        <v>4891811.0956961196</v>
      </c>
      <c r="K21" s="24" t="s">
        <v>71</v>
      </c>
    </row>
    <row r="22" spans="2:11" x14ac:dyDescent="0.25">
      <c r="B22" s="11" t="s">
        <v>32</v>
      </c>
      <c r="C22" s="19" t="s">
        <v>33</v>
      </c>
      <c r="D22" s="53">
        <f>(Q-MD)/SD</f>
        <v>2.1275862068965519</v>
      </c>
      <c r="E22" s="11" t="s">
        <v>0</v>
      </c>
      <c r="F22" s="21" t="s">
        <v>59</v>
      </c>
      <c r="H22" s="47"/>
      <c r="K22" s="45"/>
    </row>
    <row r="23" spans="2:11" ht="13" x14ac:dyDescent="0.3">
      <c r="B23" s="16" t="s">
        <v>56</v>
      </c>
      <c r="C23" s="19" t="s">
        <v>34</v>
      </c>
      <c r="D23" s="53">
        <f>NORMDIST(z,0,1, TRUE)</f>
        <v>0.98331429658397729</v>
      </c>
      <c r="E23" s="11"/>
      <c r="F23" s="10" t="s">
        <v>35</v>
      </c>
      <c r="H23" s="44" t="s">
        <v>81</v>
      </c>
      <c r="J23" s="5"/>
      <c r="K23" s="45"/>
    </row>
    <row r="24" spans="2:11" ht="13" x14ac:dyDescent="0.3">
      <c r="B24" s="17" t="s">
        <v>57</v>
      </c>
      <c r="C24" s="15" t="s">
        <v>36</v>
      </c>
      <c r="D24" s="53">
        <f>NORMDIST(z,0,1,FALSE)</f>
        <v>4.1492189798105192E-2</v>
      </c>
      <c r="E24" s="12"/>
      <c r="F24" s="10" t="s">
        <v>37</v>
      </c>
      <c r="H24" s="8" t="s">
        <v>75</v>
      </c>
      <c r="I24" s="8"/>
      <c r="J24" s="33">
        <f>'First Best'!PROFIT-PROFIT</f>
        <v>0</v>
      </c>
      <c r="K24" s="24" t="s">
        <v>76</v>
      </c>
    </row>
    <row r="25" spans="2:11" x14ac:dyDescent="0.25">
      <c r="B25" s="17" t="s">
        <v>62</v>
      </c>
      <c r="C25" s="15" t="s">
        <v>38</v>
      </c>
      <c r="D25" s="53">
        <f>fz-z*(1-Fz_)</f>
        <v>5.9919173578085877E-3</v>
      </c>
      <c r="E25" s="12"/>
      <c r="F25" s="10" t="s">
        <v>39</v>
      </c>
      <c r="J25" s="5"/>
    </row>
    <row r="26" spans="2:11" x14ac:dyDescent="0.25">
      <c r="B26" s="11" t="s">
        <v>40</v>
      </c>
      <c r="C26" s="20" t="s">
        <v>41</v>
      </c>
      <c r="D26" s="54">
        <f>Lz*SD</f>
        <v>5.2129681012934714</v>
      </c>
      <c r="E26" s="11" t="s">
        <v>0</v>
      </c>
      <c r="F26" s="10" t="s">
        <v>42</v>
      </c>
      <c r="J26" s="3"/>
    </row>
    <row r="27" spans="2:11" x14ac:dyDescent="0.25">
      <c r="B27" s="11" t="s">
        <v>43</v>
      </c>
      <c r="C27" s="19" t="s">
        <v>44</v>
      </c>
      <c r="D27" s="55">
        <f>MD-LOSTSALES</f>
        <v>1994.7870318987066</v>
      </c>
      <c r="E27" s="11" t="s">
        <v>0</v>
      </c>
      <c r="F27" s="24" t="s">
        <v>72</v>
      </c>
      <c r="J27" s="3"/>
    </row>
    <row r="28" spans="2:11" x14ac:dyDescent="0.25">
      <c r="B28" s="11" t="s">
        <v>45</v>
      </c>
      <c r="C28" s="20" t="s">
        <v>46</v>
      </c>
      <c r="D28" s="55">
        <f>Q-SALES</f>
        <v>1856.2129681012934</v>
      </c>
      <c r="E28" s="11" t="s">
        <v>0</v>
      </c>
      <c r="F28" s="10" t="s">
        <v>47</v>
      </c>
      <c r="J28" s="4"/>
    </row>
    <row r="29" spans="2:11" x14ac:dyDescent="0.25">
      <c r="B29" s="11" t="s">
        <v>48</v>
      </c>
      <c r="C29" s="20" t="s">
        <v>66</v>
      </c>
      <c r="D29" s="26">
        <f>(P-W)*SALES</f>
        <v>1994787.0318987067</v>
      </c>
      <c r="E29" s="11"/>
      <c r="F29" s="24" t="s">
        <v>116</v>
      </c>
      <c r="J29" s="3"/>
    </row>
    <row r="30" spans="2:11" x14ac:dyDescent="0.25">
      <c r="B30" s="10" t="s">
        <v>50</v>
      </c>
      <c r="C30" s="18" t="s">
        <v>67</v>
      </c>
      <c r="D30" s="27">
        <f>(W-B)*LEFTOVER+G_P*LOSTSALES</f>
        <v>38796.077717234133</v>
      </c>
      <c r="E30" s="10"/>
      <c r="F30" s="24" t="s">
        <v>113</v>
      </c>
      <c r="J30" s="3"/>
    </row>
    <row r="31" spans="2:11" x14ac:dyDescent="0.25">
      <c r="B31" s="10" t="s">
        <v>52</v>
      </c>
      <c r="C31" s="18" t="s">
        <v>68</v>
      </c>
      <c r="D31" s="27">
        <f>REV_P-COST_P</f>
        <v>1955990.9541814725</v>
      </c>
      <c r="E31" s="10"/>
      <c r="F31" s="24" t="s">
        <v>69</v>
      </c>
    </row>
    <row r="33" spans="2:5" ht="13" x14ac:dyDescent="0.3">
      <c r="B33" s="40"/>
    </row>
    <row r="34" spans="2:5" ht="13" x14ac:dyDescent="0.3">
      <c r="B34" s="61" t="s">
        <v>117</v>
      </c>
    </row>
    <row r="35" spans="2:5" x14ac:dyDescent="0.25">
      <c r="C35" s="62"/>
      <c r="D35" s="62"/>
      <c r="E35" s="62"/>
    </row>
    <row r="36" spans="2:5" x14ac:dyDescent="0.25">
      <c r="B36" s="1" t="s">
        <v>118</v>
      </c>
      <c r="C36" s="62"/>
      <c r="D36" s="62"/>
      <c r="E36" s="62"/>
    </row>
    <row r="37" spans="2:5" x14ac:dyDescent="0.25">
      <c r="C37" s="62"/>
      <c r="D37" s="62"/>
      <c r="E37" s="62"/>
    </row>
    <row r="38" spans="2:5" x14ac:dyDescent="0.25">
      <c r="C38" s="62"/>
      <c r="D38" s="62"/>
      <c r="E38" s="62"/>
    </row>
    <row r="39" spans="2:5" ht="13" x14ac:dyDescent="0.3">
      <c r="B39" s="61" t="s">
        <v>119</v>
      </c>
      <c r="C39" s="62"/>
      <c r="D39" s="62"/>
      <c r="E39" s="62"/>
    </row>
    <row r="40" spans="2:5" x14ac:dyDescent="0.25">
      <c r="C40" s="62"/>
      <c r="D40" s="62"/>
      <c r="E40" s="62"/>
    </row>
    <row r="41" spans="2:5" x14ac:dyDescent="0.25">
      <c r="B41" s="1" t="s">
        <v>120</v>
      </c>
      <c r="C41" s="62"/>
      <c r="D41" s="62"/>
      <c r="E41" s="62"/>
    </row>
    <row r="42" spans="2:5" x14ac:dyDescent="0.25">
      <c r="C42" s="62"/>
      <c r="D42" s="62"/>
      <c r="E42" s="62"/>
    </row>
    <row r="43" spans="2:5" x14ac:dyDescent="0.25">
      <c r="C43" s="62"/>
      <c r="D43" s="62"/>
      <c r="E43" s="62"/>
    </row>
    <row r="44" spans="2:5" x14ac:dyDescent="0.25">
      <c r="C44" s="62"/>
      <c r="D44" s="62"/>
      <c r="E44" s="62"/>
    </row>
    <row r="45" spans="2:5" x14ac:dyDescent="0.25">
      <c r="C45" s="62"/>
      <c r="D45" s="62"/>
      <c r="E45" s="62"/>
    </row>
    <row r="46" spans="2:5" x14ac:dyDescent="0.25">
      <c r="C46" s="62"/>
      <c r="D46" s="62"/>
      <c r="E46" s="62"/>
    </row>
    <row r="51" spans="2:6" x14ac:dyDescent="0.25">
      <c r="B51" s="64"/>
      <c r="C51" s="64"/>
      <c r="D51" s="64"/>
      <c r="E51" s="64"/>
    </row>
    <row r="52" spans="2:6" x14ac:dyDescent="0.25">
      <c r="B52" s="64"/>
      <c r="C52" s="64"/>
      <c r="D52" s="64"/>
      <c r="E52" s="64"/>
      <c r="F52" s="64"/>
    </row>
    <row r="53" spans="2:6" x14ac:dyDescent="0.25">
      <c r="B53" s="64"/>
      <c r="C53" s="64"/>
      <c r="D53" s="64"/>
      <c r="E53" s="64"/>
      <c r="F53" s="64"/>
    </row>
    <row r="56" spans="2:6" ht="13" x14ac:dyDescent="0.3">
      <c r="B56" s="61"/>
    </row>
    <row r="58" spans="2:6" x14ac:dyDescent="0.25">
      <c r="B58" s="64"/>
      <c r="C58" s="64"/>
      <c r="D58" s="64"/>
      <c r="E58" s="64"/>
    </row>
    <row r="63" spans="2:6" ht="13" x14ac:dyDescent="0.3">
      <c r="B63" s="61"/>
    </row>
    <row r="65" spans="2:8" x14ac:dyDescent="0.25">
      <c r="B65" s="64"/>
      <c r="C65" s="64"/>
      <c r="D65" s="64"/>
      <c r="E65" s="64"/>
      <c r="F65" s="64"/>
    </row>
    <row r="66" spans="2:8" x14ac:dyDescent="0.25">
      <c r="B66" s="64"/>
      <c r="C66" s="64"/>
      <c r="D66" s="64"/>
      <c r="E66" s="64"/>
      <c r="F66" s="64"/>
    </row>
    <row r="67" spans="2:8" x14ac:dyDescent="0.25">
      <c r="B67" s="64"/>
      <c r="C67" s="64"/>
      <c r="D67" s="64"/>
      <c r="E67" s="64"/>
      <c r="F67" s="64"/>
      <c r="G67" s="64"/>
      <c r="H67" s="64"/>
    </row>
    <row r="68" spans="2:8" x14ac:dyDescent="0.25">
      <c r="B68" s="64"/>
      <c r="C68" s="64"/>
      <c r="D68" s="64"/>
      <c r="E68" s="64"/>
    </row>
  </sheetData>
  <mergeCells count="8">
    <mergeCell ref="B67:H67"/>
    <mergeCell ref="B68:E68"/>
    <mergeCell ref="B51:E51"/>
    <mergeCell ref="B52:F52"/>
    <mergeCell ref="B53:F53"/>
    <mergeCell ref="B58:E58"/>
    <mergeCell ref="B65:F65"/>
    <mergeCell ref="B66:F66"/>
  </mergeCells>
  <printOptions horizontalCentered="1" headings="1"/>
  <pageMargins left="0.5" right="0.5" top="0.75" bottom="0.75" header="0.5" footer="0.5"/>
  <pageSetup scale="81" orientation="landscape" horizontalDpi="300" verticalDpi="300" r:id="rId1"/>
  <headerFooter alignWithMargins="0">
    <oddHeader>&amp;L&amp;F&amp;R&amp;D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76</vt:i4>
      </vt:variant>
    </vt:vector>
  </HeadingPairs>
  <TitlesOfParts>
    <vt:vector size="79" baseType="lpstr">
      <vt:lpstr>First Best</vt:lpstr>
      <vt:lpstr>Whole Sale</vt:lpstr>
      <vt:lpstr>Buy Back</vt:lpstr>
      <vt:lpstr>B</vt:lpstr>
      <vt:lpstr>'Buy Back'!C_</vt:lpstr>
      <vt:lpstr>'First Best'!C_</vt:lpstr>
      <vt:lpstr>C_</vt:lpstr>
      <vt:lpstr>'Buy Back'!CO</vt:lpstr>
      <vt:lpstr>'First Best'!CO</vt:lpstr>
      <vt:lpstr>CO</vt:lpstr>
      <vt:lpstr>COST</vt:lpstr>
      <vt:lpstr>'Buy Back'!COST_P</vt:lpstr>
      <vt:lpstr>COST_P</vt:lpstr>
      <vt:lpstr>'Buy Back'!COST_W</vt:lpstr>
      <vt:lpstr>COST_W</vt:lpstr>
      <vt:lpstr>'Buy Back'!CR</vt:lpstr>
      <vt:lpstr>'First Best'!CR</vt:lpstr>
      <vt:lpstr>CR</vt:lpstr>
      <vt:lpstr>'Buy Back'!CU</vt:lpstr>
      <vt:lpstr>'First Best'!CU</vt:lpstr>
      <vt:lpstr>CU</vt:lpstr>
      <vt:lpstr>'Buy Back'!fz</vt:lpstr>
      <vt:lpstr>'First Best'!fz</vt:lpstr>
      <vt:lpstr>fz</vt:lpstr>
      <vt:lpstr>'Buy Back'!Fz_</vt:lpstr>
      <vt:lpstr>'First Best'!Fz_</vt:lpstr>
      <vt:lpstr>Fz_</vt:lpstr>
      <vt:lpstr>G</vt:lpstr>
      <vt:lpstr>'Buy Back'!G_P</vt:lpstr>
      <vt:lpstr>G_P</vt:lpstr>
      <vt:lpstr>'Buy Back'!G_W</vt:lpstr>
      <vt:lpstr>G_W</vt:lpstr>
      <vt:lpstr>'Buy Back'!LEFTOVER</vt:lpstr>
      <vt:lpstr>'First Best'!LEFTOVER</vt:lpstr>
      <vt:lpstr>LEFTOVER</vt:lpstr>
      <vt:lpstr>'Buy Back'!LOSTSALES</vt:lpstr>
      <vt:lpstr>'First Best'!LOSTSALES</vt:lpstr>
      <vt:lpstr>LOSTSALES</vt:lpstr>
      <vt:lpstr>'Buy Back'!Lz</vt:lpstr>
      <vt:lpstr>'First Best'!Lz</vt:lpstr>
      <vt:lpstr>Lz</vt:lpstr>
      <vt:lpstr>'Buy Back'!MD</vt:lpstr>
      <vt:lpstr>'First Best'!MD</vt:lpstr>
      <vt:lpstr>MD</vt:lpstr>
      <vt:lpstr>'Buy Back'!P</vt:lpstr>
      <vt:lpstr>'First Best'!P</vt:lpstr>
      <vt:lpstr>P</vt:lpstr>
      <vt:lpstr>'Buy Back'!PROFIT</vt:lpstr>
      <vt:lpstr>'First Best'!PROFIT</vt:lpstr>
      <vt:lpstr>PROFIT</vt:lpstr>
      <vt:lpstr>'Buy Back'!PROFIT_P</vt:lpstr>
      <vt:lpstr>PROFIT_P</vt:lpstr>
      <vt:lpstr>'Buy Back'!PROFIT_W</vt:lpstr>
      <vt:lpstr>PROFIT_W</vt:lpstr>
      <vt:lpstr>'Buy Back'!Q</vt:lpstr>
      <vt:lpstr>'First Best'!Q</vt:lpstr>
      <vt:lpstr>Q</vt:lpstr>
      <vt:lpstr>'Buy Back'!Qstar</vt:lpstr>
      <vt:lpstr>'First Best'!Qstar</vt:lpstr>
      <vt:lpstr>Qstar</vt:lpstr>
      <vt:lpstr>REV</vt:lpstr>
      <vt:lpstr>'Buy Back'!REV_P</vt:lpstr>
      <vt:lpstr>REV_P</vt:lpstr>
      <vt:lpstr>'Buy Back'!REV_W</vt:lpstr>
      <vt:lpstr>REV_W</vt:lpstr>
      <vt:lpstr>'Buy Back'!S</vt:lpstr>
      <vt:lpstr>'First Best'!S</vt:lpstr>
      <vt:lpstr>S</vt:lpstr>
      <vt:lpstr>'Buy Back'!SALES</vt:lpstr>
      <vt:lpstr>'First Best'!SALES</vt:lpstr>
      <vt:lpstr>SALES</vt:lpstr>
      <vt:lpstr>'Buy Back'!SD</vt:lpstr>
      <vt:lpstr>'First Best'!SD</vt:lpstr>
      <vt:lpstr>SD</vt:lpstr>
      <vt:lpstr>'Buy Back'!W</vt:lpstr>
      <vt:lpstr>W</vt:lpstr>
      <vt:lpstr>'Buy Back'!z</vt:lpstr>
      <vt:lpstr>'First Best'!z</vt:lpstr>
      <vt:lpstr>z</vt:lpstr>
    </vt:vector>
  </TitlesOfParts>
  <Company>PSU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KPG</dc:title>
  <dc:subject>Production rate perspectives</dc:subject>
  <dc:creator>John E. Tyworth</dc:creator>
  <cp:lastModifiedBy>sande</cp:lastModifiedBy>
  <cp:lastPrinted>2004-03-11T01:30:28Z</cp:lastPrinted>
  <dcterms:created xsi:type="dcterms:W3CDTF">1999-12-31T14:45:35Z</dcterms:created>
  <dcterms:modified xsi:type="dcterms:W3CDTF">2018-04-21T01:31:07Z</dcterms:modified>
</cp:coreProperties>
</file>