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showInkAnnotation="0" checkCompatibility="1"/>
  <mc:AlternateContent xmlns:mc="http://schemas.openxmlformats.org/markup-compatibility/2006">
    <mc:Choice Requires="x15">
      <x15ac:absPath xmlns:x15ac="http://schemas.microsoft.com/office/spreadsheetml/2010/11/ac" url="/Users/gopuprakash/git/IIMB_BDA/Module1Assignment/"/>
    </mc:Choice>
  </mc:AlternateContent>
  <xr:revisionPtr revIDLastSave="0" documentId="8_{315E4895-8862-374B-A6F9-120D0C2AC79F}" xr6:coauthVersionLast="36" xr6:coauthVersionMax="36" xr10:uidLastSave="{00000000-0000-0000-0000-000000000000}"/>
  <bookViews>
    <workbookView xWindow="1100" yWindow="460" windowWidth="27700" windowHeight="16000" firstSheet="2" activeTab="6" xr2:uid="{00000000-000D-0000-FFFF-FFFF00000000}"/>
  </bookViews>
  <sheets>
    <sheet name="FinalBill" sheetId="4" r:id="rId1"/>
    <sheet name="Question1" sheetId="5" r:id="rId2"/>
    <sheet name="Question2" sheetId="6" r:id="rId3"/>
    <sheet name="Sheet4" sheetId="8" r:id="rId4"/>
    <sheet name="Question3" sheetId="7" r:id="rId5"/>
    <sheet name="Question5" sheetId="9" r:id="rId6"/>
    <sheet name="Question6" sheetId="10" r:id="rId7"/>
    <sheet name="Question7" sheetId="11" r:id="rId8"/>
    <sheet name="Question19" sheetId="13" r:id="rId9"/>
    <sheet name="Question20" sheetId="14" r:id="rId10"/>
    <sheet name="Question21" sheetId="15" r:id="rId11"/>
    <sheet name="Question 22" sheetId="16" r:id="rId12"/>
    <sheet name="Question 23" sheetId="17" r:id="rId13"/>
    <sheet name="Question 24" sheetId="19" r:id="rId14"/>
    <sheet name="Question 25" sheetId="20" r:id="rId15"/>
    <sheet name="Question 26 27" sheetId="21" r:id="rId16"/>
    <sheet name="Question 28" sheetId="22" r:id="rId17"/>
    <sheet name="Question 30" sheetId="23" r:id="rId18"/>
  </sheets>
  <definedNames>
    <definedName name="_xlnm._FilterDatabase" localSheetId="0" hidden="1">FinalBill!$A$1:$T$105</definedName>
    <definedName name="_xlnm._FilterDatabase" localSheetId="15" hidden="1">'Question 26 27'!$A$1:$K$106</definedName>
    <definedName name="_xlnm._FilterDatabase" localSheetId="5" hidden="1">Question5!$A$1:$C$105</definedName>
    <definedName name="_xlnm._FilterDatabase" localSheetId="6" hidden="1">Question6!$A$1:$W$123</definedName>
  </definedNames>
  <calcPr calcId="162913"/>
  <pivotCaches>
    <pivotCache cacheId="93" r:id="rId19"/>
    <pivotCache cacheId="94" r:id="rId20"/>
    <pivotCache cacheId="95" r:id="rId21"/>
    <pivotCache cacheId="96" r:id="rId22"/>
    <pivotCache cacheId="97" r:id="rId23"/>
  </pivotCaches>
</workbook>
</file>

<file path=xl/calcChain.xml><?xml version="1.0" encoding="utf-8"?>
<calcChain xmlns="http://schemas.openxmlformats.org/spreadsheetml/2006/main">
  <c r="M2" i="10" l="1"/>
  <c r="F15" i="22"/>
  <c r="F13" i="22"/>
  <c r="G92" i="21"/>
  <c r="F70" i="21"/>
  <c r="D87" i="21"/>
  <c r="I78" i="21"/>
  <c r="F71" i="21"/>
  <c r="F72" i="21"/>
  <c r="F73" i="21"/>
  <c r="F74" i="21"/>
  <c r="F69" i="21"/>
  <c r="F68" i="21"/>
  <c r="F45" i="21"/>
  <c r="F46" i="21"/>
  <c r="F47" i="21"/>
  <c r="F48" i="21"/>
  <c r="F49" i="21"/>
  <c r="F50" i="21"/>
  <c r="F51" i="21"/>
  <c r="F52" i="21"/>
  <c r="F53" i="21"/>
  <c r="F54" i="21"/>
  <c r="F55" i="21"/>
  <c r="F56" i="21"/>
  <c r="F57" i="21"/>
  <c r="F58" i="21"/>
  <c r="F59" i="21"/>
  <c r="F60" i="21"/>
  <c r="F61" i="21"/>
  <c r="F44" i="21"/>
  <c r="B3" i="21"/>
  <c r="B4" i="21"/>
  <c r="B5" i="21"/>
  <c r="B6" i="21"/>
  <c r="B7" i="21"/>
  <c r="B8" i="21"/>
  <c r="B9" i="21"/>
  <c r="B10" i="21"/>
  <c r="B11" i="21"/>
  <c r="B12" i="21"/>
  <c r="B13" i="21"/>
  <c r="B14" i="21"/>
  <c r="B15" i="21"/>
  <c r="B16" i="21"/>
  <c r="B17" i="21"/>
  <c r="B18" i="21"/>
  <c r="B19" i="21"/>
  <c r="B20" i="21"/>
  <c r="B21" i="21"/>
  <c r="B22" i="21"/>
  <c r="B23" i="21"/>
  <c r="B24" i="21"/>
  <c r="B25" i="21"/>
  <c r="B26" i="21"/>
  <c r="B27" i="21"/>
  <c r="B28" i="21"/>
  <c r="B29" i="21"/>
  <c r="B30" i="21"/>
  <c r="B31" i="21"/>
  <c r="B32" i="21"/>
  <c r="B33" i="21"/>
  <c r="B34" i="21"/>
  <c r="B35" i="21"/>
  <c r="B36" i="21"/>
  <c r="B37" i="21"/>
  <c r="B38" i="21"/>
  <c r="B39" i="21"/>
  <c r="B40" i="21"/>
  <c r="B41" i="21"/>
  <c r="B43" i="21"/>
  <c r="B44" i="21"/>
  <c r="B45" i="21"/>
  <c r="B46" i="21"/>
  <c r="B47" i="21"/>
  <c r="B48" i="21"/>
  <c r="B49" i="21"/>
  <c r="B50" i="21"/>
  <c r="B51" i="21"/>
  <c r="B52" i="21"/>
  <c r="B53" i="21"/>
  <c r="B54" i="21"/>
  <c r="B55" i="21"/>
  <c r="B56" i="21"/>
  <c r="B57" i="21"/>
  <c r="B58" i="21"/>
  <c r="B59" i="21"/>
  <c r="B60" i="21"/>
  <c r="B61" i="21"/>
  <c r="B62" i="21"/>
  <c r="B63" i="21"/>
  <c r="B64" i="21"/>
  <c r="B65" i="21"/>
  <c r="B66" i="21"/>
  <c r="B67" i="21"/>
  <c r="B68" i="21"/>
  <c r="B69" i="21"/>
  <c r="B70" i="21"/>
  <c r="B71" i="21"/>
  <c r="B72" i="21"/>
  <c r="B73" i="21"/>
  <c r="B74" i="21"/>
  <c r="B75" i="21"/>
  <c r="B76" i="21"/>
  <c r="B77" i="21"/>
  <c r="B78" i="21"/>
  <c r="B79" i="21"/>
  <c r="B80" i="21"/>
  <c r="B81" i="21"/>
  <c r="B82" i="21"/>
  <c r="B83" i="21"/>
  <c r="B84" i="21"/>
  <c r="B85" i="21"/>
  <c r="B86" i="21"/>
  <c r="B87" i="21"/>
  <c r="B88" i="21"/>
  <c r="B89" i="21"/>
  <c r="B90" i="21"/>
  <c r="B91" i="21"/>
  <c r="B92" i="21"/>
  <c r="B93" i="21"/>
  <c r="B94" i="21"/>
  <c r="B95" i="21"/>
  <c r="B96" i="21"/>
  <c r="B97" i="21"/>
  <c r="B98" i="21"/>
  <c r="B99" i="21"/>
  <c r="B100" i="21"/>
  <c r="B101" i="21"/>
  <c r="B102" i="21"/>
  <c r="B103" i="21"/>
  <c r="B104" i="21"/>
  <c r="B105" i="21"/>
  <c r="B106" i="21"/>
  <c r="E68" i="21" s="1" a="1"/>
  <c r="E68" i="21" s="1"/>
  <c r="B2" i="21"/>
  <c r="E20" i="21"/>
  <c r="E19" i="21"/>
  <c r="E12" i="21"/>
  <c r="E13" i="21" s="1"/>
  <c r="C12" i="17"/>
  <c r="F5" i="20"/>
  <c r="F4" i="20"/>
  <c r="F9" i="20"/>
  <c r="F8" i="20"/>
  <c r="E13" i="19"/>
  <c r="E14" i="19" s="1"/>
  <c r="E11" i="19"/>
  <c r="D8" i="17"/>
  <c r="L4" i="16"/>
  <c r="L6" i="16"/>
  <c r="L5" i="16"/>
  <c r="L7" i="16"/>
  <c r="E105" i="16"/>
  <c r="D105" i="16"/>
  <c r="E104" i="16"/>
  <c r="D104" i="16"/>
  <c r="E103" i="16"/>
  <c r="D103" i="16"/>
  <c r="E102" i="16"/>
  <c r="D102" i="16"/>
  <c r="E101" i="16"/>
  <c r="D101" i="16"/>
  <c r="E100" i="16"/>
  <c r="D100" i="16"/>
  <c r="E99" i="16"/>
  <c r="D99" i="16"/>
  <c r="E98" i="16"/>
  <c r="D98" i="16"/>
  <c r="E97" i="16"/>
  <c r="D97" i="16"/>
  <c r="E96" i="16"/>
  <c r="D96" i="16"/>
  <c r="E95" i="16"/>
  <c r="D95" i="16"/>
  <c r="E94" i="16"/>
  <c r="D94" i="16"/>
  <c r="E93" i="16"/>
  <c r="D93" i="16"/>
  <c r="E92" i="16"/>
  <c r="D92" i="16"/>
  <c r="E91" i="16"/>
  <c r="D91" i="16"/>
  <c r="E90" i="16"/>
  <c r="D90" i="16"/>
  <c r="E89" i="16"/>
  <c r="D89" i="16"/>
  <c r="E88" i="16"/>
  <c r="D88" i="16"/>
  <c r="E87" i="16"/>
  <c r="D87" i="16"/>
  <c r="E86" i="16"/>
  <c r="D86" i="16"/>
  <c r="E85" i="16"/>
  <c r="D85" i="16"/>
  <c r="E84" i="16"/>
  <c r="D84" i="16"/>
  <c r="E83" i="16"/>
  <c r="D83" i="16"/>
  <c r="E82" i="16"/>
  <c r="D82" i="16"/>
  <c r="E81" i="16"/>
  <c r="D81" i="16"/>
  <c r="E80" i="16"/>
  <c r="D80" i="16"/>
  <c r="E79" i="16"/>
  <c r="D79" i="16"/>
  <c r="E78" i="16"/>
  <c r="D78" i="16"/>
  <c r="E77" i="16"/>
  <c r="D77" i="16"/>
  <c r="E76" i="16"/>
  <c r="D76" i="16"/>
  <c r="E75" i="16"/>
  <c r="D75" i="16"/>
  <c r="E74" i="16"/>
  <c r="D74" i="16"/>
  <c r="E73" i="16"/>
  <c r="D73" i="16"/>
  <c r="E72" i="16"/>
  <c r="D72" i="16"/>
  <c r="E71" i="16"/>
  <c r="D71" i="16"/>
  <c r="E70" i="16"/>
  <c r="D70" i="16"/>
  <c r="E69" i="16"/>
  <c r="D69" i="16"/>
  <c r="E68" i="16"/>
  <c r="D68" i="16"/>
  <c r="E67" i="16"/>
  <c r="D67" i="16"/>
  <c r="E66" i="16"/>
  <c r="D66" i="16"/>
  <c r="E65" i="16"/>
  <c r="D65" i="16"/>
  <c r="E64" i="16"/>
  <c r="D64" i="16"/>
  <c r="E63" i="16"/>
  <c r="D63" i="16"/>
  <c r="E62" i="16"/>
  <c r="D62" i="16"/>
  <c r="E61" i="16"/>
  <c r="D61" i="16"/>
  <c r="E60" i="16"/>
  <c r="D60" i="16"/>
  <c r="E59" i="16"/>
  <c r="D59" i="16"/>
  <c r="E58" i="16"/>
  <c r="D58" i="16"/>
  <c r="E57" i="16"/>
  <c r="D57" i="16"/>
  <c r="E56" i="16"/>
  <c r="D56" i="16"/>
  <c r="E55" i="16"/>
  <c r="D55" i="16"/>
  <c r="E54" i="16"/>
  <c r="D54" i="16"/>
  <c r="E53" i="16"/>
  <c r="D53" i="16"/>
  <c r="E52" i="16"/>
  <c r="D52" i="16"/>
  <c r="E51" i="16"/>
  <c r="D51" i="16"/>
  <c r="E50" i="16"/>
  <c r="D50" i="16"/>
  <c r="E49" i="16"/>
  <c r="D49" i="16"/>
  <c r="E48" i="16"/>
  <c r="D48" i="16"/>
  <c r="E47" i="16"/>
  <c r="D47" i="16"/>
  <c r="E46" i="16"/>
  <c r="D46" i="16"/>
  <c r="E45" i="16"/>
  <c r="D45" i="16"/>
  <c r="E44" i="16"/>
  <c r="D44" i="16"/>
  <c r="E43" i="16"/>
  <c r="D43" i="16"/>
  <c r="E42" i="16"/>
  <c r="D42" i="16"/>
  <c r="E41" i="16"/>
  <c r="D41" i="16"/>
  <c r="E40" i="16"/>
  <c r="D40" i="16"/>
  <c r="E39" i="16"/>
  <c r="D39" i="16"/>
  <c r="E38" i="16"/>
  <c r="D38" i="16"/>
  <c r="E37" i="16"/>
  <c r="D37" i="16"/>
  <c r="E36" i="16"/>
  <c r="D36" i="16"/>
  <c r="E35" i="16"/>
  <c r="D35" i="16"/>
  <c r="E34" i="16"/>
  <c r="D34" i="16"/>
  <c r="E33" i="16"/>
  <c r="D33" i="16"/>
  <c r="E32" i="16"/>
  <c r="D32" i="16"/>
  <c r="E31" i="16"/>
  <c r="D31" i="16"/>
  <c r="E30" i="16"/>
  <c r="D30" i="16"/>
  <c r="E29" i="16"/>
  <c r="D29" i="16"/>
  <c r="E28" i="16"/>
  <c r="D28" i="16"/>
  <c r="E27" i="16"/>
  <c r="D27" i="16"/>
  <c r="E26" i="16"/>
  <c r="D26" i="16"/>
  <c r="E25" i="16"/>
  <c r="D25" i="16"/>
  <c r="E24" i="16"/>
  <c r="D24" i="16"/>
  <c r="E23" i="16"/>
  <c r="D23" i="16"/>
  <c r="E22" i="16"/>
  <c r="D22" i="16"/>
  <c r="E21" i="16"/>
  <c r="D21" i="16"/>
  <c r="E20" i="16"/>
  <c r="D20" i="16"/>
  <c r="E19" i="16"/>
  <c r="D19" i="16"/>
  <c r="E18" i="16"/>
  <c r="D18" i="16"/>
  <c r="E17" i="16"/>
  <c r="D17" i="16"/>
  <c r="E16" i="16"/>
  <c r="D16" i="16"/>
  <c r="E15" i="16"/>
  <c r="D15" i="16"/>
  <c r="E14" i="16"/>
  <c r="D14" i="16"/>
  <c r="E13" i="16"/>
  <c r="D13" i="16"/>
  <c r="E12" i="16"/>
  <c r="D12" i="16"/>
  <c r="E11" i="16"/>
  <c r="D11" i="16"/>
  <c r="E10" i="16"/>
  <c r="D10" i="16"/>
  <c r="E9" i="16"/>
  <c r="D9" i="16"/>
  <c r="E8" i="16"/>
  <c r="D8" i="16"/>
  <c r="E7" i="16"/>
  <c r="D7" i="16"/>
  <c r="E6" i="16"/>
  <c r="D6" i="16"/>
  <c r="E5" i="16"/>
  <c r="D5" i="16"/>
  <c r="E4" i="16"/>
  <c r="D4" i="16"/>
  <c r="E3" i="16"/>
  <c r="D3" i="16"/>
  <c r="E2" i="16"/>
  <c r="D2" i="16"/>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2" i="15"/>
  <c r="J4" i="14"/>
  <c r="J5" i="14"/>
  <c r="J6" i="14"/>
  <c r="I4" i="14"/>
  <c r="I5" i="14"/>
  <c r="I6" i="14"/>
  <c r="I3" i="14"/>
  <c r="J3" i="14"/>
  <c r="H3" i="14"/>
  <c r="H4" i="14"/>
  <c r="H5" i="14"/>
  <c r="H6" i="14"/>
  <c r="D105" i="15"/>
  <c r="D104" i="15"/>
  <c r="D103" i="15"/>
  <c r="D102" i="15"/>
  <c r="D101" i="15"/>
  <c r="D100" i="15"/>
  <c r="D99" i="15"/>
  <c r="D98" i="15"/>
  <c r="D97" i="15"/>
  <c r="D96" i="15"/>
  <c r="D95" i="15"/>
  <c r="D94" i="15"/>
  <c r="D93" i="15"/>
  <c r="D92" i="15"/>
  <c r="D91" i="15"/>
  <c r="D90" i="15"/>
  <c r="D89" i="15"/>
  <c r="D88" i="15"/>
  <c r="D87" i="15"/>
  <c r="D86" i="15"/>
  <c r="D85" i="15"/>
  <c r="D84" i="15"/>
  <c r="D83" i="15"/>
  <c r="D82" i="15"/>
  <c r="D81" i="15"/>
  <c r="D80" i="15"/>
  <c r="D79" i="15"/>
  <c r="D78" i="15"/>
  <c r="D77" i="15"/>
  <c r="D76" i="15"/>
  <c r="D75" i="15"/>
  <c r="D74" i="15"/>
  <c r="D73" i="15"/>
  <c r="D72" i="15"/>
  <c r="D71" i="15"/>
  <c r="D70" i="15"/>
  <c r="D69" i="15"/>
  <c r="D68" i="15"/>
  <c r="D67" i="15"/>
  <c r="D66" i="15"/>
  <c r="D65" i="15"/>
  <c r="D64" i="15"/>
  <c r="D63" i="15"/>
  <c r="D62" i="15"/>
  <c r="D61" i="15"/>
  <c r="D60" i="15"/>
  <c r="D59" i="15"/>
  <c r="D58" i="15"/>
  <c r="D57" i="15"/>
  <c r="D56" i="15"/>
  <c r="D55" i="15"/>
  <c r="D54" i="15"/>
  <c r="D53" i="15"/>
  <c r="D52" i="15"/>
  <c r="D51" i="15"/>
  <c r="D50" i="15"/>
  <c r="D49" i="15"/>
  <c r="D48" i="15"/>
  <c r="D47" i="15"/>
  <c r="D46" i="15"/>
  <c r="D45" i="15"/>
  <c r="D44" i="15"/>
  <c r="D43" i="15"/>
  <c r="D42" i="15"/>
  <c r="D41" i="15"/>
  <c r="D40" i="15"/>
  <c r="D39" i="15"/>
  <c r="D38" i="15"/>
  <c r="D37" i="15"/>
  <c r="D36" i="15"/>
  <c r="D35" i="15"/>
  <c r="D34" i="15"/>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D5" i="15"/>
  <c r="D4" i="15"/>
  <c r="D3" i="15"/>
  <c r="D2" i="15"/>
  <c r="B22" i="14"/>
  <c r="B14" i="14"/>
  <c r="B11" i="14"/>
  <c r="B18" i="14"/>
  <c r="G9" i="13"/>
  <c r="G8" i="13"/>
  <c r="E17" i="13"/>
  <c r="C14" i="13"/>
  <c r="D14" i="13"/>
  <c r="E14" i="13"/>
  <c r="D15" i="13"/>
  <c r="E15" i="13"/>
  <c r="D16" i="13"/>
  <c r="E16" i="13"/>
  <c r="D17" i="13"/>
  <c r="C3" i="11"/>
  <c r="C4"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C35" i="11"/>
  <c r="C36" i="11"/>
  <c r="C37" i="11"/>
  <c r="C38" i="11"/>
  <c r="C39" i="11"/>
  <c r="C40" i="11"/>
  <c r="C41" i="11"/>
  <c r="C42" i="11"/>
  <c r="C43" i="11"/>
  <c r="C44" i="11"/>
  <c r="C45" i="11"/>
  <c r="C46" i="11"/>
  <c r="C47" i="11"/>
  <c r="C48" i="11"/>
  <c r="C49" i="11"/>
  <c r="C50" i="11"/>
  <c r="C51" i="11"/>
  <c r="C52" i="11"/>
  <c r="C53" i="11"/>
  <c r="C54" i="11"/>
  <c r="C55" i="11"/>
  <c r="C56" i="11"/>
  <c r="C57" i="11"/>
  <c r="C58" i="11"/>
  <c r="C59" i="11"/>
  <c r="C60" i="11"/>
  <c r="C61" i="11"/>
  <c r="C62" i="11"/>
  <c r="C63" i="11"/>
  <c r="C64" i="11"/>
  <c r="C65" i="11"/>
  <c r="C66" i="11"/>
  <c r="C67" i="11"/>
  <c r="C68" i="11"/>
  <c r="C69" i="11"/>
  <c r="C70" i="11"/>
  <c r="C71" i="11"/>
  <c r="C72" i="11"/>
  <c r="C73" i="11"/>
  <c r="C74" i="11"/>
  <c r="C75" i="11"/>
  <c r="C76" i="11"/>
  <c r="C77" i="11"/>
  <c r="C78" i="11"/>
  <c r="C79" i="11"/>
  <c r="C80" i="11"/>
  <c r="C81" i="11"/>
  <c r="C82" i="11"/>
  <c r="C83" i="11"/>
  <c r="C84" i="11"/>
  <c r="C85" i="11"/>
  <c r="C86" i="11"/>
  <c r="C87" i="11"/>
  <c r="C88" i="11"/>
  <c r="C89" i="11"/>
  <c r="C90" i="11"/>
  <c r="C91" i="11"/>
  <c r="C92" i="11"/>
  <c r="C93" i="11"/>
  <c r="C94" i="11"/>
  <c r="C95" i="11"/>
  <c r="C96" i="11"/>
  <c r="C97" i="11"/>
  <c r="C98" i="11"/>
  <c r="C99" i="11"/>
  <c r="C100" i="11"/>
  <c r="C101" i="11"/>
  <c r="C102" i="11"/>
  <c r="C103" i="11"/>
  <c r="C104" i="11"/>
  <c r="C105" i="11"/>
  <c r="C2" i="11"/>
  <c r="M30" i="10"/>
  <c r="I4" i="11"/>
  <c r="I5" i="11"/>
  <c r="I6" i="11"/>
  <c r="F13" i="20" l="1"/>
  <c r="K10" i="16"/>
  <c r="F15" i="20"/>
  <c r="E72" i="21"/>
  <c r="E71" i="21"/>
  <c r="E74" i="21"/>
  <c r="E70" i="21"/>
  <c r="E75" i="21" s="1"/>
  <c r="E73" i="21"/>
  <c r="E69" i="21"/>
  <c r="E44" i="21" a="1"/>
  <c r="E44" i="21" s="1"/>
  <c r="E23" i="19"/>
  <c r="E28" i="19" s="1"/>
  <c r="E30" i="19" s="1"/>
  <c r="E22" i="19"/>
  <c r="E21" i="19"/>
  <c r="E24" i="19" s="1"/>
  <c r="E26" i="19" s="1"/>
  <c r="E20" i="19"/>
  <c r="K9" i="16"/>
  <c r="K11" i="16"/>
  <c r="C17" i="13"/>
  <c r="C16" i="13"/>
  <c r="C15" i="13"/>
  <c r="Y18" i="10"/>
  <c r="M3" i="10"/>
  <c r="M4" i="10"/>
  <c r="M5" i="10"/>
  <c r="M6" i="10"/>
  <c r="M7" i="10"/>
  <c r="M8" i="10"/>
  <c r="M9" i="10"/>
  <c r="M10" i="10"/>
  <c r="M11" i="10"/>
  <c r="M12" i="10"/>
  <c r="M13" i="10"/>
  <c r="M14" i="10"/>
  <c r="M15" i="10"/>
  <c r="M16" i="10"/>
  <c r="M17" i="10"/>
  <c r="M18" i="10"/>
  <c r="M19" i="10"/>
  <c r="M20" i="10"/>
  <c r="M21" i="10"/>
  <c r="M22" i="10"/>
  <c r="M23" i="10"/>
  <c r="M24" i="10"/>
  <c r="M25" i="10"/>
  <c r="M26" i="10"/>
  <c r="M27" i="10"/>
  <c r="M28" i="10"/>
  <c r="M29" i="10"/>
  <c r="M31" i="10"/>
  <c r="M32" i="10"/>
  <c r="M33" i="10"/>
  <c r="M34" i="10"/>
  <c r="M35" i="10"/>
  <c r="M36" i="10"/>
  <c r="M37" i="10"/>
  <c r="M38" i="10"/>
  <c r="M39" i="10"/>
  <c r="M40" i="10"/>
  <c r="M41" i="10"/>
  <c r="M42" i="10"/>
  <c r="M43" i="10"/>
  <c r="M44" i="10"/>
  <c r="M45" i="10"/>
  <c r="M46" i="10"/>
  <c r="M47" i="10"/>
  <c r="M48" i="10"/>
  <c r="M49" i="10"/>
  <c r="M50" i="10"/>
  <c r="M51" i="10"/>
  <c r="M52" i="10"/>
  <c r="M53" i="10"/>
  <c r="M54" i="10"/>
  <c r="M55" i="10"/>
  <c r="M56" i="10"/>
  <c r="M57" i="10"/>
  <c r="M58" i="10"/>
  <c r="M59" i="10"/>
  <c r="M60" i="10"/>
  <c r="M61" i="10"/>
  <c r="M62"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M102" i="10"/>
  <c r="M103" i="10"/>
  <c r="M104" i="10"/>
  <c r="M105" i="10"/>
  <c r="K4" i="10"/>
  <c r="K5" i="10"/>
  <c r="K6" i="10"/>
  <c r="K7" i="10"/>
  <c r="K8" i="10"/>
  <c r="K9" i="10"/>
  <c r="K10" i="10"/>
  <c r="K11" i="10"/>
  <c r="K12" i="10"/>
  <c r="K13" i="10"/>
  <c r="K14" i="10"/>
  <c r="K15" i="10"/>
  <c r="K16" i="10"/>
  <c r="K17" i="10"/>
  <c r="K18" i="10"/>
  <c r="K19" i="10"/>
  <c r="K20" i="10"/>
  <c r="K21" i="10"/>
  <c r="K22" i="10"/>
  <c r="K23" i="10"/>
  <c r="K24" i="10"/>
  <c r="K25" i="10"/>
  <c r="K26" i="10"/>
  <c r="K27" i="10"/>
  <c r="K28" i="10"/>
  <c r="K29" i="10"/>
  <c r="K30" i="10"/>
  <c r="K31" i="10"/>
  <c r="K32" i="10"/>
  <c r="K33" i="10"/>
  <c r="K34" i="10"/>
  <c r="K35" i="10"/>
  <c r="K36" i="10"/>
  <c r="K37" i="10"/>
  <c r="K38" i="10"/>
  <c r="K39" i="10"/>
  <c r="K40" i="10"/>
  <c r="K41" i="10"/>
  <c r="K42" i="10"/>
  <c r="K43" i="10"/>
  <c r="K44" i="10"/>
  <c r="K45" i="10"/>
  <c r="K46" i="10"/>
  <c r="K47" i="10"/>
  <c r="K48" i="10"/>
  <c r="K49" i="10"/>
  <c r="K50" i="10"/>
  <c r="K51" i="10"/>
  <c r="K52" i="10"/>
  <c r="K53" i="10"/>
  <c r="K54"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K102" i="10"/>
  <c r="K103" i="10"/>
  <c r="K104" i="10"/>
  <c r="K105" i="10"/>
  <c r="K3" i="10"/>
  <c r="K2" i="10"/>
  <c r="N2" i="10" s="1"/>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2" i="9"/>
  <c r="C108" i="9" l="1"/>
  <c r="G90" i="21"/>
  <c r="G71" i="21"/>
  <c r="G68" i="21"/>
  <c r="H68" i="21" s="1"/>
  <c r="G73" i="21"/>
  <c r="H73" i="21" s="1"/>
  <c r="G72" i="21"/>
  <c r="H72" i="21" s="1"/>
  <c r="G74" i="21"/>
  <c r="H74" i="21" s="1"/>
  <c r="G69" i="21"/>
  <c r="H69" i="21" s="1"/>
  <c r="G70" i="21"/>
  <c r="H70" i="21" s="1"/>
  <c r="H71" i="21"/>
  <c r="E60" i="21"/>
  <c r="E56" i="21"/>
  <c r="E53" i="21"/>
  <c r="E61" i="21"/>
  <c r="E59" i="21"/>
  <c r="E46" i="21"/>
  <c r="E49" i="21"/>
  <c r="E45" i="21"/>
  <c r="E58" i="21"/>
  <c r="E54" i="21"/>
  <c r="E57" i="21"/>
  <c r="E48" i="21"/>
  <c r="E47" i="21"/>
  <c r="E51" i="21"/>
  <c r="E52" i="21"/>
  <c r="E55" i="21"/>
  <c r="E50" i="21"/>
  <c r="N98" i="10"/>
  <c r="N90" i="10"/>
  <c r="N82" i="10"/>
  <c r="N74" i="10"/>
  <c r="N66" i="10"/>
  <c r="N58" i="10"/>
  <c r="N50" i="10"/>
  <c r="N42" i="10"/>
  <c r="N34" i="10"/>
  <c r="N26" i="10"/>
  <c r="N18" i="10"/>
  <c r="N10" i="10"/>
  <c r="Y19" i="10"/>
  <c r="Y20" i="10" s="1"/>
  <c r="Y21" i="10" s="1"/>
  <c r="Y22" i="10" s="1"/>
  <c r="Y23" i="10" s="1"/>
  <c r="Y24" i="10" s="1"/>
  <c r="Y25" i="10" s="1"/>
  <c r="Y26" i="10" s="1"/>
  <c r="Y27" i="10" s="1"/>
  <c r="Y28" i="10" s="1"/>
  <c r="Y29" i="10" s="1"/>
  <c r="Y30" i="10" s="1"/>
  <c r="Y31" i="10" s="1"/>
  <c r="Y32" i="10" s="1"/>
  <c r="Y33" i="10" s="1"/>
  <c r="Y34" i="10" s="1"/>
  <c r="Y35" i="10" s="1"/>
  <c r="N105" i="10"/>
  <c r="N97" i="10"/>
  <c r="N89" i="10"/>
  <c r="N81" i="10"/>
  <c r="N73" i="10"/>
  <c r="N65" i="10"/>
  <c r="N57" i="10"/>
  <c r="N49" i="10"/>
  <c r="N41" i="10"/>
  <c r="N33" i="10"/>
  <c r="N25" i="10"/>
  <c r="N17" i="10"/>
  <c r="N9" i="10"/>
  <c r="N104" i="10"/>
  <c r="N96" i="10"/>
  <c r="N88" i="10"/>
  <c r="N80" i="10"/>
  <c r="N72" i="10"/>
  <c r="N64" i="10"/>
  <c r="N56" i="10"/>
  <c r="N48" i="10"/>
  <c r="N40" i="10"/>
  <c r="N32" i="10"/>
  <c r="N24" i="10"/>
  <c r="N16" i="10"/>
  <c r="N8" i="10"/>
  <c r="N103" i="10"/>
  <c r="N95" i="10"/>
  <c r="N87" i="10"/>
  <c r="N79" i="10"/>
  <c r="N71" i="10"/>
  <c r="N63" i="10"/>
  <c r="N55" i="10"/>
  <c r="N47" i="10"/>
  <c r="N39" i="10"/>
  <c r="N31" i="10"/>
  <c r="N23" i="10"/>
  <c r="N15" i="10"/>
  <c r="N7" i="10"/>
  <c r="N102" i="10"/>
  <c r="N94" i="10"/>
  <c r="N86" i="10"/>
  <c r="N78" i="10"/>
  <c r="N70" i="10"/>
  <c r="N62" i="10"/>
  <c r="N54" i="10"/>
  <c r="N46" i="10"/>
  <c r="N38" i="10"/>
  <c r="N30" i="10"/>
  <c r="N22" i="10"/>
  <c r="N14" i="10"/>
  <c r="N6" i="10"/>
  <c r="N101" i="10"/>
  <c r="N93" i="10"/>
  <c r="N85" i="10"/>
  <c r="N77" i="10"/>
  <c r="N69" i="10"/>
  <c r="N61" i="10"/>
  <c r="N53" i="10"/>
  <c r="N45" i="10"/>
  <c r="N37" i="10"/>
  <c r="N29" i="10"/>
  <c r="N21" i="10"/>
  <c r="N13" i="10"/>
  <c r="N5" i="10"/>
  <c r="N100" i="10"/>
  <c r="N92" i="10"/>
  <c r="N84" i="10"/>
  <c r="N76" i="10"/>
  <c r="N68" i="10"/>
  <c r="N60" i="10"/>
  <c r="N52" i="10"/>
  <c r="N44" i="10"/>
  <c r="N36" i="10"/>
  <c r="N28" i="10"/>
  <c r="N20" i="10"/>
  <c r="N12" i="10"/>
  <c r="N4" i="10"/>
  <c r="N99" i="10"/>
  <c r="N91" i="10"/>
  <c r="N83" i="10"/>
  <c r="N75" i="10"/>
  <c r="N67" i="10"/>
  <c r="N59" i="10"/>
  <c r="N51" i="10"/>
  <c r="N43" i="10"/>
  <c r="N35" i="10"/>
  <c r="N27" i="10"/>
  <c r="N19" i="10"/>
  <c r="N11" i="10"/>
  <c r="N3" i="10"/>
  <c r="C107" i="9"/>
  <c r="E62" i="21" l="1"/>
  <c r="H75" i="21"/>
  <c r="G61" i="21"/>
  <c r="G48" i="21"/>
  <c r="G49" i="21"/>
  <c r="G51" i="21"/>
  <c r="G53" i="21"/>
  <c r="G57" i="21"/>
  <c r="G47" i="21"/>
  <c r="G54" i="21"/>
  <c r="G50" i="21"/>
  <c r="G58" i="21"/>
  <c r="G59" i="21"/>
  <c r="G52" i="21"/>
  <c r="G44" i="21"/>
  <c r="G55" i="21"/>
  <c r="G46" i="21"/>
  <c r="G60" i="21"/>
  <c r="G45" i="21"/>
  <c r="G56" i="21"/>
  <c r="N111" i="10"/>
  <c r="N108" i="10"/>
  <c r="Z17" i="10" s="1" a="1"/>
  <c r="N107" i="10"/>
  <c r="Z17" i="10" l="1"/>
  <c r="Z29" i="10"/>
  <c r="Z35" i="10"/>
  <c r="Z34" i="10"/>
  <c r="Z23" i="10"/>
  <c r="Z31" i="10"/>
  <c r="Z21" i="10"/>
  <c r="Z27" i="10"/>
  <c r="Z19" i="10"/>
  <c r="Z28" i="10"/>
  <c r="Z20" i="10"/>
  <c r="Z24" i="10"/>
  <c r="Z33" i="10"/>
  <c r="Z30" i="10"/>
  <c r="Z26" i="10"/>
  <c r="Z25" i="10"/>
  <c r="Z32" i="10"/>
  <c r="Z18" i="10"/>
  <c r="Z22" i="10"/>
  <c r="Z36" i="10" l="1"/>
</calcChain>
</file>

<file path=xl/sharedStrings.xml><?xml version="1.0" encoding="utf-8"?>
<sst xmlns="http://schemas.openxmlformats.org/spreadsheetml/2006/main" count="3821" uniqueCount="804">
  <si>
    <t>Patient Type</t>
  </si>
  <si>
    <t>Category</t>
  </si>
  <si>
    <t>Pay Type</t>
  </si>
  <si>
    <t>FinalBillDate</t>
  </si>
  <si>
    <t>Registration Date</t>
  </si>
  <si>
    <t>Discharge Date</t>
  </si>
  <si>
    <t>User</t>
  </si>
  <si>
    <t>IP</t>
  </si>
  <si>
    <t>GENERAL</t>
  </si>
  <si>
    <t>CASH</t>
  </si>
  <si>
    <t>01/08/2018 16:09</t>
  </si>
  <si>
    <t>31/07/2018 07:01</t>
  </si>
  <si>
    <t>01/08/2018 16:02</t>
  </si>
  <si>
    <t>S2438</t>
  </si>
  <si>
    <t>01/08/2018 17:17</t>
  </si>
  <si>
    <t>30/07/2018 12:47</t>
  </si>
  <si>
    <t>01/08/2018 17:16</t>
  </si>
  <si>
    <t>SPONSOR</t>
  </si>
  <si>
    <t>CREDIT</t>
  </si>
  <si>
    <t>02/08/2018 20:13</t>
  </si>
  <si>
    <t>31/07/2018 21:06</t>
  </si>
  <si>
    <t>02/08/2018 20:12</t>
  </si>
  <si>
    <t>S6197</t>
  </si>
  <si>
    <t>DAY CARE</t>
  </si>
  <si>
    <t>01/08/2018 20:11</t>
  </si>
  <si>
    <t>28/06/2018 12:19</t>
  </si>
  <si>
    <t>01/08/2018 20:09</t>
  </si>
  <si>
    <t>01/08/2018 20:50</t>
  </si>
  <si>
    <t>07/07/2018 10:13</t>
  </si>
  <si>
    <t>01/08/2018 20:44</t>
  </si>
  <si>
    <t>02/08/2018 13:21</t>
  </si>
  <si>
    <t>11/07/2018 09:50</t>
  </si>
  <si>
    <t>02/08/2018 13:07</t>
  </si>
  <si>
    <t>02/08/2018 13:32</t>
  </si>
  <si>
    <t>09/07/2018 10:45</t>
  </si>
  <si>
    <t>02/08/2018 13:23</t>
  </si>
  <si>
    <t>02/08/2018 13:41</t>
  </si>
  <si>
    <t>04/07/2018 09:24</t>
  </si>
  <si>
    <t>02/08/2018 13:33</t>
  </si>
  <si>
    <t>01/08/2018 13:21</t>
  </si>
  <si>
    <t>31/07/2018 15:12</t>
  </si>
  <si>
    <t>01/08/2018 13:18</t>
  </si>
  <si>
    <t>01/08/2018 15:22</t>
  </si>
  <si>
    <t>26/07/2018 13:13</t>
  </si>
  <si>
    <t>01/08/2018 15:20</t>
  </si>
  <si>
    <t>01/08/2018 15:29</t>
  </si>
  <si>
    <t>01/08/2018 10:14</t>
  </si>
  <si>
    <t>S0643</t>
  </si>
  <si>
    <t>01/08/2018 15:43</t>
  </si>
  <si>
    <t>31/07/2018 06:47</t>
  </si>
  <si>
    <t>01/08/2018 15:42</t>
  </si>
  <si>
    <t>01/08/2018 15:45</t>
  </si>
  <si>
    <t>01/08/2018 08:57</t>
  </si>
  <si>
    <t>01/08/2018 15:44</t>
  </si>
  <si>
    <t>01/08/2018 15:59</t>
  </si>
  <si>
    <t>30/07/2018 19:39</t>
  </si>
  <si>
    <t>01/08/2018 15:56</t>
  </si>
  <si>
    <t>01/08/2018 16:43</t>
  </si>
  <si>
    <t>01/08/2018 10:06</t>
  </si>
  <si>
    <t>01/08/2018 16:42</t>
  </si>
  <si>
    <t>01/08/2018 17:30</t>
  </si>
  <si>
    <t>30/07/2018 03:41</t>
  </si>
  <si>
    <t>01/08/2018 17:28</t>
  </si>
  <si>
    <t>01/08/2018 17:56</t>
  </si>
  <si>
    <t>31/07/2018 07:49</t>
  </si>
  <si>
    <t>01/08/2018 17:54</t>
  </si>
  <si>
    <t>01/08/2018 17:58</t>
  </si>
  <si>
    <t>31/07/2018 11:11</t>
  </si>
  <si>
    <t>01/08/2018 17:57</t>
  </si>
  <si>
    <t>01/08/2018 18:04</t>
  </si>
  <si>
    <t>30/07/2018 13:35</t>
  </si>
  <si>
    <t>01/08/2018 18:03</t>
  </si>
  <si>
    <t>01/08/2018 18:09</t>
  </si>
  <si>
    <t>30/07/2018 22:14</t>
  </si>
  <si>
    <t>01/08/2018 18:08</t>
  </si>
  <si>
    <t>01/08/2018 18:15</t>
  </si>
  <si>
    <t>28/07/2018 17:05</t>
  </si>
  <si>
    <t>01/08/2018 18:14</t>
  </si>
  <si>
    <t>01/08/2018 19:44</t>
  </si>
  <si>
    <t>01/08/2018 11:44</t>
  </si>
  <si>
    <t>01/08/2018 19:43</t>
  </si>
  <si>
    <t>01/08/2018 19:46</t>
  </si>
  <si>
    <t>01/08/2018 12:50</t>
  </si>
  <si>
    <t>01/08/2018 19:45</t>
  </si>
  <si>
    <t>01/08/2018 19:51</t>
  </si>
  <si>
    <t>30/07/2018 07:18</t>
  </si>
  <si>
    <t>01/08/2018 19:48</t>
  </si>
  <si>
    <t>01/08/2018 19:58</t>
  </si>
  <si>
    <t>01/08/2018 09:31</t>
  </si>
  <si>
    <t>01/08/2018 19:56</t>
  </si>
  <si>
    <t>01/08/2018 19:59</t>
  </si>
  <si>
    <t>30/07/2018 07:39</t>
  </si>
  <si>
    <t>01/08/2018 19:57</t>
  </si>
  <si>
    <t>01/08/2018 20:55</t>
  </si>
  <si>
    <t>15/07/2018 18:44</t>
  </si>
  <si>
    <t>01/08/2018 20:52</t>
  </si>
  <si>
    <t>02/08/2018 12:10</t>
  </si>
  <si>
    <t>31/07/2018 06:38</t>
  </si>
  <si>
    <t>02/08/2018 12:09</t>
  </si>
  <si>
    <t>02/08/2018 12:37</t>
  </si>
  <si>
    <t>31/07/2018 17:52</t>
  </si>
  <si>
    <t>02/08/2018 12:36</t>
  </si>
  <si>
    <t>S1271</t>
  </si>
  <si>
    <t>02/08/2018 14:26</t>
  </si>
  <si>
    <t>31/07/2018 03:09</t>
  </si>
  <si>
    <t>02/08/2018 14:24</t>
  </si>
  <si>
    <t>02/08/2018 14:30</t>
  </si>
  <si>
    <t>01/08/2018 07:21</t>
  </si>
  <si>
    <t>02/08/2018 14:27</t>
  </si>
  <si>
    <t>02/08/2018 14:51</t>
  </si>
  <si>
    <t>30/07/2018 19:47</t>
  </si>
  <si>
    <t>02/08/2018 14:50</t>
  </si>
  <si>
    <t>02/08/2018 16:00</t>
  </si>
  <si>
    <t>28/07/2018 12:13</t>
  </si>
  <si>
    <t>02/08/2018 15:59</t>
  </si>
  <si>
    <t>02/08/2018 16:36</t>
  </si>
  <si>
    <t>30/07/2018 18:51</t>
  </si>
  <si>
    <t>02/08/2018 16:34</t>
  </si>
  <si>
    <t>02/08/2018 17:26</t>
  </si>
  <si>
    <t>01/08/2018 12:16</t>
  </si>
  <si>
    <t>02/08/2018 17:24</t>
  </si>
  <si>
    <t>02/08/2018 18:05</t>
  </si>
  <si>
    <t>31/07/2018 13:14</t>
  </si>
  <si>
    <t>02/08/2018 18:04</t>
  </si>
  <si>
    <t>02/08/2018 18:22</t>
  </si>
  <si>
    <t>31/07/2018 11:52</t>
  </si>
  <si>
    <t>02/08/2018 18:20</t>
  </si>
  <si>
    <t>02/08/2018 19:55</t>
  </si>
  <si>
    <t>30/07/2018 14:13</t>
  </si>
  <si>
    <t>02/08/2018 19:53</t>
  </si>
  <si>
    <t>02/08/2018 19:57</t>
  </si>
  <si>
    <t>02/08/2018 11:16</t>
  </si>
  <si>
    <t>02/08/2018 19:56</t>
  </si>
  <si>
    <t>02/08/2018 20:57</t>
  </si>
  <si>
    <t>27/07/2018 18:13</t>
  </si>
  <si>
    <t>02/08/2018 20:50</t>
  </si>
  <si>
    <t>01/08/2018 14:06</t>
  </si>
  <si>
    <t>27/07/2018 11:05</t>
  </si>
  <si>
    <t>01/08/2018 14:04</t>
  </si>
  <si>
    <t>S1787</t>
  </si>
  <si>
    <t>31/07/2018 16:30</t>
  </si>
  <si>
    <t>01/08/2018 19:50</t>
  </si>
  <si>
    <t>S1248</t>
  </si>
  <si>
    <t>02/08/2018 14:31</t>
  </si>
  <si>
    <t>27/07/2018 11:12</t>
  </si>
  <si>
    <t>01/08/2018 17:29</t>
  </si>
  <si>
    <t>02/08/2018 16:58</t>
  </si>
  <si>
    <t>30/07/2018 13:56</t>
  </si>
  <si>
    <t>02/08/2018 16:47</t>
  </si>
  <si>
    <t>02/08/2018 20:10</t>
  </si>
  <si>
    <t>28/07/2018 20:44</t>
  </si>
  <si>
    <t>02/08/2018 20:07</t>
  </si>
  <si>
    <t>30/07/2018 15:35</t>
  </si>
  <si>
    <t>02/08/2018 20:09</t>
  </si>
  <si>
    <t>01/08/2018 12:15</t>
  </si>
  <si>
    <t>24/07/2018 21:37</t>
  </si>
  <si>
    <t>01/08/2018 12:12</t>
  </si>
  <si>
    <t>S7071</t>
  </si>
  <si>
    <t>31/07/2018 08:02</t>
  </si>
  <si>
    <t>01/08/2018 12:49</t>
  </si>
  <si>
    <t>01/08/2018 14:05</t>
  </si>
  <si>
    <t>S1732</t>
  </si>
  <si>
    <t>01/08/2018 16:13</t>
  </si>
  <si>
    <t>28/07/2018 07:17</t>
  </si>
  <si>
    <t>01/08/2018 16:12</t>
  </si>
  <si>
    <t>S6875</t>
  </si>
  <si>
    <t>01/08/2018 09:23</t>
  </si>
  <si>
    <t>31/07/2018 14:25</t>
  </si>
  <si>
    <t>01/08/2018 18:05</t>
  </si>
  <si>
    <t>01/08/2018 18:23</t>
  </si>
  <si>
    <t>30/07/2018 07:09</t>
  </si>
  <si>
    <t>01/08/2018 18:21</t>
  </si>
  <si>
    <t>01/08/2018 18:26</t>
  </si>
  <si>
    <t>30/07/2018 11:38</t>
  </si>
  <si>
    <t>01/08/2018 18:24</t>
  </si>
  <si>
    <t>01/08/2018 18:33</t>
  </si>
  <si>
    <t>29/07/2018 19:40</t>
  </si>
  <si>
    <t>01/08/2018 18:32</t>
  </si>
  <si>
    <t>01/08/2018 18:36</t>
  </si>
  <si>
    <t>29/07/2018 12:52</t>
  </si>
  <si>
    <t>01/08/2018 18:31</t>
  </si>
  <si>
    <t>01/08/2018 18:52</t>
  </si>
  <si>
    <t>28/07/2018 13:41</t>
  </si>
  <si>
    <t>01/08/2018 18:50</t>
  </si>
  <si>
    <t>01/08/2018 18:59</t>
  </si>
  <si>
    <t>31/07/2018 07:25</t>
  </si>
  <si>
    <t>01/08/2018 18:56</t>
  </si>
  <si>
    <t>01/08/2018 19:31</t>
  </si>
  <si>
    <t>25/07/2018 21:09</t>
  </si>
  <si>
    <t>01/08/2018 19:30</t>
  </si>
  <si>
    <t>01/08/2018 19:39</t>
  </si>
  <si>
    <t>22/07/2018 18:41</t>
  </si>
  <si>
    <t>01/08/2018 19:38</t>
  </si>
  <si>
    <t>27/07/2018 12:26</t>
  </si>
  <si>
    <t>01/08/2018 19:42</t>
  </si>
  <si>
    <t>01/08/2018 19:49</t>
  </si>
  <si>
    <t>30/07/2018 19:24</t>
  </si>
  <si>
    <t>01/08/2018 19:47</t>
  </si>
  <si>
    <t>01/08/2018 20:00</t>
  </si>
  <si>
    <t>30/07/2018 10:20</t>
  </si>
  <si>
    <t>01/08/2018 20:04</t>
  </si>
  <si>
    <t>31/07/2018 11:39</t>
  </si>
  <si>
    <t>01/08/2018 20:02</t>
  </si>
  <si>
    <t>01/08/2018 20:08</t>
  </si>
  <si>
    <t>26/07/2018 12:11</t>
  </si>
  <si>
    <t>01/08/2018 20:03</t>
  </si>
  <si>
    <t>30/07/2018 08:44</t>
  </si>
  <si>
    <t>01/08/2018 20:07</t>
  </si>
  <si>
    <t>01/08/2018 20:10</t>
  </si>
  <si>
    <t>01/08/2018 11:35</t>
  </si>
  <si>
    <t>01/08/2018 10:19</t>
  </si>
  <si>
    <t>01/08/2018 20:14</t>
  </si>
  <si>
    <t>29/07/2018 13:22</t>
  </si>
  <si>
    <t>31/07/2018 11:55</t>
  </si>
  <si>
    <t>01/08/2018 20:15</t>
  </si>
  <si>
    <t>30/07/2018 11:53</t>
  </si>
  <si>
    <t>01/08/2018 20:12</t>
  </si>
  <si>
    <t>01/08/2018 20:19</t>
  </si>
  <si>
    <t>31/07/2018 12:43</t>
  </si>
  <si>
    <t>01/08/2018 20:16</t>
  </si>
  <si>
    <t>01/08/2018 20:33</t>
  </si>
  <si>
    <t>30/07/2018 06:46</t>
  </si>
  <si>
    <t>01/08/2018 20:32</t>
  </si>
  <si>
    <t>25/07/2018 13:16</t>
  </si>
  <si>
    <t>01/08/2018 20:20</t>
  </si>
  <si>
    <t>01/08/2018 20:38</t>
  </si>
  <si>
    <t>30/07/2018 09:06</t>
  </si>
  <si>
    <t>01/08/2018 20:35</t>
  </si>
  <si>
    <t>31/07/2018 12:01</t>
  </si>
  <si>
    <t>01/08/2018 20:42</t>
  </si>
  <si>
    <t>01/08/2018 21:16</t>
  </si>
  <si>
    <t>30/07/2018 06:37</t>
  </si>
  <si>
    <t>01/08/2018 21:14</t>
  </si>
  <si>
    <t>01/08/2018 21:18</t>
  </si>
  <si>
    <t>26/07/2018 15:55</t>
  </si>
  <si>
    <t>01/08/2018 21:33</t>
  </si>
  <si>
    <t>30/07/2018 22:42</t>
  </si>
  <si>
    <t>01/08/2018 21:22</t>
  </si>
  <si>
    <t>01/08/2018 16:45</t>
  </si>
  <si>
    <t>30/07/2018 21:29</t>
  </si>
  <si>
    <t>01/08/2018 16:30</t>
  </si>
  <si>
    <t>02/08/2018 13:03</t>
  </si>
  <si>
    <t>28/07/2018 05:52</t>
  </si>
  <si>
    <t>02/08/2018 13:01</t>
  </si>
  <si>
    <t>02/08/2018 13:04</t>
  </si>
  <si>
    <t>31/07/2018 06:24</t>
  </si>
  <si>
    <t>02/08/2018 13:37</t>
  </si>
  <si>
    <t>30/07/2018 14:16</t>
  </si>
  <si>
    <t>02/08/2018 13:36</t>
  </si>
  <si>
    <t>02/08/2018 14:07</t>
  </si>
  <si>
    <t>01/08/2018 09:06</t>
  </si>
  <si>
    <t>02/08/2018 14:06</t>
  </si>
  <si>
    <t>02/08/2018 14:59</t>
  </si>
  <si>
    <t>01/08/2018 09:42</t>
  </si>
  <si>
    <t>02/08/2018 14:56</t>
  </si>
  <si>
    <t>02/08/2018 16:23</t>
  </si>
  <si>
    <t>25/07/2018 21:52</t>
  </si>
  <si>
    <t>02/08/2018 16:21</t>
  </si>
  <si>
    <t>02/08/2018 17:02</t>
  </si>
  <si>
    <t>28/07/2018 16:24</t>
  </si>
  <si>
    <t>02/08/2018 17:01</t>
  </si>
  <si>
    <t>02/08/2018 17:06</t>
  </si>
  <si>
    <t>27/07/2018 15:14</t>
  </si>
  <si>
    <t>02/08/2018 17:04</t>
  </si>
  <si>
    <t>02/08/2018 17:33</t>
  </si>
  <si>
    <t>30/07/2018 09:46</t>
  </si>
  <si>
    <t>02/08/2018 17:29</t>
  </si>
  <si>
    <t>30/07/2018 07:01</t>
  </si>
  <si>
    <t>02/08/2018 18:03</t>
  </si>
  <si>
    <t>02/08/2018 18:23</t>
  </si>
  <si>
    <t>01/08/2018 07:41</t>
  </si>
  <si>
    <t>02/08/2018 18:21</t>
  </si>
  <si>
    <t>02/08/2018 18:26</t>
  </si>
  <si>
    <t>31/07/2018 07:14</t>
  </si>
  <si>
    <t>02/08/2018 18:24</t>
  </si>
  <si>
    <t>02/08/2018 19:05</t>
  </si>
  <si>
    <t>29/07/2018 21:47</t>
  </si>
  <si>
    <t>02/08/2018 19:03</t>
  </si>
  <si>
    <t>02/08/2018 19:26</t>
  </si>
  <si>
    <t>27/07/2018 17:23</t>
  </si>
  <si>
    <t>02/08/2018 19:25</t>
  </si>
  <si>
    <t>02/08/2018 19:38</t>
  </si>
  <si>
    <t>01/08/2018 10:26</t>
  </si>
  <si>
    <t>02/08/2018 19:35</t>
  </si>
  <si>
    <t>02/08/2018 19:52</t>
  </si>
  <si>
    <t>31/07/2018 18:28</t>
  </si>
  <si>
    <t>02/08/2018 19:51</t>
  </si>
  <si>
    <t>02/08/2018 20:04</t>
  </si>
  <si>
    <t>21/07/2018 10:34</t>
  </si>
  <si>
    <t>02/08/2018 19:59</t>
  </si>
  <si>
    <t>01/08/2018 11:11</t>
  </si>
  <si>
    <t>02/08/2018 21:01</t>
  </si>
  <si>
    <t>14/07/2018 16:57</t>
  </si>
  <si>
    <t>01/08/2018 20:58</t>
  </si>
  <si>
    <t>02/08/2018 21:22</t>
  </si>
  <si>
    <t>30/07/2018 16:07</t>
  </si>
  <si>
    <t>02/08/2018 21:20</t>
  </si>
  <si>
    <t>PatientID</t>
  </si>
  <si>
    <t>3077</t>
  </si>
  <si>
    <t>2826</t>
  </si>
  <si>
    <t>3126</t>
  </si>
  <si>
    <t>3173</t>
  </si>
  <si>
    <t>2986</t>
  </si>
  <si>
    <t>3037</t>
  </si>
  <si>
    <t>3250</t>
  </si>
  <si>
    <t>3124</t>
  </si>
  <si>
    <t>3059</t>
  </si>
  <si>
    <t>3071</t>
  </si>
  <si>
    <t>2892</t>
  </si>
  <si>
    <t>3183</t>
  </si>
  <si>
    <t>2813</t>
  </si>
  <si>
    <t>3106</t>
  </si>
  <si>
    <t>3107</t>
  </si>
  <si>
    <t>3060</t>
  </si>
  <si>
    <t>2883</t>
  </si>
  <si>
    <t>2937</t>
  </si>
  <si>
    <t>2877</t>
  </si>
  <si>
    <t>3068</t>
  </si>
  <si>
    <t>2759</t>
  </si>
  <si>
    <t>3141</t>
  </si>
  <si>
    <t>3027</t>
  </si>
  <si>
    <t>2011</t>
  </si>
  <si>
    <t>2941</t>
  </si>
  <si>
    <t>2755</t>
  </si>
  <si>
    <t>2970</t>
  </si>
  <si>
    <t>2897</t>
  </si>
  <si>
    <t>3081</t>
  </si>
  <si>
    <t>3080</t>
  </si>
  <si>
    <t>3084</t>
  </si>
  <si>
    <t>0973</t>
  </si>
  <si>
    <t>1508</t>
  </si>
  <si>
    <t>1744</t>
  </si>
  <si>
    <t>1612</t>
  </si>
  <si>
    <t>1294</t>
  </si>
  <si>
    <t>3120</t>
  </si>
  <si>
    <t>3100</t>
  </si>
  <si>
    <t>3135</t>
  </si>
  <si>
    <t>2493</t>
  </si>
  <si>
    <t>2953</t>
  </si>
  <si>
    <t>2876</t>
  </si>
  <si>
    <t>2807</t>
  </si>
  <si>
    <t>2432</t>
  </si>
  <si>
    <t>1982</t>
  </si>
  <si>
    <t>3051</t>
  </si>
  <si>
    <t>3082</t>
  </si>
  <si>
    <t>3089</t>
  </si>
  <si>
    <t>2993</t>
  </si>
  <si>
    <t>2995</t>
  </si>
  <si>
    <t>3157</t>
  </si>
  <si>
    <t>3187</t>
  </si>
  <si>
    <t>3042</t>
  </si>
  <si>
    <t>3130</t>
  </si>
  <si>
    <t>3039</t>
  </si>
  <si>
    <t>2677</t>
  </si>
  <si>
    <t>3090</t>
  </si>
  <si>
    <t>2921</t>
  </si>
  <si>
    <t>2992</t>
  </si>
  <si>
    <t>3015</t>
  </si>
  <si>
    <t>2978</t>
  </si>
  <si>
    <t>2969</t>
  </si>
  <si>
    <t>3009</t>
  </si>
  <si>
    <t>3114</t>
  </si>
  <si>
    <t>2989</t>
  </si>
  <si>
    <t>3001</t>
  </si>
  <si>
    <t>2988</t>
  </si>
  <si>
    <t>2918</t>
  </si>
  <si>
    <t>3043</t>
  </si>
  <si>
    <t>2948</t>
  </si>
  <si>
    <t>3006</t>
  </si>
  <si>
    <t>2991</t>
  </si>
  <si>
    <t>2979</t>
  </si>
  <si>
    <t>3176</t>
  </si>
  <si>
    <t>3104</t>
  </si>
  <si>
    <t>3174</t>
  </si>
  <si>
    <t>3190</t>
  </si>
  <si>
    <t>3048</t>
  </si>
  <si>
    <t>3085</t>
  </si>
  <si>
    <t>3069</t>
  </si>
  <si>
    <t>3061</t>
  </si>
  <si>
    <t>3057</t>
  </si>
  <si>
    <t>2900</t>
  </si>
  <si>
    <t>3086</t>
  </si>
  <si>
    <t>3000</t>
  </si>
  <si>
    <t>3018</t>
  </si>
  <si>
    <t>3160</t>
  </si>
  <si>
    <t>3146</t>
  </si>
  <si>
    <t>3165</t>
  </si>
  <si>
    <t>3185</t>
  </si>
  <si>
    <t>3170</t>
  </si>
  <si>
    <t>3105</t>
  </si>
  <si>
    <t>2962</t>
  </si>
  <si>
    <t>3169</t>
  </si>
  <si>
    <t>3184</t>
  </si>
  <si>
    <t>3175</t>
  </si>
  <si>
    <t>3167</t>
  </si>
  <si>
    <t>2730</t>
  </si>
  <si>
    <t>3172</t>
  </si>
  <si>
    <t>BillID</t>
  </si>
  <si>
    <t>20004</t>
  </si>
  <si>
    <t>10037</t>
  </si>
  <si>
    <t>10002</t>
  </si>
  <si>
    <t>10010</t>
  </si>
  <si>
    <t>10013</t>
  </si>
  <si>
    <t>10017</t>
  </si>
  <si>
    <t>20018</t>
  </si>
  <si>
    <t>10007</t>
  </si>
  <si>
    <t>10038</t>
  </si>
  <si>
    <t>20011</t>
  </si>
  <si>
    <t>20022</t>
  </si>
  <si>
    <t>10004</t>
  </si>
  <si>
    <t>10028</t>
  </si>
  <si>
    <t>10035</t>
  </si>
  <si>
    <t>10008</t>
  </si>
  <si>
    <t>10016</t>
  </si>
  <si>
    <t>20008</t>
  </si>
  <si>
    <t>20006</t>
  </si>
  <si>
    <t>20001</t>
  </si>
  <si>
    <t>20019</t>
  </si>
  <si>
    <t>10012</t>
  </si>
  <si>
    <t>10030</t>
  </si>
  <si>
    <t>10014</t>
  </si>
  <si>
    <t>10027</t>
  </si>
  <si>
    <t>20017</t>
  </si>
  <si>
    <t>20002</t>
  </si>
  <si>
    <t>10009</t>
  </si>
  <si>
    <t>10001</t>
  </si>
  <si>
    <t>20003</t>
  </si>
  <si>
    <t>20013</t>
  </si>
  <si>
    <t>10015</t>
  </si>
  <si>
    <t>10019</t>
  </si>
  <si>
    <t>10003</t>
  </si>
  <si>
    <t>10022</t>
  </si>
  <si>
    <t>20020</t>
  </si>
  <si>
    <t>20026</t>
  </si>
  <si>
    <t>20027</t>
  </si>
  <si>
    <t>10006</t>
  </si>
  <si>
    <t>10024</t>
  </si>
  <si>
    <t>20005</t>
  </si>
  <si>
    <t>20012</t>
  </si>
  <si>
    <t>10026</t>
  </si>
  <si>
    <t>10005</t>
  </si>
  <si>
    <t>10011</t>
  </si>
  <si>
    <t>10031</t>
  </si>
  <si>
    <t>10032</t>
  </si>
  <si>
    <t>10034</t>
  </si>
  <si>
    <t>10036</t>
  </si>
  <si>
    <t>20009</t>
  </si>
  <si>
    <t>20010</t>
  </si>
  <si>
    <t>20016</t>
  </si>
  <si>
    <t>10020</t>
  </si>
  <si>
    <t>10021</t>
  </si>
  <si>
    <t>20021</t>
  </si>
  <si>
    <t>20015</t>
  </si>
  <si>
    <t>20023</t>
  </si>
  <si>
    <t>10018</t>
  </si>
  <si>
    <t>20007</t>
  </si>
  <si>
    <t>10023</t>
  </si>
  <si>
    <t>10029</t>
  </si>
  <si>
    <t>20014</t>
  </si>
  <si>
    <t>20024</t>
  </si>
  <si>
    <t>10025</t>
  </si>
  <si>
    <t>10033</t>
  </si>
  <si>
    <t>SPON1</t>
  </si>
  <si>
    <t>SPON2</t>
  </si>
  <si>
    <t>SPON3</t>
  </si>
  <si>
    <t>SPON4</t>
  </si>
  <si>
    <t>SPON5</t>
  </si>
  <si>
    <t>SPON6</t>
  </si>
  <si>
    <t>SPON7</t>
  </si>
  <si>
    <t>SPON8</t>
  </si>
  <si>
    <t>SPON9</t>
  </si>
  <si>
    <t>SPON10</t>
  </si>
  <si>
    <t>SPON11</t>
  </si>
  <si>
    <t>SPON12</t>
  </si>
  <si>
    <t>SPON13</t>
  </si>
  <si>
    <t>SPON14</t>
  </si>
  <si>
    <t>SPON15</t>
  </si>
  <si>
    <t>SPON16</t>
  </si>
  <si>
    <t>SPON17</t>
  </si>
  <si>
    <t>SPON18</t>
  </si>
  <si>
    <t>SPON19</t>
  </si>
  <si>
    <t>SPON20</t>
  </si>
  <si>
    <t>SPON21</t>
  </si>
  <si>
    <t>SponsorID</t>
  </si>
  <si>
    <t>DoctorID</t>
  </si>
  <si>
    <t>DOC1</t>
  </si>
  <si>
    <t>DOC2</t>
  </si>
  <si>
    <t>DOC3</t>
  </si>
  <si>
    <t>DOC4</t>
  </si>
  <si>
    <t>DOC5</t>
  </si>
  <si>
    <t>DOC6</t>
  </si>
  <si>
    <t>DOC7</t>
  </si>
  <si>
    <t>DOC8</t>
  </si>
  <si>
    <t>DOC9</t>
  </si>
  <si>
    <t>DOC10</t>
  </si>
  <si>
    <t>DOC11</t>
  </si>
  <si>
    <t>DOC12</t>
  </si>
  <si>
    <t>DOC13</t>
  </si>
  <si>
    <t>DOC14</t>
  </si>
  <si>
    <t>DOC15</t>
  </si>
  <si>
    <t>DOC16</t>
  </si>
  <si>
    <t>DOC17</t>
  </si>
  <si>
    <t>DOC18</t>
  </si>
  <si>
    <t>DOC19</t>
  </si>
  <si>
    <t>DOC20</t>
  </si>
  <si>
    <t>DOC21</t>
  </si>
  <si>
    <t>DOC22</t>
  </si>
  <si>
    <t>DOC23</t>
  </si>
  <si>
    <t>DOC24</t>
  </si>
  <si>
    <t>DOC25</t>
  </si>
  <si>
    <t>DOC26</t>
  </si>
  <si>
    <t>DOC27</t>
  </si>
  <si>
    <t>DOC28</t>
  </si>
  <si>
    <t>DOC29</t>
  </si>
  <si>
    <t>DOC30</t>
  </si>
  <si>
    <t>DOC31</t>
  </si>
  <si>
    <t>DOC32</t>
  </si>
  <si>
    <t>DOC33</t>
  </si>
  <si>
    <t>DOC34</t>
  </si>
  <si>
    <t>DEP1</t>
  </si>
  <si>
    <t>DEP2</t>
  </si>
  <si>
    <t>DEP3</t>
  </si>
  <si>
    <t>DEP4</t>
  </si>
  <si>
    <t>DEP5</t>
  </si>
  <si>
    <t>DEP6</t>
  </si>
  <si>
    <t>DEP7</t>
  </si>
  <si>
    <t>DEP8</t>
  </si>
  <si>
    <t>DEP9</t>
  </si>
  <si>
    <t>DEP10</t>
  </si>
  <si>
    <t>DEP11</t>
  </si>
  <si>
    <t>DEP12</t>
  </si>
  <si>
    <t>DEP13</t>
  </si>
  <si>
    <t>DEP14</t>
  </si>
  <si>
    <t>DEP15</t>
  </si>
  <si>
    <t>DEP16</t>
  </si>
  <si>
    <t>DEP17</t>
  </si>
  <si>
    <t>DepartmentID</t>
  </si>
  <si>
    <t>PackageID</t>
  </si>
  <si>
    <t>PKG1</t>
  </si>
  <si>
    <t>PKG2</t>
  </si>
  <si>
    <t>PKG3</t>
  </si>
  <si>
    <t>PKG4</t>
  </si>
  <si>
    <t>PKG5</t>
  </si>
  <si>
    <t>PKG6</t>
  </si>
  <si>
    <t>PKG7</t>
  </si>
  <si>
    <t>PKG8</t>
  </si>
  <si>
    <t>PKG9</t>
  </si>
  <si>
    <t>PKG10</t>
  </si>
  <si>
    <t>PKG11</t>
  </si>
  <si>
    <t>PKG12</t>
  </si>
  <si>
    <t>PKG13</t>
  </si>
  <si>
    <t>PKG14</t>
  </si>
  <si>
    <t>PKG15</t>
  </si>
  <si>
    <t>PKG16</t>
  </si>
  <si>
    <t>PKG17</t>
  </si>
  <si>
    <t>PKG18</t>
  </si>
  <si>
    <t>PKG19</t>
  </si>
  <si>
    <t>PKG20</t>
  </si>
  <si>
    <t>PKG21</t>
  </si>
  <si>
    <t>PKG22</t>
  </si>
  <si>
    <t>PKG23</t>
  </si>
  <si>
    <t>PKG24</t>
  </si>
  <si>
    <t>PKG25</t>
  </si>
  <si>
    <t>PKG26</t>
  </si>
  <si>
    <t>PKG27</t>
  </si>
  <si>
    <t>PKG28</t>
  </si>
  <si>
    <t>PKG29</t>
  </si>
  <si>
    <t>PKG30</t>
  </si>
  <si>
    <t>PKG31</t>
  </si>
  <si>
    <t>PKG32</t>
  </si>
  <si>
    <t>PKG33</t>
  </si>
  <si>
    <t>PKG34</t>
  </si>
  <si>
    <t>PKG35</t>
  </si>
  <si>
    <t>Others</t>
  </si>
  <si>
    <t>Pharma</t>
  </si>
  <si>
    <t>BilledAmount</t>
  </si>
  <si>
    <t>ReceivedAmt</t>
  </si>
  <si>
    <t>AmountDue</t>
  </si>
  <si>
    <t>Consumables</t>
  </si>
  <si>
    <t>Investigations</t>
  </si>
  <si>
    <t xml:space="preserve">Variable </t>
  </si>
  <si>
    <t xml:space="preserve">Type of Variable </t>
  </si>
  <si>
    <t xml:space="preserve">Patient Type </t>
  </si>
  <si>
    <t xml:space="preserve">Category </t>
  </si>
  <si>
    <t xml:space="preserve">Pay Type </t>
  </si>
  <si>
    <t xml:space="preserve">PatientID </t>
  </si>
  <si>
    <t xml:space="preserve">SponsorID </t>
  </si>
  <si>
    <t xml:space="preserve">DoctorID </t>
  </si>
  <si>
    <t xml:space="preserve">BillID </t>
  </si>
  <si>
    <t xml:space="preserve">FinalBillDate </t>
  </si>
  <si>
    <t xml:space="preserve">BilledAmount </t>
  </si>
  <si>
    <t xml:space="preserve">PackageID </t>
  </si>
  <si>
    <t>Ratio</t>
  </si>
  <si>
    <t>Nominal</t>
  </si>
  <si>
    <t>Interval</t>
  </si>
  <si>
    <t>Grand Total</t>
  </si>
  <si>
    <t>Count of PatientID</t>
  </si>
  <si>
    <t>Total</t>
  </si>
  <si>
    <t>SPON1 Total</t>
  </si>
  <si>
    <t>SPON10 Total</t>
  </si>
  <si>
    <t>SPON11 Total</t>
  </si>
  <si>
    <t>SPON12 Total</t>
  </si>
  <si>
    <t>SPON13 Total</t>
  </si>
  <si>
    <t>SPON14 Total</t>
  </si>
  <si>
    <t>SPON15 Total</t>
  </si>
  <si>
    <t>SPON16 Total</t>
  </si>
  <si>
    <t>SPON17 Total</t>
  </si>
  <si>
    <t>SPON18 Total</t>
  </si>
  <si>
    <t>SPON19 Total</t>
  </si>
  <si>
    <t>SPON2 Total</t>
  </si>
  <si>
    <t>SPON20 Total</t>
  </si>
  <si>
    <t>SPON21 Total</t>
  </si>
  <si>
    <t>SPON3 Total</t>
  </si>
  <si>
    <t>SPON4 Total</t>
  </si>
  <si>
    <t>SPON5 Total</t>
  </si>
  <si>
    <t>SPON6 Total</t>
  </si>
  <si>
    <t>SPON7 Total</t>
  </si>
  <si>
    <t>SPON8 Total</t>
  </si>
  <si>
    <t>SPON9 Total</t>
  </si>
  <si>
    <t>(All)</t>
  </si>
  <si>
    <t>Data</t>
  </si>
  <si>
    <t>Sum of BilledAmount</t>
  </si>
  <si>
    <t>Total Count of PatientID</t>
  </si>
  <si>
    <t>Total Sum of BilledAmount</t>
  </si>
  <si>
    <t>Hour of Discharge</t>
  </si>
  <si>
    <t xml:space="preserve">“popular” hour of discharge at this hospital across the two days </t>
  </si>
  <si>
    <t>discharges that take place in the morning until 12PM</t>
  </si>
  <si>
    <t>Discharges usually happen in the afternoon after the doctor visits and bill settlements and most of the discharges happen between 6PM and 8PM. It shall be more efficient to plan the discharges more evenly across the evening hours to prevent rush towards the end of the day</t>
  </si>
  <si>
    <t>Bins</t>
  </si>
  <si>
    <t xml:space="preserve">DurationOfStay </t>
  </si>
  <si>
    <t>Registration Date Formatted</t>
  </si>
  <si>
    <t>Discharge Date formatted</t>
  </si>
  <si>
    <t>34-36</t>
  </si>
  <si>
    <t>BIN SIZE</t>
  </si>
  <si>
    <t>BIN</t>
  </si>
  <si>
    <t>SUM</t>
  </si>
  <si>
    <t>MEAN</t>
  </si>
  <si>
    <t>MEDIAN</t>
  </si>
  <si>
    <t>The difference in mean and median is due to the presense to outliers in the durations of stay</t>
  </si>
  <si>
    <t>0-1</t>
  </si>
  <si>
    <t>2-3</t>
  </si>
  <si>
    <t>4-5</t>
  </si>
  <si>
    <t>6-7</t>
  </si>
  <si>
    <t>8-9</t>
  </si>
  <si>
    <t>10-11</t>
  </si>
  <si>
    <t>12-13</t>
  </si>
  <si>
    <t>16-17</t>
  </si>
  <si>
    <t>18-19</t>
  </si>
  <si>
    <t>22-23</t>
  </si>
  <si>
    <t>24-25</t>
  </si>
  <si>
    <t>28-29</t>
  </si>
  <si>
    <t>SKEW</t>
  </si>
  <si>
    <t>The</t>
  </si>
  <si>
    <t>AmtCategory</t>
  </si>
  <si>
    <t>Gold</t>
  </si>
  <si>
    <t>Platinum</t>
  </si>
  <si>
    <t>Silver</t>
  </si>
  <si>
    <t>Count of BilledAmount</t>
  </si>
  <si>
    <t>probability that the patient is classified as Gold</t>
  </si>
  <si>
    <t>Question19a</t>
  </si>
  <si>
    <t>Question19b</t>
  </si>
  <si>
    <t>probability that the patient will pay by cash</t>
  </si>
  <si>
    <t>Question19c</t>
  </si>
  <si>
    <t>Total Gold Patients/Total Patients</t>
  </si>
  <si>
    <t>Total Cash Patients/Total Patients</t>
  </si>
  <si>
    <t>If the above data is representative of 2 days of data, for 30 days, it should be 15 times each</t>
  </si>
  <si>
    <t>Question 20a</t>
  </si>
  <si>
    <t>what is the (joint) probability that the patient is classified as Gold and pays by Cash?</t>
  </si>
  <si>
    <t>Probability</t>
  </si>
  <si>
    <t>Question 20b</t>
  </si>
  <si>
    <t>what is the (marginal) probability that the patient pays by Credit?</t>
  </si>
  <si>
    <t>Answer</t>
  </si>
  <si>
    <t>what is the conditional probability that the patient pays by credit, given that the patient is classified as Gold?</t>
  </si>
  <si>
    <t>Question 20c</t>
  </si>
  <si>
    <t>P(A/B) = P(A∩B) /P(B)</t>
  </si>
  <si>
    <t>Count of Patients who pay by credit and Is Gold / Count of Paiients in Gold Category = 36/57</t>
  </si>
  <si>
    <t>Count of Patients who pay by credit/Total Patients = 64/104</t>
  </si>
  <si>
    <t>P(A∩B) = Count of Gold Patients who pay by cash/Total Patients = 21/104</t>
  </si>
  <si>
    <t>Question 20d</t>
  </si>
  <si>
    <t>what is the conditional probability that the patient is classified as Gold, given that the patient pays by credit?</t>
  </si>
  <si>
    <t>Count of Patients who pay by credit and Is Gold / Count of Paiients who pays by credit = 36/64</t>
  </si>
  <si>
    <t>P(B/A) = P(A∩B) /P(A)</t>
  </si>
  <si>
    <t>Probabilities</t>
  </si>
  <si>
    <t>X</t>
  </si>
  <si>
    <t>Average of BilledAmount</t>
  </si>
  <si>
    <t>Platinum (200000)</t>
  </si>
  <si>
    <t>P(X)</t>
  </si>
  <si>
    <t>P(X = 6000) = p1</t>
  </si>
  <si>
    <t>P(X = 50000) = p2</t>
  </si>
  <si>
    <t>P(X = 200000)  = p3</t>
  </si>
  <si>
    <t>Question 22a</t>
  </si>
  <si>
    <t>Question 22b</t>
  </si>
  <si>
    <t>Question 22d</t>
  </si>
  <si>
    <t>Point probability can be plotted using Probability Mass Function and Cumulative probabilities using Cumulative Distribution Function</t>
  </si>
  <si>
    <t>PMF</t>
  </si>
  <si>
    <t>CDF</t>
  </si>
  <si>
    <t xml:space="preserve">P(X = 6000) </t>
  </si>
  <si>
    <t xml:space="preserve">P(X = 6000) + P(X = 50000) </t>
  </si>
  <si>
    <t>P(X = 6000) + P(X = 50000) + P(X = 200000)</t>
  </si>
  <si>
    <t xml:space="preserve">i. P(X≦6000) </t>
  </si>
  <si>
    <t xml:space="preserve">ii. P(X≦50000) </t>
  </si>
  <si>
    <t xml:space="preserve">iii. P(X≦200000) </t>
  </si>
  <si>
    <t>Histogram</t>
  </si>
  <si>
    <t>Frequency</t>
  </si>
  <si>
    <t>Question 23a</t>
  </si>
  <si>
    <t>Expected Value of X</t>
  </si>
  <si>
    <t>Silver (6000)</t>
  </si>
  <si>
    <t>Gold (50000)</t>
  </si>
  <si>
    <t xml:space="preserve"> p1 x 6000 + p2 x 50000 + p3 x 200000</t>
  </si>
  <si>
    <t>E(X) = μ</t>
  </si>
  <si>
    <t>μ</t>
  </si>
  <si>
    <t>Question 23b</t>
  </si>
  <si>
    <t>Average of X</t>
  </si>
  <si>
    <t>AVERAGE(A:A)</t>
  </si>
  <si>
    <t>variance of X</t>
  </si>
  <si>
    <t>Sigma^2</t>
  </si>
  <si>
    <t>variance of X from formula</t>
  </si>
  <si>
    <t>varience of X from Data</t>
  </si>
  <si>
    <t>FUNCTION=VAR.P(A:A)</t>
  </si>
  <si>
    <t>Question 24a</t>
  </si>
  <si>
    <t>Question 24b</t>
  </si>
  <si>
    <t>Chebyshev Theorem</t>
  </si>
  <si>
    <t xml:space="preserve">mu – sigma &amp; mu + sigma </t>
  </si>
  <si>
    <t>sigma</t>
  </si>
  <si>
    <t>when k = 1</t>
  </si>
  <si>
    <t>P(mu - sigma &lt;= X &lt;= mu + sigma)</t>
  </si>
  <si>
    <t>when k = 2</t>
  </si>
  <si>
    <t>P(mu - 2*sigma &lt;= X &lt;= mu + 2*sigma)</t>
  </si>
  <si>
    <t>P(mu - k*sigma &lt;= X &lt;= mu + k*sigma) &gt;=  1  - 1/k^2</t>
  </si>
  <si>
    <t>&gt;=0%</t>
  </si>
  <si>
    <t>&gt;=75%</t>
  </si>
  <si>
    <t>P(mu - 3*sigma &lt;= X &lt;= mu + 3*sigma)</t>
  </si>
  <si>
    <t>when k = 3</t>
  </si>
  <si>
    <t>&gt;=88.9%</t>
  </si>
  <si>
    <t>mu - 2 sigma</t>
  </si>
  <si>
    <t>mu + 2 sigma</t>
  </si>
  <si>
    <t>mu - 3 sigma</t>
  </si>
  <si>
    <t>mu + 3 sigma</t>
  </si>
  <si>
    <t>count of records between mu - 2*sigma &lt;= X &lt;= mu + 2*sigma</t>
  </si>
  <si>
    <t>count of records between mu - 3*sigma &lt;= X &lt;= mu + 3*sigma</t>
  </si>
  <si>
    <t>% of data within mu - 2*sigma &lt;= X &lt;= mu + 2*sigma</t>
  </si>
  <si>
    <t>&gt; 75%</t>
  </si>
  <si>
    <t>&gt;88.9%</t>
  </si>
  <si>
    <t>RANDOM</t>
  </si>
  <si>
    <t>Sample</t>
  </si>
  <si>
    <t>Population</t>
  </si>
  <si>
    <t>Mean</t>
  </si>
  <si>
    <t>Std Dev</t>
  </si>
  <si>
    <t>Sampling Error</t>
  </si>
  <si>
    <t>Pop Mean - Sample Mean</t>
  </si>
  <si>
    <t>Pop SD - Sample SD</t>
  </si>
  <si>
    <t>Question 25a</t>
  </si>
  <si>
    <t>Question 25b</t>
  </si>
  <si>
    <t>Question 26a</t>
  </si>
  <si>
    <t>mu</t>
  </si>
  <si>
    <t>Between what values will at least 68% of the billed amount lie?</t>
  </si>
  <si>
    <t>mu - sigma</t>
  </si>
  <si>
    <t>mu + sigma</t>
  </si>
  <si>
    <t>Question 26b</t>
  </si>
  <si>
    <t>Between what values will at least 95% of the billed amount lie?</t>
  </si>
  <si>
    <t>mu - 2(sigma)</t>
  </si>
  <si>
    <t>mu + 2(sigma)</t>
  </si>
  <si>
    <t xml:space="preserve">68% of the Billed amount will lie within mu-sigma and mu + sigma because the distribution is assumed to be normal for this question. Hence between  7,785.68 and  88,266.45 </t>
  </si>
  <si>
    <t xml:space="preserve">68% of the Billed amount will lie within mu-2(sigma) and mu + 2(sigma) because the distribution is assumed to be normal for this question. Hence between  -64,909.42 which is 0 and this Bill amount and  225,870.96 </t>
  </si>
  <si>
    <t>Standard Error</t>
  </si>
  <si>
    <t>Median</t>
  </si>
  <si>
    <t>Mode</t>
  </si>
  <si>
    <t>Standard Deviation</t>
  </si>
  <si>
    <t>Sample Variance</t>
  </si>
  <si>
    <t>Kurtosis</t>
  </si>
  <si>
    <t>Skewness</t>
  </si>
  <si>
    <t>Range</t>
  </si>
  <si>
    <t>Minimum</t>
  </si>
  <si>
    <t>Maximum</t>
  </si>
  <si>
    <t>Sum</t>
  </si>
  <si>
    <t>Count</t>
  </si>
  <si>
    <t>Question 27a</t>
  </si>
  <si>
    <t>The kurtosis of 19.9 the distribution is too high for a normal distribution. The Skew of 3.9 is also high for a normal distribution. Hence we can conclude that the assumption is incorrect</t>
  </si>
  <si>
    <t xml:space="preserve"> z - value</t>
  </si>
  <si>
    <t>Observed Frequency</t>
  </si>
  <si>
    <t>Expected Probability</t>
  </si>
  <si>
    <t>Expected frequency</t>
  </si>
  <si>
    <t>total</t>
  </si>
  <si>
    <t>Chi Square test  for goodness of fit of normal distribution</t>
  </si>
  <si>
    <t>Because the expected frequency of the highlighted Bins is less than 5, which is required for chi square test, we're going to merge the bins</t>
  </si>
  <si>
    <t>((fo-fe)^2)/fe</t>
  </si>
  <si>
    <t>:Calculated chi square</t>
  </si>
  <si>
    <t>degrees of freedom</t>
  </si>
  <si>
    <t>Critical chi square</t>
  </si>
  <si>
    <t>Ho</t>
  </si>
  <si>
    <t>The distribution is normal</t>
  </si>
  <si>
    <t>Result</t>
  </si>
  <si>
    <t>Rejecting Null hypothesis as actual Chi Square is much beyond Critical. The distribution is not normal</t>
  </si>
  <si>
    <t>Question 27b</t>
  </si>
  <si>
    <t>What is the probability that billed amounts lie between Rs.50,000 &amp; Rs.1L?</t>
  </si>
  <si>
    <t>NORMDIST(100000, μ, σ, 1) - NORMDIST(50000, μ, σ, 1)</t>
  </si>
  <si>
    <t>Cumulative probability of &lt;=100000 - Cumulative probability of &lt;= 50000</t>
  </si>
  <si>
    <t>Expected Frequency</t>
  </si>
  <si>
    <t>np = 104 * .268</t>
  </si>
  <si>
    <t>Count of values under 100000 - count of values under 50000</t>
  </si>
  <si>
    <t xml:space="preserve">Alpha </t>
  </si>
  <si>
    <t>Alpha/2</t>
  </si>
  <si>
    <t>n</t>
  </si>
  <si>
    <t>t alpha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</si>
</sst>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809]dd\ mmmm\ yyyy;@"/>
    <numFmt numFmtId="165" formatCode="dd/mm/yyyy;@"/>
    <numFmt numFmtId="166" formatCode="0.0000%"/>
  </numFmts>
  <fonts count="8">
    <font>
      <sz val="10"/>
      <name val="Arial"/>
    </font>
    <font>
      <sz val="10"/>
      <name val="Arial"/>
      <family val="2"/>
    </font>
    <font>
      <b/>
      <sz val="10"/>
      <color indexed="9"/>
      <name val="Courier New"/>
      <family val="3"/>
    </font>
    <font>
      <b/>
      <sz val="10"/>
      <name val="Arial"/>
      <family val="2"/>
    </font>
    <font>
      <sz val="10"/>
      <name val="Arial"/>
      <family val="2"/>
    </font>
    <font>
      <sz val="12"/>
      <name val="Calibri"/>
      <family val="2"/>
    </font>
    <font>
      <b/>
      <sz val="12"/>
      <name val="Calibri"/>
      <family val="2"/>
    </font>
    <font>
      <i/>
      <sz val="10"/>
      <name val="Arial"/>
      <family val="2"/>
    </font>
  </fonts>
  <fills count="8">
    <fill>
      <patternFill patternType="none"/>
    </fill>
    <fill>
      <patternFill patternType="gray125"/>
    </fill>
    <fill>
      <patternFill patternType="solid">
        <fgColor indexed="60"/>
        <bgColor indexed="64"/>
      </patternFill>
    </fill>
    <fill>
      <patternFill patternType="solid">
        <fgColor theme="7"/>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s>
  <borders count="64">
    <border>
      <left/>
      <right/>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rgb="FF999999"/>
      </left>
      <right/>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diagonal/>
    </border>
    <border>
      <left style="thin">
        <color rgb="FF999999"/>
      </left>
      <right style="thin">
        <color rgb="FF999999"/>
      </right>
      <top/>
      <bottom/>
      <diagonal/>
    </border>
    <border>
      <left style="thin">
        <color rgb="FF999999"/>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indexed="65"/>
      </left>
      <right/>
      <top style="thin">
        <color rgb="FF999999"/>
      </top>
      <bottom style="thin">
        <color rgb="FF999999"/>
      </bottom>
      <diagonal/>
    </border>
    <border>
      <left/>
      <right style="thin">
        <color rgb="FF999999"/>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n">
        <color indexed="65"/>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999999"/>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5"/>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rgb="FF999999"/>
      </top>
      <bottom/>
      <diagonal/>
    </border>
    <border>
      <left style="medium">
        <color indexed="64"/>
      </left>
      <right/>
      <top/>
      <bottom/>
      <diagonal/>
    </border>
    <border>
      <left/>
      <right style="medium">
        <color indexed="64"/>
      </right>
      <top/>
      <bottom/>
      <diagonal/>
    </border>
    <border>
      <left style="medium">
        <color indexed="64"/>
      </left>
      <right/>
      <top style="thin">
        <color rgb="FF999999"/>
      </top>
      <bottom style="medium">
        <color indexed="64"/>
      </bottom>
      <diagonal/>
    </border>
    <border>
      <left/>
      <right style="medium">
        <color indexed="64"/>
      </right>
      <top style="thin">
        <color rgb="FF999999"/>
      </top>
      <bottom style="medium">
        <color indexed="64"/>
      </bottom>
      <diagonal/>
    </border>
    <border>
      <left style="medium">
        <color indexed="64"/>
      </left>
      <right/>
      <top style="medium">
        <color indexed="64"/>
      </top>
      <bottom style="medium">
        <color indexed="64"/>
      </bottom>
      <diagonal/>
    </border>
    <border>
      <left style="thin">
        <color indexed="65"/>
      </left>
      <right style="medium">
        <color indexed="64"/>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right/>
      <top style="thin">
        <color rgb="FF999999"/>
      </top>
      <bottom style="medium">
        <color indexed="64"/>
      </bottom>
      <diagonal/>
    </border>
    <border>
      <left style="medium">
        <color indexed="64"/>
      </left>
      <right style="medium">
        <color indexed="64"/>
      </right>
      <top style="thin">
        <color rgb="FF999999"/>
      </top>
      <bottom/>
      <diagonal/>
    </border>
    <border>
      <left style="medium">
        <color indexed="64"/>
      </left>
      <right style="medium">
        <color indexed="64"/>
      </right>
      <top/>
      <bottom/>
      <diagonal/>
    </border>
    <border>
      <left style="medium">
        <color indexed="64"/>
      </left>
      <right style="medium">
        <color indexed="64"/>
      </right>
      <top style="thin">
        <color rgb="FF999999"/>
      </top>
      <bottom style="medium">
        <color indexed="64"/>
      </bottom>
      <diagonal/>
    </border>
    <border>
      <left style="thin">
        <color rgb="FF999999"/>
      </left>
      <right/>
      <top style="medium">
        <color indexed="64"/>
      </top>
      <bottom/>
      <diagonal/>
    </border>
    <border>
      <left style="thin">
        <color rgb="FF999999"/>
      </left>
      <right/>
      <top style="thin">
        <color rgb="FF999999"/>
      </top>
      <bottom style="medium">
        <color indexed="64"/>
      </bottom>
      <diagonal/>
    </border>
    <border>
      <left style="thin">
        <color rgb="FF999999"/>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5"/>
      </top>
      <bottom style="medium">
        <color indexed="64"/>
      </bottom>
      <diagonal/>
    </border>
    <border>
      <left style="thin">
        <color rgb="FF999999"/>
      </left>
      <right style="medium">
        <color indexed="64"/>
      </right>
      <top style="medium">
        <color indexed="64"/>
      </top>
      <bottom/>
      <diagonal/>
    </border>
    <border>
      <left style="thin">
        <color rgb="FF999999"/>
      </left>
      <right style="medium">
        <color indexed="64"/>
      </right>
      <top/>
      <bottom/>
      <diagonal/>
    </border>
    <border>
      <left style="thin">
        <color rgb="FF999999"/>
      </left>
      <right style="medium">
        <color indexed="64"/>
      </right>
      <top style="thin">
        <color rgb="FF999999"/>
      </top>
      <bottom style="medium">
        <color indexed="64"/>
      </bottom>
      <diagonal/>
    </border>
    <border>
      <left style="thin">
        <color rgb="FF999999"/>
      </left>
      <right style="medium">
        <color indexed="64"/>
      </right>
      <top style="thin">
        <color rgb="FF999999"/>
      </top>
      <bottom/>
      <diagonal/>
    </border>
    <border>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19">
    <xf numFmtId="0" fontId="0" fillId="0" borderId="0" xfId="0"/>
    <xf numFmtId="0" fontId="2" fillId="2" borderId="0" xfId="0" applyFont="1" applyFill="1" applyBorder="1" applyAlignment="1">
      <alignment horizontal="center" wrapText="1"/>
    </xf>
    <xf numFmtId="0" fontId="2" fillId="2" borderId="1" xfId="0" applyFont="1" applyFill="1" applyBorder="1" applyAlignment="1">
      <alignment horizontal="center" wrapText="1"/>
    </xf>
    <xf numFmtId="0" fontId="3" fillId="0" borderId="0" xfId="0" applyFont="1"/>
    <xf numFmtId="0" fontId="0" fillId="0" borderId="0" xfId="0" applyAlignment="1">
      <alignment horizontal="center"/>
    </xf>
    <xf numFmtId="1" fontId="0" fillId="0" borderId="0" xfId="0" applyNumberFormat="1" applyAlignment="1">
      <alignment horizontal="center"/>
    </xf>
    <xf numFmtId="0" fontId="0" fillId="0" borderId="2" xfId="0" applyBorder="1"/>
    <xf numFmtId="0" fontId="3" fillId="0" borderId="2" xfId="0" applyFont="1" applyBorder="1"/>
    <xf numFmtId="0" fontId="4" fillId="0" borderId="2" xfId="0" applyFont="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3" xfId="0" pivotButton="1" applyBorder="1"/>
    <xf numFmtId="0" fontId="0" fillId="0" borderId="8" xfId="0" applyBorder="1"/>
    <xf numFmtId="0" fontId="0" fillId="0" borderId="9" xfId="0" applyBorder="1"/>
    <xf numFmtId="0" fontId="0" fillId="0" borderId="10" xfId="0" applyBorder="1"/>
    <xf numFmtId="0" fontId="0" fillId="0" borderId="10" xfId="0" applyNumberFormat="1" applyBorder="1"/>
    <xf numFmtId="0" fontId="0" fillId="0" borderId="11" xfId="0" applyNumberFormat="1" applyBorder="1"/>
    <xf numFmtId="0" fontId="0" fillId="0" borderId="12" xfId="0" applyNumberFormat="1" applyBorder="1"/>
    <xf numFmtId="0" fontId="0" fillId="0" borderId="13" xfId="0" applyBorder="1"/>
    <xf numFmtId="0" fontId="0" fillId="0" borderId="3" xfId="0" applyNumberFormat="1" applyBorder="1"/>
    <xf numFmtId="0" fontId="0" fillId="0" borderId="13" xfId="0" applyNumberFormat="1" applyBorder="1"/>
    <xf numFmtId="0" fontId="0" fillId="0" borderId="8" xfId="0" applyNumberFormat="1" applyBorder="1"/>
    <xf numFmtId="0" fontId="0" fillId="0" borderId="0" xfId="0" applyNumberFormat="1"/>
    <xf numFmtId="0" fontId="0" fillId="0" borderId="9" xfId="0" applyNumberFormat="1" applyBorder="1"/>
    <xf numFmtId="0" fontId="0" fillId="0" borderId="14" xfId="0" applyNumberFormat="1" applyBorder="1"/>
    <xf numFmtId="0" fontId="0" fillId="0" borderId="4" xfId="0" pivotButton="1" applyBorder="1"/>
    <xf numFmtId="0" fontId="0" fillId="0" borderId="15" xfId="0" applyBorder="1"/>
    <xf numFmtId="0" fontId="0" fillId="4" borderId="11" xfId="0" applyNumberFormat="1" applyFill="1" applyBorder="1"/>
    <xf numFmtId="0" fontId="0" fillId="0" borderId="12" xfId="0" pivotButton="1" applyBorder="1"/>
    <xf numFmtId="0" fontId="0" fillId="0" borderId="12" xfId="0" applyBorder="1"/>
    <xf numFmtId="0" fontId="0" fillId="4" borderId="3" xfId="0" applyFill="1" applyBorder="1"/>
    <xf numFmtId="0" fontId="0" fillId="4" borderId="8" xfId="0" applyNumberFormat="1" applyFill="1" applyBorder="1"/>
    <xf numFmtId="0" fontId="0" fillId="4" borderId="0" xfId="0" applyNumberFormat="1" applyFill="1"/>
    <xf numFmtId="0" fontId="0" fillId="4" borderId="3" xfId="0" applyNumberFormat="1" applyFill="1" applyBorder="1"/>
    <xf numFmtId="0" fontId="4" fillId="0" borderId="0" xfId="0" applyFont="1"/>
    <xf numFmtId="0" fontId="4" fillId="0" borderId="0" xfId="0" applyFont="1" applyFill="1" applyBorder="1"/>
    <xf numFmtId="0" fontId="0" fillId="0" borderId="0" xfId="0" applyNumberFormat="1" applyBorder="1"/>
    <xf numFmtId="0" fontId="0" fillId="0" borderId="2" xfId="0" pivotButton="1" applyBorder="1"/>
    <xf numFmtId="2" fontId="0" fillId="4" borderId="2" xfId="0" applyNumberFormat="1" applyFill="1" applyBorder="1"/>
    <xf numFmtId="0" fontId="0" fillId="0" borderId="2" xfId="0" applyNumberFormat="1" applyBorder="1"/>
    <xf numFmtId="0" fontId="0" fillId="4" borderId="2" xfId="0" applyFill="1" applyBorder="1"/>
    <xf numFmtId="0" fontId="4" fillId="4" borderId="2" xfId="0" applyFont="1" applyFill="1" applyBorder="1"/>
    <xf numFmtId="0" fontId="0" fillId="5" borderId="12" xfId="0" applyFill="1" applyBorder="1"/>
    <xf numFmtId="0" fontId="0" fillId="4" borderId="18" xfId="0" applyFill="1" applyBorder="1"/>
    <xf numFmtId="0" fontId="0" fillId="5" borderId="18" xfId="0" applyFill="1" applyBorder="1"/>
    <xf numFmtId="0" fontId="0" fillId="0" borderId="18" xfId="0" applyBorder="1"/>
    <xf numFmtId="0" fontId="0" fillId="3" borderId="20" xfId="0" applyFill="1" applyBorder="1"/>
    <xf numFmtId="0" fontId="0" fillId="0" borderId="21" xfId="0" applyFill="1" applyBorder="1"/>
    <xf numFmtId="0" fontId="0" fillId="4" borderId="22" xfId="0" applyFill="1" applyBorder="1"/>
    <xf numFmtId="0" fontId="0" fillId="0" borderId="23" xfId="0" applyBorder="1"/>
    <xf numFmtId="0" fontId="0" fillId="5" borderId="22" xfId="0" applyNumberFormat="1" applyFill="1" applyBorder="1"/>
    <xf numFmtId="0" fontId="0" fillId="5" borderId="24" xfId="0" applyNumberFormat="1" applyFill="1" applyBorder="1"/>
    <xf numFmtId="0" fontId="0" fillId="0" borderId="22" xfId="0" applyNumberFormat="1" applyBorder="1"/>
    <xf numFmtId="0" fontId="0" fillId="0" borderId="24" xfId="0" applyNumberFormat="1" applyBorder="1"/>
    <xf numFmtId="0" fontId="0" fillId="0" borderId="25" xfId="0" applyNumberFormat="1" applyBorder="1"/>
    <xf numFmtId="0" fontId="0" fillId="0" borderId="26" xfId="0" applyNumberFormat="1" applyBorder="1"/>
    <xf numFmtId="0" fontId="0" fillId="0" borderId="21" xfId="0" applyBorder="1"/>
    <xf numFmtId="0" fontId="0" fillId="0" borderId="27" xfId="0" applyBorder="1"/>
    <xf numFmtId="0" fontId="0" fillId="0" borderId="28" xfId="0" applyBorder="1"/>
    <xf numFmtId="0" fontId="0" fillId="5" borderId="29" xfId="0" applyNumberFormat="1" applyFill="1" applyBorder="1"/>
    <xf numFmtId="0" fontId="0" fillId="0" borderId="29" xfId="0" applyNumberFormat="1" applyBorder="1"/>
    <xf numFmtId="0" fontId="0" fillId="0" borderId="30" xfId="0" applyNumberFormat="1" applyBorder="1"/>
    <xf numFmtId="0" fontId="0" fillId="0" borderId="31" xfId="0" applyBorder="1"/>
    <xf numFmtId="0" fontId="0" fillId="0" borderId="31" xfId="0" applyNumberFormat="1" applyBorder="1"/>
    <xf numFmtId="0" fontId="0" fillId="0" borderId="23" xfId="0" applyNumberFormat="1" applyBorder="1"/>
    <xf numFmtId="0" fontId="0" fillId="0" borderId="32" xfId="0" applyNumberFormat="1" applyBorder="1"/>
    <xf numFmtId="0" fontId="0" fillId="0" borderId="33" xfId="0" applyNumberFormat="1" applyBorder="1"/>
    <xf numFmtId="0" fontId="0" fillId="0" borderId="34" xfId="0" applyNumberFormat="1" applyBorder="1"/>
    <xf numFmtId="0" fontId="0" fillId="0" borderId="35" xfId="0" applyNumberFormat="1" applyBorder="1"/>
    <xf numFmtId="0" fontId="0" fillId="5" borderId="36" xfId="0" applyFill="1" applyBorder="1"/>
    <xf numFmtId="0" fontId="0" fillId="0" borderId="37" xfId="0" applyBorder="1"/>
    <xf numFmtId="0" fontId="0" fillId="0" borderId="20" xfId="0" applyNumberFormat="1" applyBorder="1"/>
    <xf numFmtId="0" fontId="0" fillId="0" borderId="38" xfId="0" applyNumberFormat="1" applyBorder="1"/>
    <xf numFmtId="0" fontId="0" fillId="0" borderId="40" xfId="0" applyNumberFormat="1" applyBorder="1"/>
    <xf numFmtId="0" fontId="0" fillId="0" borderId="41" xfId="0" applyNumberFormat="1" applyBorder="1"/>
    <xf numFmtId="0" fontId="0" fillId="0" borderId="42" xfId="0" applyNumberFormat="1" applyBorder="1"/>
    <xf numFmtId="0" fontId="0" fillId="0" borderId="43" xfId="0" applyNumberFormat="1" applyBorder="1"/>
    <xf numFmtId="0" fontId="2" fillId="6" borderId="0" xfId="0" applyFont="1" applyFill="1" applyBorder="1" applyAlignment="1">
      <alignment horizontal="center" wrapText="1"/>
    </xf>
    <xf numFmtId="0" fontId="5" fillId="0" borderId="0" xfId="0" applyFont="1"/>
    <xf numFmtId="0" fontId="4" fillId="0" borderId="0" xfId="0" applyFont="1" applyAlignment="1">
      <alignment horizontal="center"/>
    </xf>
    <xf numFmtId="49" fontId="0" fillId="0" borderId="0" xfId="0" applyNumberFormat="1"/>
    <xf numFmtId="0" fontId="6" fillId="6" borderId="0" xfId="0" applyNumberFormat="1" applyFont="1" applyFill="1"/>
    <xf numFmtId="0" fontId="0" fillId="0" borderId="0" xfId="0" applyNumberFormat="1" applyAlignment="1">
      <alignment horizontal="center"/>
    </xf>
    <xf numFmtId="164" fontId="0" fillId="0" borderId="0" xfId="0" applyNumberFormat="1" applyAlignment="1">
      <alignment horizontal="center"/>
    </xf>
    <xf numFmtId="165" fontId="2" fillId="2" borderId="0" xfId="0" applyNumberFormat="1" applyFont="1" applyFill="1" applyBorder="1" applyAlignment="1">
      <alignment horizontal="center" wrapText="1"/>
    </xf>
    <xf numFmtId="165" fontId="0" fillId="0" borderId="0" xfId="0" applyNumberFormat="1" applyAlignment="1">
      <alignment horizontal="center"/>
    </xf>
    <xf numFmtId="165" fontId="4" fillId="0" borderId="0" xfId="0" applyNumberFormat="1" applyFont="1" applyAlignment="1">
      <alignment horizontal="center"/>
    </xf>
    <xf numFmtId="164" fontId="4" fillId="0" borderId="0" xfId="0" applyNumberFormat="1" applyFont="1" applyAlignment="1">
      <alignment horizontal="center"/>
    </xf>
    <xf numFmtId="49" fontId="4" fillId="0" borderId="2" xfId="0" applyNumberFormat="1" applyFont="1" applyBorder="1"/>
    <xf numFmtId="0" fontId="4" fillId="0" borderId="2" xfId="0" applyNumberFormat="1" applyFont="1" applyBorder="1"/>
    <xf numFmtId="0" fontId="0" fillId="0" borderId="44" xfId="0" applyNumberFormat="1" applyBorder="1"/>
    <xf numFmtId="0" fontId="0" fillId="0" borderId="45" xfId="0" applyNumberFormat="1" applyBorder="1"/>
    <xf numFmtId="0" fontId="0" fillId="0" borderId="36" xfId="0" applyBorder="1"/>
    <xf numFmtId="0" fontId="0" fillId="5" borderId="46" xfId="0" applyFill="1" applyBorder="1"/>
    <xf numFmtId="0" fontId="0" fillId="0" borderId="27" xfId="0" applyNumberFormat="1" applyBorder="1"/>
    <xf numFmtId="0" fontId="0" fillId="0" borderId="48" xfId="0" applyBorder="1"/>
    <xf numFmtId="0" fontId="0" fillId="0" borderId="49" xfId="0" applyNumberFormat="1" applyBorder="1"/>
    <xf numFmtId="0" fontId="0" fillId="0" borderId="50" xfId="0" applyNumberFormat="1" applyBorder="1"/>
    <xf numFmtId="0" fontId="0" fillId="0" borderId="51" xfId="0" applyNumberFormat="1" applyBorder="1"/>
    <xf numFmtId="0" fontId="0" fillId="4" borderId="31" xfId="0" applyNumberFormat="1" applyFill="1" applyBorder="1"/>
    <xf numFmtId="0" fontId="0" fillId="4" borderId="23" xfId="0" applyNumberFormat="1" applyFill="1" applyBorder="1"/>
    <xf numFmtId="0" fontId="0" fillId="0" borderId="47" xfId="0" applyBorder="1"/>
    <xf numFmtId="0" fontId="0" fillId="4" borderId="41" xfId="0" applyNumberFormat="1" applyFill="1" applyBorder="1"/>
    <xf numFmtId="0" fontId="0" fillId="0" borderId="52" xfId="0" applyNumberFormat="1" applyBorder="1"/>
    <xf numFmtId="0" fontId="0" fillId="4" borderId="52" xfId="0" applyNumberFormat="1" applyFill="1" applyBorder="1"/>
    <xf numFmtId="0" fontId="0" fillId="0" borderId="6" xfId="0" applyFill="1" applyBorder="1"/>
    <xf numFmtId="0" fontId="0" fillId="0" borderId="8" xfId="0" applyFill="1" applyBorder="1"/>
    <xf numFmtId="0" fontId="0" fillId="0" borderId="32" xfId="0" applyNumberFormat="1" applyFill="1" applyBorder="1"/>
    <xf numFmtId="0" fontId="0" fillId="0" borderId="33" xfId="0" applyNumberFormat="1" applyFill="1" applyBorder="1"/>
    <xf numFmtId="0" fontId="0" fillId="0" borderId="8" xfId="0" applyNumberFormat="1" applyFill="1" applyBorder="1"/>
    <xf numFmtId="0" fontId="0" fillId="0" borderId="42" xfId="0" applyNumberFormat="1" applyFill="1" applyBorder="1"/>
    <xf numFmtId="0" fontId="0" fillId="0" borderId="50" xfId="0" applyNumberFormat="1" applyFill="1" applyBorder="1"/>
    <xf numFmtId="0" fontId="0" fillId="4" borderId="4" xfId="0" applyFill="1" applyBorder="1"/>
    <xf numFmtId="0" fontId="0" fillId="4" borderId="0" xfId="0" applyFill="1"/>
    <xf numFmtId="0" fontId="0" fillId="0" borderId="0" xfId="0" applyAlignment="1"/>
    <xf numFmtId="9" fontId="0" fillId="0" borderId="0" xfId="2" applyFont="1"/>
    <xf numFmtId="9" fontId="0" fillId="0" borderId="2" xfId="2" applyFont="1" applyBorder="1" applyAlignment="1"/>
    <xf numFmtId="9" fontId="0" fillId="0" borderId="2" xfId="2" applyFont="1" applyBorder="1"/>
    <xf numFmtId="9" fontId="4" fillId="0" borderId="2" xfId="2" applyFont="1" applyBorder="1" applyAlignment="1"/>
    <xf numFmtId="0" fontId="4" fillId="0" borderId="2" xfId="0" applyFont="1" applyBorder="1" applyAlignment="1">
      <alignment horizontal="left"/>
    </xf>
    <xf numFmtId="0" fontId="0" fillId="0" borderId="2" xfId="0" applyBorder="1" applyAlignment="1">
      <alignment horizontal="left"/>
    </xf>
    <xf numFmtId="0" fontId="0" fillId="0" borderId="20" xfId="0" applyBorder="1"/>
    <xf numFmtId="0" fontId="0" fillId="0" borderId="44" xfId="0" applyBorder="1"/>
    <xf numFmtId="0" fontId="0" fillId="0" borderId="39" xfId="0" applyBorder="1"/>
    <xf numFmtId="0" fontId="0" fillId="0" borderId="49" xfId="0" applyBorder="1"/>
    <xf numFmtId="0" fontId="0" fillId="0" borderId="32" xfId="0" applyBorder="1"/>
    <xf numFmtId="0" fontId="0" fillId="0" borderId="0" xfId="0" applyNumberFormat="1" applyFill="1" applyBorder="1"/>
    <xf numFmtId="0" fontId="0" fillId="0" borderId="34" xfId="0" applyBorder="1"/>
    <xf numFmtId="0" fontId="4" fillId="0" borderId="20" xfId="0" applyFont="1" applyBorder="1"/>
    <xf numFmtId="0" fontId="4" fillId="0" borderId="44" xfId="0" applyFont="1" applyBorder="1"/>
    <xf numFmtId="0" fontId="4" fillId="0" borderId="39" xfId="0" applyFont="1" applyBorder="1"/>
    <xf numFmtId="0" fontId="4" fillId="0" borderId="49" xfId="0" applyFont="1" applyBorder="1"/>
    <xf numFmtId="0" fontId="4" fillId="0" borderId="31" xfId="0" applyFont="1" applyBorder="1"/>
    <xf numFmtId="0" fontId="4" fillId="0" borderId="3" xfId="0" applyFont="1" applyBorder="1"/>
    <xf numFmtId="0" fontId="4" fillId="0" borderId="13" xfId="0" applyFont="1" applyBorder="1"/>
    <xf numFmtId="0" fontId="4" fillId="0" borderId="52" xfId="0" applyFont="1" applyBorder="1"/>
    <xf numFmtId="0" fontId="4" fillId="0" borderId="32" xfId="0" applyFont="1" applyBorder="1"/>
    <xf numFmtId="0" fontId="4" fillId="0" borderId="8" xfId="0" applyFont="1" applyBorder="1"/>
    <xf numFmtId="0" fontId="4" fillId="0" borderId="50" xfId="0" applyFont="1" applyBorder="1"/>
    <xf numFmtId="0" fontId="4" fillId="0" borderId="34" xfId="0" applyFont="1" applyBorder="1"/>
    <xf numFmtId="0" fontId="4" fillId="0" borderId="45" xfId="0" applyFont="1" applyBorder="1"/>
    <xf numFmtId="0" fontId="4" fillId="0" borderId="40" xfId="0" applyFont="1" applyBorder="1"/>
    <xf numFmtId="0" fontId="4" fillId="0" borderId="51" xfId="0" applyFont="1" applyBorder="1"/>
    <xf numFmtId="0" fontId="4" fillId="0" borderId="0" xfId="0" applyFont="1" applyBorder="1"/>
    <xf numFmtId="0" fontId="4" fillId="0" borderId="32" xfId="0" applyFont="1" applyFill="1" applyBorder="1"/>
    <xf numFmtId="0" fontId="4" fillId="0" borderId="2" xfId="0" applyFont="1" applyBorder="1" applyAlignment="1"/>
    <xf numFmtId="0" fontId="0" fillId="0" borderId="2" xfId="0" applyBorder="1" applyAlignment="1"/>
    <xf numFmtId="10" fontId="0" fillId="4" borderId="2" xfId="2" applyNumberFormat="1" applyFont="1" applyFill="1" applyBorder="1"/>
    <xf numFmtId="0" fontId="0" fillId="0" borderId="54" xfId="0" applyFont="1" applyFill="1" applyBorder="1"/>
    <xf numFmtId="0" fontId="4" fillId="0" borderId="54" xfId="0" applyFont="1" applyFill="1" applyBorder="1"/>
    <xf numFmtId="10" fontId="4" fillId="0" borderId="2" xfId="2" applyNumberFormat="1" applyFont="1" applyBorder="1"/>
    <xf numFmtId="166" fontId="0" fillId="0" borderId="0" xfId="0" applyNumberFormat="1"/>
    <xf numFmtId="1" fontId="0" fillId="0" borderId="2" xfId="0" applyNumberFormat="1" applyBorder="1"/>
    <xf numFmtId="0" fontId="0" fillId="0" borderId="2" xfId="0" applyNumberFormat="1" applyFill="1" applyBorder="1"/>
    <xf numFmtId="0" fontId="4" fillId="0" borderId="22" xfId="0" applyFont="1" applyBorder="1"/>
    <xf numFmtId="0" fontId="0" fillId="0" borderId="25" xfId="0" applyBorder="1"/>
    <xf numFmtId="0" fontId="0" fillId="0" borderId="59" xfId="0" applyNumberFormat="1" applyBorder="1"/>
    <xf numFmtId="43" fontId="0" fillId="0" borderId="26" xfId="1" applyFont="1" applyBorder="1"/>
    <xf numFmtId="0" fontId="3" fillId="0" borderId="56" xfId="0" applyFont="1" applyBorder="1"/>
    <xf numFmtId="0" fontId="3" fillId="0" borderId="57" xfId="0" applyFont="1" applyBorder="1"/>
    <xf numFmtId="0" fontId="3" fillId="0" borderId="58" xfId="0" applyFont="1" applyFill="1" applyBorder="1"/>
    <xf numFmtId="0" fontId="4" fillId="0" borderId="59" xfId="0" applyNumberFormat="1" applyFont="1" applyBorder="1"/>
    <xf numFmtId="0" fontId="4" fillId="4" borderId="2" xfId="0" applyNumberFormat="1" applyFont="1" applyFill="1" applyBorder="1"/>
    <xf numFmtId="43" fontId="0" fillId="4" borderId="24" xfId="1" applyFont="1" applyFill="1" applyBorder="1"/>
    <xf numFmtId="43" fontId="0" fillId="0" borderId="0" xfId="0" applyNumberFormat="1"/>
    <xf numFmtId="43" fontId="0" fillId="4" borderId="2" xfId="0" applyNumberFormat="1" applyFill="1" applyBorder="1"/>
    <xf numFmtId="43" fontId="0" fillId="4" borderId="58" xfId="0" applyNumberFormat="1" applyFill="1" applyBorder="1"/>
    <xf numFmtId="43" fontId="0" fillId="4" borderId="24" xfId="0" applyNumberFormat="1" applyFill="1" applyBorder="1"/>
    <xf numFmtId="43" fontId="0" fillId="4" borderId="26" xfId="0" applyNumberFormat="1" applyFill="1" applyBorder="1"/>
    <xf numFmtId="0" fontId="4" fillId="0" borderId="0" xfId="0" applyFont="1" applyAlignment="1">
      <alignment wrapText="1"/>
    </xf>
    <xf numFmtId="0" fontId="3" fillId="4" borderId="17" xfId="0" applyFont="1" applyFill="1" applyBorder="1"/>
    <xf numFmtId="0" fontId="4" fillId="4" borderId="56" xfId="0" applyFont="1" applyFill="1" applyBorder="1" applyAlignment="1"/>
    <xf numFmtId="0" fontId="4" fillId="4" borderId="22" xfId="0" applyFont="1" applyFill="1" applyBorder="1" applyAlignment="1"/>
    <xf numFmtId="0" fontId="4" fillId="4" borderId="25" xfId="0" applyFont="1" applyFill="1" applyBorder="1" applyAlignment="1"/>
    <xf numFmtId="0" fontId="0" fillId="0" borderId="0" xfId="0" applyNumberFormat="1" applyFill="1" applyBorder="1" applyAlignment="1"/>
    <xf numFmtId="0" fontId="0" fillId="0" borderId="0" xfId="0" applyFill="1" applyBorder="1" applyAlignment="1"/>
    <xf numFmtId="0" fontId="0" fillId="0" borderId="60" xfId="0" applyFill="1" applyBorder="1" applyAlignment="1"/>
    <xf numFmtId="0" fontId="7" fillId="0" borderId="61" xfId="0" applyFont="1" applyFill="1" applyBorder="1" applyAlignment="1">
      <alignment horizontal="center"/>
    </xf>
    <xf numFmtId="0" fontId="4" fillId="4" borderId="62" xfId="0" applyFont="1" applyFill="1" applyBorder="1"/>
    <xf numFmtId="43" fontId="0" fillId="4" borderId="62" xfId="0" applyNumberFormat="1" applyFill="1" applyBorder="1"/>
    <xf numFmtId="43" fontId="4" fillId="4" borderId="2" xfId="0" applyNumberFormat="1" applyFont="1" applyFill="1" applyBorder="1"/>
    <xf numFmtId="0" fontId="4" fillId="0" borderId="63" xfId="0" applyFont="1" applyBorder="1"/>
    <xf numFmtId="2" fontId="0" fillId="4" borderId="63" xfId="0" applyNumberFormat="1" applyFill="1" applyBorder="1"/>
    <xf numFmtId="9" fontId="4" fillId="0" borderId="0" xfId="0" applyNumberFormat="1" applyFont="1"/>
    <xf numFmtId="10" fontId="3" fillId="0" borderId="2" xfId="2" applyNumberFormat="1" applyFont="1" applyBorder="1"/>
    <xf numFmtId="0" fontId="3" fillId="4" borderId="2" xfId="0" applyFont="1" applyFill="1" applyBorder="1"/>
    <xf numFmtId="0" fontId="4" fillId="0" borderId="0" xfId="0" applyFont="1" applyAlignment="1">
      <alignment horizontal="left" vertical="top" wrapText="1"/>
    </xf>
    <xf numFmtId="0" fontId="4" fillId="0" borderId="0" xfId="0" applyFont="1" applyAlignment="1">
      <alignment vertical="top" wrapText="1"/>
    </xf>
    <xf numFmtId="0" fontId="7" fillId="0" borderId="61" xfId="0" applyFont="1" applyFill="1" applyBorder="1" applyAlignment="1">
      <alignment horizontal="centerContinuous"/>
    </xf>
    <xf numFmtId="0" fontId="4" fillId="4" borderId="18" xfId="0" applyFont="1" applyFill="1" applyBorder="1"/>
    <xf numFmtId="1" fontId="0" fillId="4" borderId="2" xfId="0" applyNumberFormat="1" applyFill="1" applyBorder="1"/>
    <xf numFmtId="0" fontId="0" fillId="7" borderId="0" xfId="0" applyFill="1"/>
    <xf numFmtId="0" fontId="4" fillId="0" borderId="0" xfId="0" applyFont="1" applyAlignment="1">
      <alignment horizontal="center" wrapText="1"/>
    </xf>
    <xf numFmtId="0" fontId="0" fillId="0" borderId="0" xfId="0" applyAlignment="1">
      <alignment horizontal="center" wrapText="1"/>
    </xf>
    <xf numFmtId="0" fontId="4" fillId="0" borderId="0" xfId="0" applyNumberFormat="1" applyFont="1" applyAlignment="1">
      <alignment horizontal="center" wrapText="1"/>
    </xf>
    <xf numFmtId="0" fontId="0" fillId="0" borderId="0" xfId="0" applyNumberFormat="1" applyAlignment="1">
      <alignment horizontal="center" wrapText="1"/>
    </xf>
    <xf numFmtId="165" fontId="4" fillId="0" borderId="0" xfId="0" applyNumberFormat="1" applyFont="1" applyAlignment="1">
      <alignment horizontal="center"/>
    </xf>
    <xf numFmtId="165" fontId="0" fillId="0" borderId="16" xfId="0" applyNumberFormat="1" applyBorder="1" applyAlignment="1">
      <alignment horizontal="center"/>
    </xf>
    <xf numFmtId="165" fontId="0" fillId="0" borderId="0" xfId="0" applyNumberFormat="1" applyAlignment="1">
      <alignment horizontal="center"/>
    </xf>
    <xf numFmtId="0" fontId="4" fillId="0" borderId="2" xfId="0" applyFont="1" applyBorder="1" applyAlignment="1">
      <alignment horizontal="left"/>
    </xf>
    <xf numFmtId="0" fontId="0" fillId="0" borderId="2" xfId="0" applyBorder="1" applyAlignment="1">
      <alignment horizontal="left"/>
    </xf>
    <xf numFmtId="0" fontId="4" fillId="0" borderId="53" xfId="0" applyFont="1" applyBorder="1" applyAlignment="1">
      <alignment horizontal="left"/>
    </xf>
    <xf numFmtId="0" fontId="4" fillId="0" borderId="18" xfId="0" applyFont="1" applyBorder="1" applyAlignment="1">
      <alignment horizontal="left"/>
    </xf>
    <xf numFmtId="0" fontId="0" fillId="0" borderId="55" xfId="0" applyBorder="1" applyAlignment="1">
      <alignment horizontal="left"/>
    </xf>
    <xf numFmtId="0" fontId="0" fillId="0" borderId="19" xfId="0" applyBorder="1" applyAlignment="1">
      <alignment horizontal="left"/>
    </xf>
    <xf numFmtId="0" fontId="4" fillId="4" borderId="2" xfId="0" applyFont="1" applyFill="1" applyBorder="1" applyAlignment="1">
      <alignment horizontal="left"/>
    </xf>
    <xf numFmtId="0" fontId="4" fillId="0" borderId="0" xfId="0" applyFont="1" applyAlignment="1">
      <alignment horizontal="left" wrapText="1"/>
    </xf>
    <xf numFmtId="0" fontId="3" fillId="0" borderId="2" xfId="0" applyFont="1" applyBorder="1" applyAlignment="1">
      <alignment horizontal="center" wrapText="1"/>
    </xf>
    <xf numFmtId="0" fontId="4" fillId="0" borderId="0" xfId="0" applyFont="1" applyAlignment="1">
      <alignment horizontal="center"/>
    </xf>
    <xf numFmtId="0" fontId="3" fillId="0" borderId="2" xfId="0" applyFont="1" applyBorder="1" applyAlignment="1">
      <alignment horizontal="center"/>
    </xf>
    <xf numFmtId="0" fontId="4" fillId="0" borderId="0" xfId="0" applyFont="1" applyAlignment="1">
      <alignment horizontal="left"/>
    </xf>
    <xf numFmtId="0" fontId="0" fillId="0" borderId="0" xfId="0" applyAlignment="1">
      <alignment horizontal="left"/>
    </xf>
    <xf numFmtId="0" fontId="4" fillId="4" borderId="2" xfId="0" applyFont="1" applyFill="1" applyBorder="1" applyAlignment="1">
      <alignment horizontal="center" wrapText="1"/>
    </xf>
    <xf numFmtId="0" fontId="4" fillId="0" borderId="0" xfId="0" applyFont="1" applyAlignment="1">
      <alignment horizontal="left" vertical="top" wrapText="1"/>
    </xf>
    <xf numFmtId="0" fontId="4" fillId="0" borderId="0" xfId="0" applyFont="1" applyAlignment="1">
      <alignment horizontal="center" vertical="top" wrapText="1"/>
    </xf>
    <xf numFmtId="0" fontId="0" fillId="0" borderId="0" xfId="0" applyAlignment="1">
      <alignment horizontal="left" vertical="top" wrapText="1"/>
    </xf>
  </cellXfs>
  <cellStyles count="3">
    <cellStyle name="Comma" xfId="1" builtinId="3"/>
    <cellStyle name="Normal" xfId="0" builtinId="0"/>
    <cellStyle name="Percent" xfId="2" builtinId="5"/>
  </cellStyles>
  <dxfs count="51">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none">
          <fgColor indexed="64"/>
          <bgColor indexed="65"/>
        </patternFill>
      </fill>
    </dxf>
    <dxf>
      <fill>
        <patternFill patternType="none">
          <fgColor indexed="64"/>
          <bgColor indexed="65"/>
        </patternFill>
      </fill>
    </dxf>
    <dxf>
      <fill>
        <patternFill patternType="none">
          <bgColor auto="1"/>
        </patternFill>
      </fill>
    </dxf>
    <dxf>
      <fill>
        <patternFill>
          <bgColor theme="7"/>
        </patternFill>
      </fill>
    </dxf>
    <dxf>
      <fill>
        <patternFill>
          <bgColor theme="7"/>
        </patternFill>
      </fill>
    </dxf>
    <dxf>
      <fill>
        <patternFill patternType="solid">
          <bgColor theme="4" tint="0.79998168889431442"/>
        </patternFill>
      </fill>
    </dxf>
    <dxf>
      <fill>
        <patternFill>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FFFF00"/>
        </patternFill>
      </fill>
    </dxf>
    <dxf>
      <fill>
        <patternFill patternType="solid">
          <bgColor rgb="FFFFFF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
      <fill>
        <patternFill patternType="none">
          <bgColor auto="1"/>
        </patternFill>
      </fill>
    </dxf>
    <dxf>
      <fill>
        <patternFill patternType="none">
          <bgColor auto="1"/>
        </patternFill>
      </fill>
    </dxf>
    <dxf>
      <fill>
        <patternFill patternType="none">
          <bgColor auto="1"/>
        </patternFill>
      </fill>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FF00"/>
        </patternFill>
      </fill>
    </dxf>
    <dxf>
      <fill>
        <patternFill patternType="solid">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CDF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'Question 22'!$G$9:$G$11</c:f>
              <c:strCache>
                <c:ptCount val="3"/>
                <c:pt idx="0">
                  <c:v>i. P(X≦6000) </c:v>
                </c:pt>
                <c:pt idx="1">
                  <c:v>ii. P(X≦50000) </c:v>
                </c:pt>
                <c:pt idx="2">
                  <c:v>iii. P(X≦200000) </c:v>
                </c:pt>
              </c:strCache>
            </c:strRef>
          </c:cat>
          <c:val>
            <c:numRef>
              <c:f>'Question 22'!$K$9:$K$11</c:f>
              <c:numCache>
                <c:formatCode>_(* #,##0.00_);_(* \(#,##0.00\);_(* "-"??_);_(@_)</c:formatCode>
                <c:ptCount val="3"/>
                <c:pt idx="0">
                  <c:v>0.19230769230769232</c:v>
                </c:pt>
                <c:pt idx="1">
                  <c:v>0.74038461538461542</c:v>
                </c:pt>
                <c:pt idx="2">
                  <c:v>1</c:v>
                </c:pt>
              </c:numCache>
            </c:numRef>
          </c:val>
          <c:smooth val="0"/>
          <c:extLst>
            <c:ext xmlns:c16="http://schemas.microsoft.com/office/drawing/2014/chart" uri="{C3380CC4-5D6E-409C-BE32-E72D297353CC}">
              <c16:uniqueId val="{00000000-A235-3B4E-8E68-8D4456AAB392}"/>
            </c:ext>
          </c:extLst>
        </c:ser>
        <c:dLbls>
          <c:showLegendKey val="0"/>
          <c:showVal val="0"/>
          <c:showCatName val="0"/>
          <c:showSerName val="0"/>
          <c:showPercent val="0"/>
          <c:showBubbleSize val="0"/>
        </c:dLbls>
        <c:marker val="1"/>
        <c:smooth val="0"/>
        <c:axId val="538211471"/>
        <c:axId val="868809551"/>
      </c:lineChart>
      <c:catAx>
        <c:axId val="538211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809551"/>
        <c:crosses val="autoZero"/>
        <c:auto val="1"/>
        <c:lblAlgn val="ctr"/>
        <c:lblOffset val="100"/>
        <c:noMultiLvlLbl val="0"/>
      </c:catAx>
      <c:valAx>
        <c:axId val="868809551"/>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211471"/>
        <c:crosses val="autoZero"/>
        <c:crossBetween val="between"/>
      </c:valAx>
      <c:spPr>
        <a:noFill/>
        <a:ln>
          <a:solidFill>
            <a:schemeClr val="accent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Random Variables Vs Count</a:t>
            </a:r>
          </a:p>
        </c:rich>
      </c:tx>
      <c:overlay val="0"/>
    </c:title>
    <c:autoTitleDeleted val="0"/>
    <c:plotArea>
      <c:layout/>
      <c:barChart>
        <c:barDir val="col"/>
        <c:grouping val="clustered"/>
        <c:varyColors val="0"/>
        <c:ser>
          <c:idx val="0"/>
          <c:order val="0"/>
          <c:tx>
            <c:v>Frequency</c:v>
          </c:tx>
          <c:invertIfNegative val="0"/>
          <c:cat>
            <c:numRef>
              <c:f>'Question 22'!$G$63:$G$65</c:f>
              <c:numCache>
                <c:formatCode>General</c:formatCode>
                <c:ptCount val="3"/>
                <c:pt idx="0">
                  <c:v>6000</c:v>
                </c:pt>
                <c:pt idx="1">
                  <c:v>50000</c:v>
                </c:pt>
                <c:pt idx="2">
                  <c:v>200000</c:v>
                </c:pt>
              </c:numCache>
            </c:numRef>
          </c:cat>
          <c:val>
            <c:numRef>
              <c:f>'Question 22'!$H$63:$H$65</c:f>
              <c:numCache>
                <c:formatCode>General</c:formatCode>
                <c:ptCount val="3"/>
                <c:pt idx="0">
                  <c:v>20</c:v>
                </c:pt>
                <c:pt idx="1">
                  <c:v>57</c:v>
                </c:pt>
                <c:pt idx="2">
                  <c:v>27</c:v>
                </c:pt>
              </c:numCache>
            </c:numRef>
          </c:val>
          <c:extLst>
            <c:ext xmlns:c16="http://schemas.microsoft.com/office/drawing/2014/chart" uri="{C3380CC4-5D6E-409C-BE32-E72D297353CC}">
              <c16:uniqueId val="{00000001-3B61-264B-97BD-7B224928EAB8}"/>
            </c:ext>
          </c:extLst>
        </c:ser>
        <c:dLbls>
          <c:showLegendKey val="0"/>
          <c:showVal val="0"/>
          <c:showCatName val="0"/>
          <c:showSerName val="0"/>
          <c:showPercent val="0"/>
          <c:showBubbleSize val="0"/>
        </c:dLbls>
        <c:gapWidth val="150"/>
        <c:axId val="541269231"/>
        <c:axId val="541270959"/>
      </c:barChart>
      <c:catAx>
        <c:axId val="541269231"/>
        <c:scaling>
          <c:orientation val="minMax"/>
        </c:scaling>
        <c:delete val="0"/>
        <c:axPos val="b"/>
        <c:title>
          <c:tx>
            <c:rich>
              <a:bodyPr/>
              <a:lstStyle/>
              <a:p>
                <a:pPr>
                  <a:defRPr/>
                </a:pPr>
                <a:r>
                  <a:rPr lang="en-US"/>
                  <a:t>Bins</a:t>
                </a:r>
              </a:p>
            </c:rich>
          </c:tx>
          <c:overlay val="0"/>
        </c:title>
        <c:numFmt formatCode="General" sourceLinked="1"/>
        <c:majorTickMark val="out"/>
        <c:minorTickMark val="none"/>
        <c:tickLblPos val="nextTo"/>
        <c:crossAx val="541270959"/>
        <c:crosses val="autoZero"/>
        <c:auto val="1"/>
        <c:lblAlgn val="ctr"/>
        <c:lblOffset val="100"/>
        <c:noMultiLvlLbl val="0"/>
      </c:catAx>
      <c:valAx>
        <c:axId val="541270959"/>
        <c:scaling>
          <c:orientation val="minMax"/>
        </c:scaling>
        <c:delete val="0"/>
        <c:axPos val="l"/>
        <c:majorGridlines/>
        <c:title>
          <c:tx>
            <c:rich>
              <a:bodyPr/>
              <a:lstStyle/>
              <a:p>
                <a:pPr>
                  <a:defRPr/>
                </a:pPr>
                <a:r>
                  <a:rPr lang="en-US"/>
                  <a:t>Count</a:t>
                </a:r>
              </a:p>
            </c:rich>
          </c:tx>
          <c:overlay val="0"/>
        </c:title>
        <c:numFmt formatCode="General" sourceLinked="1"/>
        <c:majorTickMark val="out"/>
        <c:minorTickMark val="none"/>
        <c:tickLblPos val="nextTo"/>
        <c:crossAx val="541269231"/>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PMF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'Question 22'!$K$4:$K$6</c:f>
              <c:strCache>
                <c:ptCount val="3"/>
                <c:pt idx="0">
                  <c:v>P(X = 6000) = p1</c:v>
                </c:pt>
                <c:pt idx="1">
                  <c:v>P(X = 50000) = p2</c:v>
                </c:pt>
                <c:pt idx="2">
                  <c:v>P(X = 200000)  = p3</c:v>
                </c:pt>
              </c:strCache>
            </c:strRef>
          </c:cat>
          <c:val>
            <c:numRef>
              <c:f>'Question 22'!$L$4:$L$6</c:f>
              <c:numCache>
                <c:formatCode>_(* #,##0.00_);_(* \(#,##0.00\);_(* "-"??_);_(@_)</c:formatCode>
                <c:ptCount val="3"/>
                <c:pt idx="0">
                  <c:v>0.19230769230769232</c:v>
                </c:pt>
                <c:pt idx="1">
                  <c:v>0.54807692307692313</c:v>
                </c:pt>
                <c:pt idx="2">
                  <c:v>0.25961538461538464</c:v>
                </c:pt>
              </c:numCache>
            </c:numRef>
          </c:val>
          <c:extLst>
            <c:ext xmlns:c16="http://schemas.microsoft.com/office/drawing/2014/chart" uri="{C3380CC4-5D6E-409C-BE32-E72D297353CC}">
              <c16:uniqueId val="{00000000-CEAA-FC45-92A0-D09436B444DB}"/>
            </c:ext>
          </c:extLst>
        </c:ser>
        <c:dLbls>
          <c:showLegendKey val="0"/>
          <c:showVal val="0"/>
          <c:showCatName val="0"/>
          <c:showSerName val="0"/>
          <c:showPercent val="0"/>
          <c:showBubbleSize val="0"/>
        </c:dLbls>
        <c:gapWidth val="219"/>
        <c:overlap val="-27"/>
        <c:axId val="541283887"/>
        <c:axId val="541468495"/>
      </c:barChart>
      <c:catAx>
        <c:axId val="541283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468495"/>
        <c:crosses val="autoZero"/>
        <c:auto val="1"/>
        <c:lblAlgn val="ctr"/>
        <c:lblOffset val="100"/>
        <c:noMultiLvlLbl val="0"/>
      </c:catAx>
      <c:valAx>
        <c:axId val="541468495"/>
        <c:scaling>
          <c:orientation val="minMax"/>
        </c:scaling>
        <c:delete val="0"/>
        <c:axPos val="l"/>
        <c:majorGridlines>
          <c:spPr>
            <a:ln w="9525" cap="flat" cmpd="sng" algn="ctr">
              <a:solidFill>
                <a:schemeClr val="accent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Probability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28388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882650</xdr:colOff>
      <xdr:row>37</xdr:row>
      <xdr:rowOff>19050</xdr:rowOff>
    </xdr:from>
    <xdr:to>
      <xdr:col>10</xdr:col>
      <xdr:colOff>1079500</xdr:colOff>
      <xdr:row>53</xdr:row>
      <xdr:rowOff>120650</xdr:rowOff>
    </xdr:to>
    <xdr:graphicFrame macro="">
      <xdr:nvGraphicFramePr>
        <xdr:cNvPr id="4" name="Chart 3">
          <a:extLst>
            <a:ext uri="{FF2B5EF4-FFF2-40B4-BE49-F238E27FC236}">
              <a16:creationId xmlns:a16="http://schemas.microsoft.com/office/drawing/2014/main" id="{C7C01057-3E53-7646-8E3D-05384499A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876300</xdr:colOff>
      <xdr:row>68</xdr:row>
      <xdr:rowOff>88900</xdr:rowOff>
    </xdr:from>
    <xdr:to>
      <xdr:col>10</xdr:col>
      <xdr:colOff>1193800</xdr:colOff>
      <xdr:row>82</xdr:row>
      <xdr:rowOff>114300</xdr:rowOff>
    </xdr:to>
    <xdr:graphicFrame macro="">
      <xdr:nvGraphicFramePr>
        <xdr:cNvPr id="5" name="Chart 4">
          <a:extLst>
            <a:ext uri="{FF2B5EF4-FFF2-40B4-BE49-F238E27FC236}">
              <a16:creationId xmlns:a16="http://schemas.microsoft.com/office/drawing/2014/main" id="{36C098C9-042E-7849-819E-4378B0E6AA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869950</xdr:colOff>
      <xdr:row>16</xdr:row>
      <xdr:rowOff>146050</xdr:rowOff>
    </xdr:from>
    <xdr:to>
      <xdr:col>10</xdr:col>
      <xdr:colOff>1066800</xdr:colOff>
      <xdr:row>33</xdr:row>
      <xdr:rowOff>82550</xdr:rowOff>
    </xdr:to>
    <xdr:graphicFrame macro="">
      <xdr:nvGraphicFramePr>
        <xdr:cNvPr id="6" name="Chart 5">
          <a:extLst>
            <a:ext uri="{FF2B5EF4-FFF2-40B4-BE49-F238E27FC236}">
              <a16:creationId xmlns:a16="http://schemas.microsoft.com/office/drawing/2014/main" id="{8BB16CDB-83B3-7949-B753-FC191348CD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5</xdr:col>
      <xdr:colOff>63500</xdr:colOff>
      <xdr:row>8</xdr:row>
      <xdr:rowOff>12701</xdr:rowOff>
    </xdr:from>
    <xdr:ext cx="3657600" cy="190499"/>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9A678CE9-E8AF-574A-9B86-88295E02E653}"/>
                </a:ext>
              </a:extLst>
            </xdr:cNvPr>
            <xdr:cNvSpPr txBox="1"/>
          </xdr:nvSpPr>
          <xdr:spPr>
            <a:xfrm>
              <a:off x="4076700" y="1333501"/>
              <a:ext cx="3657600" cy="190499"/>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en-US" sz="1100" i="1">
                        <a:latin typeface="Cambria Math" panose="02040503050406030204" pitchFamily="18" charset="0"/>
                      </a:rPr>
                      <m:t>𝑝</m:t>
                    </m:r>
                    <m:r>
                      <a:rPr lang="en-US" sz="1100" i="1">
                        <a:latin typeface="Cambria Math" panose="02040503050406030204" pitchFamily="18" charset="0"/>
                      </a:rPr>
                      <m:t>1 ∗</m:t>
                    </m:r>
                    <m:d>
                      <m:dPr>
                        <m:ctrlPr>
                          <a:rPr lang="en-US" sz="1100" b="0" i="1">
                            <a:latin typeface="Cambria Math" panose="02040503050406030204" pitchFamily="18" charset="0"/>
                          </a:rPr>
                        </m:ctrlPr>
                      </m:dPr>
                      <m:e>
                        <m:r>
                          <a:rPr lang="en-US" sz="1100" i="1">
                            <a:latin typeface="Cambria Math" panose="02040503050406030204" pitchFamily="18" charset="0"/>
                          </a:rPr>
                          <m:t>6000–</m:t>
                        </m:r>
                        <m:r>
                          <a:rPr lang="el-GR" sz="1100" i="1">
                            <a:latin typeface="Cambria Math" panose="02040503050406030204" pitchFamily="18" charset="0"/>
                          </a:rPr>
                          <m:t>𝜇</m:t>
                        </m:r>
                      </m:e>
                    </m:d>
                    <m:r>
                      <a:rPr lang="el-GR" sz="1100" i="1">
                        <a:latin typeface="Cambria Math" panose="02040503050406030204" pitchFamily="18" charset="0"/>
                      </a:rPr>
                      <m:t>2+</m:t>
                    </m:r>
                    <m:r>
                      <a:rPr lang="en-US" sz="1100" i="1">
                        <a:latin typeface="Cambria Math" panose="02040503050406030204" pitchFamily="18" charset="0"/>
                      </a:rPr>
                      <m:t>𝑝</m:t>
                    </m:r>
                    <m:r>
                      <a:rPr lang="en-US" sz="1100" i="1">
                        <a:latin typeface="Cambria Math" panose="02040503050406030204" pitchFamily="18" charset="0"/>
                      </a:rPr>
                      <m:t>2∗ </m:t>
                    </m:r>
                    <m:d>
                      <m:dPr>
                        <m:ctrlPr>
                          <a:rPr lang="en-US" sz="1100" b="0" i="1">
                            <a:latin typeface="Cambria Math" panose="02040503050406030204" pitchFamily="18" charset="0"/>
                          </a:rPr>
                        </m:ctrlPr>
                      </m:dPr>
                      <m:e>
                        <m:r>
                          <a:rPr lang="en-US" sz="1100" i="1">
                            <a:latin typeface="Cambria Math" panose="02040503050406030204" pitchFamily="18" charset="0"/>
                          </a:rPr>
                          <m:t>50000–</m:t>
                        </m:r>
                        <m:r>
                          <a:rPr lang="el-GR" sz="1100" i="1">
                            <a:latin typeface="Cambria Math" panose="02040503050406030204" pitchFamily="18" charset="0"/>
                          </a:rPr>
                          <m:t>𝜇</m:t>
                        </m:r>
                      </m:e>
                    </m:d>
                    <m:r>
                      <a:rPr lang="el-GR" sz="1100" i="1">
                        <a:latin typeface="Cambria Math" panose="02040503050406030204" pitchFamily="18" charset="0"/>
                      </a:rPr>
                      <m:t>2+</m:t>
                    </m:r>
                    <m:r>
                      <a:rPr lang="en-US" sz="1100" i="1">
                        <a:latin typeface="Cambria Math" panose="02040503050406030204" pitchFamily="18" charset="0"/>
                      </a:rPr>
                      <m:t>𝑝</m:t>
                    </m:r>
                    <m:r>
                      <a:rPr lang="en-US" sz="1100" i="1">
                        <a:latin typeface="Cambria Math" panose="02040503050406030204" pitchFamily="18" charset="0"/>
                      </a:rPr>
                      <m:t>3∗ (200000–</m:t>
                    </m:r>
                    <m:r>
                      <a:rPr lang="el-GR" sz="1100" i="1">
                        <a:latin typeface="Cambria Math" panose="02040503050406030204" pitchFamily="18" charset="0"/>
                      </a:rPr>
                      <m:t>𝜇</m:t>
                    </m:r>
                    <m:r>
                      <a:rPr lang="el-GR" sz="1100" i="1">
                        <a:latin typeface="Cambria Math" panose="02040503050406030204" pitchFamily="18" charset="0"/>
                      </a:rPr>
                      <m:t>)2</m:t>
                    </m:r>
                  </m:oMath>
                </m:oMathPara>
              </a14:m>
              <a:endParaRPr lang="en-US" sz="1100"/>
            </a:p>
          </xdr:txBody>
        </xdr:sp>
      </mc:Choice>
      <mc:Fallback xmlns="">
        <xdr:sp macro="" textlink="">
          <xdr:nvSpPr>
            <xdr:cNvPr id="2" name="TextBox 1">
              <a:extLst>
                <a:ext uri="{FF2B5EF4-FFF2-40B4-BE49-F238E27FC236}">
                  <a16:creationId xmlns:a16="http://schemas.microsoft.com/office/drawing/2014/main" id="{9A678CE9-E8AF-574A-9B86-88295E02E653}"/>
                </a:ext>
              </a:extLst>
            </xdr:cNvPr>
            <xdr:cNvSpPr txBox="1"/>
          </xdr:nvSpPr>
          <xdr:spPr>
            <a:xfrm>
              <a:off x="4076700" y="1333501"/>
              <a:ext cx="3657600" cy="190499"/>
            </a:xfrm>
            <a:prstGeom prst="rect">
              <a:avLst/>
            </a:prstGeom>
            <a:solidFill>
              <a:schemeClr val="bg1"/>
            </a:solid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100" i="0">
                  <a:latin typeface="Cambria Math" panose="02040503050406030204" pitchFamily="18" charset="0"/>
                </a:rPr>
                <a:t>𝑝1</a:t>
              </a:r>
              <a:r>
                <a:rPr lang="en-US" sz="1100" b="0" i="0">
                  <a:latin typeface="Cambria Math" panose="02040503050406030204" pitchFamily="18" charset="0"/>
                </a:rPr>
                <a:t> ∗(</a:t>
              </a:r>
              <a:r>
                <a:rPr lang="en-US" sz="1100" i="0">
                  <a:latin typeface="Cambria Math" panose="02040503050406030204" pitchFamily="18" charset="0"/>
                </a:rPr>
                <a:t>6000–</a:t>
              </a:r>
              <a:r>
                <a:rPr lang="el-GR" sz="1100" i="0">
                  <a:latin typeface="Cambria Math" panose="02040503050406030204" pitchFamily="18" charset="0"/>
                </a:rPr>
                <a:t>𝜇)2+</a:t>
              </a:r>
              <a:r>
                <a:rPr lang="en-US" sz="1100" i="0">
                  <a:latin typeface="Cambria Math" panose="02040503050406030204" pitchFamily="18" charset="0"/>
                </a:rPr>
                <a:t>𝑝2</a:t>
              </a:r>
              <a:r>
                <a:rPr lang="en-US" sz="1100" b="0" i="0">
                  <a:latin typeface="Cambria Math" panose="02040503050406030204" pitchFamily="18" charset="0"/>
                </a:rPr>
                <a:t>∗ (</a:t>
              </a:r>
              <a:r>
                <a:rPr lang="en-US" sz="1100" i="0">
                  <a:latin typeface="Cambria Math" panose="02040503050406030204" pitchFamily="18" charset="0"/>
                </a:rPr>
                <a:t>50000–</a:t>
              </a:r>
              <a:r>
                <a:rPr lang="el-GR" sz="1100" i="0">
                  <a:latin typeface="Cambria Math" panose="02040503050406030204" pitchFamily="18" charset="0"/>
                </a:rPr>
                <a:t>𝜇)2+</a:t>
              </a:r>
              <a:r>
                <a:rPr lang="en-US" sz="1100" i="0">
                  <a:latin typeface="Cambria Math" panose="02040503050406030204" pitchFamily="18" charset="0"/>
                </a:rPr>
                <a:t>𝑝3</a:t>
              </a:r>
              <a:r>
                <a:rPr lang="en-US" sz="1100" b="0" i="0">
                  <a:latin typeface="Cambria Math" panose="02040503050406030204" pitchFamily="18" charset="0"/>
                </a:rPr>
                <a:t>∗ </a:t>
              </a:r>
              <a:r>
                <a:rPr lang="en-US" sz="1100" i="0">
                  <a:latin typeface="Cambria Math" panose="02040503050406030204" pitchFamily="18" charset="0"/>
                </a:rPr>
                <a:t>(200000–</a:t>
              </a:r>
              <a:r>
                <a:rPr lang="el-GR" sz="1100" i="0">
                  <a:latin typeface="Cambria Math" panose="02040503050406030204" pitchFamily="18" charset="0"/>
                </a:rPr>
                <a:t>𝜇)2</a:t>
              </a:r>
              <a:endParaRPr lang="en-US" sz="1100"/>
            </a:p>
          </xdr:txBody>
        </xdr:sp>
      </mc:Fallback>
    </mc:AlternateContent>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53.79557199074" createdVersion="1" refreshedVersion="6" recordCount="105" upgradeOnRefresh="1" xr:uid="{00000000-000A-0000-FFFF-FFFF1B000000}">
  <cacheSource type="worksheet">
    <worksheetSource ref="A1:T65536" sheet="FinalBill"/>
  </cacheSource>
  <cacheFields count="20">
    <cacheField name="Patient Type" numFmtId="0">
      <sharedItems containsBlank="1" count="3">
        <s v="IP"/>
        <s v="DAY CARE"/>
        <m/>
      </sharedItems>
    </cacheField>
    <cacheField name="Category" numFmtId="0">
      <sharedItems containsBlank="1" count="3">
        <s v="GENERAL"/>
        <s v="SPONSOR"/>
        <m/>
      </sharedItems>
    </cacheField>
    <cacheField name="Pay Type" numFmtId="0">
      <sharedItems containsBlank="1" count="3">
        <s v="CASH"/>
        <s v="CREDIT"/>
        <m/>
      </sharedItems>
    </cacheField>
    <cacheField name="PatientID" numFmtId="0">
      <sharedItems containsBlank="1" count="100">
        <s v="3157"/>
        <s v="3160"/>
        <s v="3165"/>
        <s v="3167"/>
        <s v="3169"/>
        <s v="3170"/>
        <s v="3172"/>
        <s v="3173"/>
        <s v="3174"/>
        <s v="3175"/>
        <s v="3176"/>
        <s v="3183"/>
        <s v="3184"/>
        <s v="3185"/>
        <s v="3187"/>
        <s v="3190"/>
        <s v="3250"/>
        <s v="1294"/>
        <s v="1508"/>
        <s v="1612"/>
        <s v="1744"/>
        <s v="1982"/>
        <s v="2011"/>
        <s v="2432"/>
        <s v="2493"/>
        <s v="2677"/>
        <s v="2730"/>
        <s v="2755"/>
        <s v="2759"/>
        <s v="2807"/>
        <s v="2813"/>
        <s v="2826"/>
        <s v="2876"/>
        <s v="2877"/>
        <s v="2883"/>
        <s v="2892"/>
        <s v="2897"/>
        <s v="2900"/>
        <s v="0973"/>
        <s v="2918"/>
        <s v="2921"/>
        <s v="2937"/>
        <s v="2941"/>
        <s v="2948"/>
        <s v="2953"/>
        <s v="2962"/>
        <s v="2969"/>
        <s v="2970"/>
        <s v="2978"/>
        <s v="2979"/>
        <s v="2986"/>
        <s v="2988"/>
        <s v="2989"/>
        <s v="2991"/>
        <s v="2992"/>
        <s v="2993"/>
        <s v="2995"/>
        <s v="3000"/>
        <s v="3001"/>
        <s v="3006"/>
        <s v="3009"/>
        <s v="3015"/>
        <s v="3018"/>
        <s v="3027"/>
        <s v="3037"/>
        <s v="3039"/>
        <s v="3042"/>
        <s v="3043"/>
        <s v="3048"/>
        <s v="3051"/>
        <s v="3057"/>
        <s v="3059"/>
        <s v="3060"/>
        <s v="3061"/>
        <s v="3068"/>
        <s v="3069"/>
        <s v="3071"/>
        <s v="3077"/>
        <s v="3080"/>
        <s v="3081"/>
        <s v="3082"/>
        <s v="3084"/>
        <s v="3085"/>
        <s v="3086"/>
        <s v="3089"/>
        <s v="3090"/>
        <s v="3100"/>
        <s v="3104"/>
        <s v="3105"/>
        <s v="3106"/>
        <s v="3107"/>
        <s v="3114"/>
        <s v="3120"/>
        <s v="3124"/>
        <s v="3126"/>
        <s v="3130"/>
        <s v="3135"/>
        <s v="3141"/>
        <s v="3146"/>
        <m/>
      </sharedItems>
    </cacheField>
    <cacheField name="SponsorID" numFmtId="0">
      <sharedItems containsBlank="1" count="22">
        <s v="SPON1"/>
        <s v="SPON5"/>
        <s v="SPON20"/>
        <s v="SPON6"/>
        <s v="SPON2"/>
        <s v="SPON11"/>
        <s v="SPON13"/>
        <s v="SPON15"/>
        <s v="SPON3"/>
        <s v="SPON9"/>
        <s v="SPON8"/>
        <s v="SPON14"/>
        <s v="SPON12"/>
        <s v="SPON21"/>
        <s v="SPON10"/>
        <s v="SPON17"/>
        <s v="SPON19"/>
        <s v="SPON4"/>
        <s v="SPON16"/>
        <s v="SPON18"/>
        <s v="SPON7"/>
        <m/>
      </sharedItems>
    </cacheField>
    <cacheField name="DoctorID" numFmtId="0">
      <sharedItems containsBlank="1" count="35">
        <s v="DOC20"/>
        <s v="DOC31"/>
        <s v="DOC32"/>
        <s v="DOC34"/>
        <s v="DOC2"/>
        <s v="DOC29"/>
        <s v="DOC33"/>
        <s v="DOC19"/>
        <s v="DOC30"/>
        <s v="DOC13"/>
        <s v="DOC17"/>
        <s v="DOC9"/>
        <s v="DOC18"/>
        <s v="DOC16"/>
        <s v="DOC24"/>
        <s v="DOC7"/>
        <s v="DOC5"/>
        <s v="DOC1"/>
        <s v="DOC6"/>
        <s v="DOC4"/>
        <s v="DOC8"/>
        <s v="DOC27"/>
        <s v="DOC26"/>
        <s v="DOC10"/>
        <s v="DOC3"/>
        <s v="DOC21"/>
        <s v="DOC23"/>
        <s v="DOC22"/>
        <s v="DOC25"/>
        <s v="DOC11"/>
        <s v="DOC12"/>
        <s v="DOC15"/>
        <s v="DOC28"/>
        <s v="DOC14"/>
        <m/>
      </sharedItems>
    </cacheField>
    <cacheField name="DepartmentID" numFmtId="0">
      <sharedItems containsBlank="1" count="18">
        <s v="DEP12"/>
        <s v="DEP15"/>
        <s v="DEP16"/>
        <s v="DEP17"/>
        <s v="DEP2"/>
        <s v="DEP14"/>
        <s v="DEP9"/>
        <s v="DEP11"/>
        <s v="DEP6"/>
        <s v="DEP10"/>
        <s v="DEP5"/>
        <s v="DEP3"/>
        <s v="DEP1"/>
        <s v="DEP4"/>
        <s v="DEP7"/>
        <s v="DEP8"/>
        <s v="DEP13"/>
        <m/>
      </sharedItems>
    </cacheField>
    <cacheField name="BillID" numFmtId="0">
      <sharedItems containsBlank="1"/>
    </cacheField>
    <cacheField name="FinalBillDate" numFmtId="0">
      <sharedItems containsBlank="1"/>
    </cacheField>
    <cacheField name="Registration Date" numFmtId="0">
      <sharedItems containsBlank="1"/>
    </cacheField>
    <cacheField name="Discharge Date" numFmtId="0">
      <sharedItems containsBlank="1"/>
    </cacheField>
    <cacheField name="User" numFmtId="0">
      <sharedItems containsBlank="1"/>
    </cacheField>
    <cacheField name="Pharma" numFmtId="0">
      <sharedItems containsString="0" containsBlank="1" containsNumber="1" minValue="0" maxValue="30082.5"/>
    </cacheField>
    <cacheField name="Consumables" numFmtId="0">
      <sharedItems containsString="0" containsBlank="1" containsNumber="1" minValue="0" maxValue="82533"/>
    </cacheField>
    <cacheField name="Investigations" numFmtId="0">
      <sharedItems containsString="0" containsBlank="1" containsNumber="1" minValue="0" maxValue="49980"/>
    </cacheField>
    <cacheField name="Others" numFmtId="0">
      <sharedItems containsString="0" containsBlank="1" containsNumber="1" minValue="73.5" maxValue="315000"/>
    </cacheField>
    <cacheField name="BilledAmount" numFmtId="0">
      <sharedItems containsString="0" containsBlank="1" containsNumber="1" minValue="73.5" maxValue="701249.22750000004" count="91">
        <n v="8501.3024999999998"/>
        <n v="135016.5"/>
        <n v="136713.75"/>
        <n v="105035.43"/>
        <n v="701249.22750000004"/>
        <n v="115557.6225"/>
        <n v="82963.237499999988"/>
        <n v="9375"/>
        <n v="45882.75"/>
        <n v="11045.782499999999"/>
        <n v="151695.45000000001"/>
        <n v="90000"/>
        <n v="85163.557499999995"/>
        <n v="130559.32500000001"/>
        <n v="19292.13"/>
        <n v="75516.299999999988"/>
        <n v="7500"/>
        <n v="150000"/>
        <n v="26250"/>
        <n v="30000"/>
        <n v="225033"/>
        <n v="433.125"/>
        <n v="658.125"/>
        <n v="112083.39749999999"/>
        <n v="270290.28749999998"/>
        <n v="252000"/>
        <n v="6000"/>
        <n v="1381.875"/>
        <n v="9750"/>
        <n v="21965.872500000001"/>
        <n v="506.25"/>
        <n v="60725.497499999998"/>
        <n v="33750"/>
        <n v="90028.132499999992"/>
        <n v="75000"/>
        <n v="91995.854999999996"/>
        <n v="71250"/>
        <n v="25749.375"/>
        <n v="630000.29249999998"/>
        <n v="37338.832500000004"/>
        <n v="309750"/>
        <n v="113221.5"/>
        <n v="73.5"/>
        <n v="11504.647500000001"/>
        <n v="83736.112499999988"/>
        <n v="35235.360000000001"/>
        <n v="93750.225000000006"/>
        <n v="153701.92499999999"/>
        <n v="19896.675000000003"/>
        <n v="32585.827499999999"/>
        <n v="10875"/>
        <n v="131266.5"/>
        <n v="133381.38"/>
        <n v="97361.25"/>
        <n v="9562.5"/>
        <n v="19792.695"/>
        <n v="73646.684999999998"/>
        <n v="17132.2425"/>
        <n v="142500"/>
        <n v="159750"/>
        <n v="15562.5"/>
        <n v="77623.049999999988"/>
        <n v="6322.3575000000001"/>
        <n v="41813.962499999994"/>
        <n v="63012"/>
        <n v="46233.75"/>
        <n v="12996"/>
        <n v="73413.705000000002"/>
        <n v="24456.27"/>
        <n v="97500"/>
        <n v="46500"/>
        <n v="57000"/>
        <n v="7502.61"/>
        <n v="41250"/>
        <n v="23576.864999999998"/>
        <n v="142499.77500000002"/>
        <n v="101171.28749999999"/>
        <n v="58380.959999999999"/>
        <n v="138364.875"/>
        <n v="86884.5"/>
        <n v="55500"/>
        <n v="62667.097500000003"/>
        <n v="22460.017499999998"/>
        <n v="135000"/>
        <n v="375"/>
        <n v="51702"/>
        <n v="30375"/>
        <n v="79278"/>
        <n v="11250"/>
        <n v="62625"/>
        <m/>
      </sharedItems>
    </cacheField>
    <cacheField name="ReceivedAmt" numFmtId="0">
      <sharedItems containsString="0" containsBlank="1" containsNumber="1" minValue="0" maxValue="551250" count="51">
        <n v="0"/>
        <n v="551250"/>
        <n v="12750"/>
        <n v="18795"/>
        <n v="90000"/>
        <n v="8011.5"/>
        <n v="621"/>
        <n v="75516"/>
        <n v="7500"/>
        <n v="150000"/>
        <n v="26250"/>
        <n v="30000"/>
        <n v="433.5"/>
        <n v="658.5"/>
        <n v="3432.75"/>
        <n v="252000"/>
        <n v="6000"/>
        <n v="1382.25"/>
        <n v="9750"/>
        <n v="506.25"/>
        <n v="60725.25"/>
        <n v="33750"/>
        <n v="90028.5"/>
        <n v="75000"/>
        <n v="7989"/>
        <n v="71250"/>
        <n v="142500"/>
        <n v="37338.75"/>
        <n v="309750"/>
        <n v="73.5"/>
        <n v="11268"/>
        <n v="2575.5"/>
        <n v="93750"/>
        <n v="33924"/>
        <n v="8073"/>
        <n v="9000"/>
        <n v="2550.75"/>
        <n v="159750"/>
        <n v="15562.5"/>
        <n v="3459"/>
        <n v="24456"/>
        <n v="46500"/>
        <n v="7502.25"/>
        <n v="41250"/>
        <n v="1569.75"/>
        <n v="62667"/>
        <n v="135000"/>
        <n v="375"/>
        <n v="79278"/>
        <n v="11250"/>
        <m/>
      </sharedItems>
    </cacheField>
    <cacheField name="AmountDue" numFmtId="0">
      <sharedItems containsString="0" containsBlank="1" containsNumber="1" minValue="-0.375" maxValue="487500.29249999998" count="68">
        <n v="8501.3024999999998"/>
        <n v="135016.5"/>
        <n v="136713.75"/>
        <n v="105035.43"/>
        <n v="149999.22750000004"/>
        <n v="102807.6225"/>
        <n v="82963.237499999988"/>
        <n v="9375"/>
        <n v="45882.75"/>
        <n v="11045.782499999999"/>
        <n v="132900.45000000001"/>
        <n v="0"/>
        <n v="85163.557499999995"/>
        <n v="122547.82500000001"/>
        <n v="18671.13"/>
        <n v="0.29999999998835847"/>
        <n v="225033"/>
        <n v="-0.375"/>
        <n v="108650.64749999999"/>
        <n v="270290.28749999998"/>
        <n v="21965.872500000001"/>
        <n v="0.24749999999767169"/>
        <n v="-0.367500000007567"/>
        <n v="84006.854999999996"/>
        <n v="25749.375"/>
        <n v="487500.29249999998"/>
        <n v="8.2500000004074536E-2"/>
        <n v="113221.5"/>
        <n v="11504.647500000001"/>
        <n v="72468.112499999988"/>
        <n v="32659.86"/>
        <n v="0.22500000000582077"/>
        <n v="119777.92499999999"/>
        <n v="19896.675000000003"/>
        <n v="24512.827499999999"/>
        <n v="10875"/>
        <n v="122266.5"/>
        <n v="133381.38"/>
        <n v="97361.25"/>
        <n v="9562.5"/>
        <n v="19792.695"/>
        <n v="73646.684999999998"/>
        <n v="14581.4925"/>
        <n v="142500"/>
        <n v="74164.049999999988"/>
        <n v="6322.3575000000001"/>
        <n v="41813.962499999994"/>
        <n v="63012"/>
        <n v="46233.75"/>
        <n v="12996"/>
        <n v="73413.705000000002"/>
        <n v="0.27000000000043656"/>
        <n v="97500"/>
        <n v="57000"/>
        <n v="0.35999999999967258"/>
        <n v="23576.864999999998"/>
        <n v="-0.22499999997671694"/>
        <n v="99601.537499999991"/>
        <n v="58380.959999999999"/>
        <n v="138364.875"/>
        <n v="86884.5"/>
        <n v="55500"/>
        <n v="9.750000000349246E-2"/>
        <n v="22460.017499999998"/>
        <n v="51702"/>
        <n v="30375"/>
        <n v="62625"/>
        <m/>
      </sharedItems>
    </cacheField>
    <cacheField name="PackageID"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53.803048842594" createdVersion="1" refreshedVersion="6" recordCount="104" upgradeOnRefresh="1" xr:uid="{00000000-000A-0000-FFFF-FFFF17000000}">
  <cacheSource type="worksheet">
    <worksheetSource ref="A1:T105" sheet="FinalBill"/>
  </cacheSource>
  <cacheFields count="20">
    <cacheField name="Patient Type" numFmtId="0">
      <sharedItems count="2">
        <s v="IP"/>
        <s v="DAY CARE"/>
      </sharedItems>
    </cacheField>
    <cacheField name="Category" numFmtId="0">
      <sharedItems count="2">
        <s v="GENERAL"/>
        <s v="SPONSOR"/>
      </sharedItems>
    </cacheField>
    <cacheField name="Pay Type" numFmtId="0">
      <sharedItems count="2">
        <s v="CASH"/>
        <s v="CREDIT"/>
      </sharedItems>
    </cacheField>
    <cacheField name="PatientID" numFmtId="0">
      <sharedItems count="99">
        <s v="3157"/>
        <s v="3160"/>
        <s v="3165"/>
        <s v="3167"/>
        <s v="3169"/>
        <s v="3170"/>
        <s v="3172"/>
        <s v="3173"/>
        <s v="3174"/>
        <s v="3175"/>
        <s v="3176"/>
        <s v="3183"/>
        <s v="3184"/>
        <s v="3185"/>
        <s v="3187"/>
        <s v="3190"/>
        <s v="3250"/>
        <s v="1294"/>
        <s v="1508"/>
        <s v="1612"/>
        <s v="1744"/>
        <s v="1982"/>
        <s v="2011"/>
        <s v="2432"/>
        <s v="2493"/>
        <s v="2677"/>
        <s v="2730"/>
        <s v="2755"/>
        <s v="2759"/>
        <s v="2807"/>
        <s v="2813"/>
        <s v="2826"/>
        <s v="2876"/>
        <s v="2877"/>
        <s v="2883"/>
        <s v="2892"/>
        <s v="2897"/>
        <s v="2900"/>
        <s v="0973"/>
        <s v="2918"/>
        <s v="2921"/>
        <s v="2937"/>
        <s v="2941"/>
        <s v="2948"/>
        <s v="2953"/>
        <s v="2962"/>
        <s v="2969"/>
        <s v="2970"/>
        <s v="2978"/>
        <s v="2979"/>
        <s v="2986"/>
        <s v="2988"/>
        <s v="2989"/>
        <s v="2991"/>
        <s v="2992"/>
        <s v="2993"/>
        <s v="2995"/>
        <s v="3000"/>
        <s v="3001"/>
        <s v="3006"/>
        <s v="3009"/>
        <s v="3015"/>
        <s v="3018"/>
        <s v="3027"/>
        <s v="3037"/>
        <s v="3039"/>
        <s v="3042"/>
        <s v="3043"/>
        <s v="3048"/>
        <s v="3051"/>
        <s v="3057"/>
        <s v="3059"/>
        <s v="3060"/>
        <s v="3061"/>
        <s v="3068"/>
        <s v="3069"/>
        <s v="3071"/>
        <s v="3077"/>
        <s v="3080"/>
        <s v="3081"/>
        <s v="3082"/>
        <s v="3084"/>
        <s v="3085"/>
        <s v="3086"/>
        <s v="3089"/>
        <s v="3090"/>
        <s v="3100"/>
        <s v="3104"/>
        <s v="3105"/>
        <s v="3106"/>
        <s v="3107"/>
        <s v="3114"/>
        <s v="3120"/>
        <s v="3124"/>
        <s v="3126"/>
        <s v="3130"/>
        <s v="3135"/>
        <s v="3141"/>
        <s v="3146"/>
      </sharedItems>
    </cacheField>
    <cacheField name="SponsorID" numFmtId="0">
      <sharedItems count="21">
        <s v="SPON1"/>
        <s v="SPON5"/>
        <s v="SPON20"/>
        <s v="SPON6"/>
        <s v="SPON2"/>
        <s v="SPON11"/>
        <s v="SPON13"/>
        <s v="SPON15"/>
        <s v="SPON3"/>
        <s v="SPON9"/>
        <s v="SPON8"/>
        <s v="SPON14"/>
        <s v="SPON12"/>
        <s v="SPON21"/>
        <s v="SPON10"/>
        <s v="SPON17"/>
        <s v="SPON19"/>
        <s v="SPON4"/>
        <s v="SPON16"/>
        <s v="SPON18"/>
        <s v="SPON7"/>
      </sharedItems>
    </cacheField>
    <cacheField name="DoctorID" numFmtId="0">
      <sharedItems/>
    </cacheField>
    <cacheField name="DepartmentID" numFmtId="0">
      <sharedItems count="17">
        <s v="DEP12"/>
        <s v="DEP15"/>
        <s v="DEP16"/>
        <s v="DEP17"/>
        <s v="DEP2"/>
        <s v="DEP14"/>
        <s v="DEP9"/>
        <s v="DEP11"/>
        <s v="DEP6"/>
        <s v="DEP10"/>
        <s v="DEP5"/>
        <s v="DEP3"/>
        <s v="DEP1"/>
        <s v="DEP4"/>
        <s v="DEP7"/>
        <s v="DEP8"/>
        <s v="DEP13"/>
      </sharedItems>
    </cacheField>
    <cacheField name="BillID" numFmtId="0">
      <sharedItems count="64">
        <s v="20005"/>
        <s v="20014"/>
        <s v="10007"/>
        <s v="20006"/>
        <s v="10006"/>
        <s v="10023"/>
        <s v="20007"/>
        <s v="10010"/>
        <s v="10005"/>
        <s v="10026"/>
        <s v="20018"/>
        <s v="20022"/>
        <s v="10025"/>
        <s v="10020"/>
        <s v="20012"/>
        <s v="10021"/>
        <s v="20003"/>
        <s v="10002"/>
        <s v="20002"/>
        <s v="20001"/>
        <s v="20026"/>
        <s v="10030"/>
        <s v="20020"/>
        <s v="10015"/>
        <s v="10001"/>
        <s v="10033"/>
        <s v="10014"/>
        <s v="20008"/>
        <s v="10022"/>
        <s v="10004"/>
        <s v="10037"/>
        <s v="10003"/>
        <s v="10016"/>
        <s v="20011"/>
        <s v="20017"/>
        <s v="10012"/>
        <s v="20010"/>
        <s v="10019"/>
        <s v="20021"/>
        <s v="10011"/>
        <s v="10027"/>
        <s v="20016"/>
        <s v="10013"/>
        <s v="10036"/>
        <s v="10032"/>
        <s v="20013"/>
        <s v="10008"/>
        <s v="10024"/>
        <s v="10034"/>
        <s v="10009"/>
        <s v="10029"/>
        <s v="10017"/>
        <s v="20009"/>
        <s v="20023"/>
        <s v="20027"/>
        <s v="10018"/>
        <s v="10038"/>
        <s v="20004"/>
        <s v="20015"/>
        <s v="10028"/>
        <s v="10035"/>
        <s v="10031"/>
        <s v="20019"/>
        <s v="20024"/>
      </sharedItems>
    </cacheField>
    <cacheField name="FinalBillDate" numFmtId="0">
      <sharedItems/>
    </cacheField>
    <cacheField name="Registration Date" numFmtId="0">
      <sharedItems/>
    </cacheField>
    <cacheField name="Discharge Date" numFmtId="0">
      <sharedItems/>
    </cacheField>
    <cacheField name="User" numFmtId="0">
      <sharedItems/>
    </cacheField>
    <cacheField name="Pharma" numFmtId="1">
      <sharedItems containsSemiMixedTypes="0" containsString="0" containsNumber="1" minValue="0" maxValue="30082.5"/>
    </cacheField>
    <cacheField name="Consumables" numFmtId="1">
      <sharedItems containsSemiMixedTypes="0" containsString="0" containsNumber="1" minValue="0" maxValue="82533"/>
    </cacheField>
    <cacheField name="Investigations" numFmtId="1">
      <sharedItems containsSemiMixedTypes="0" containsString="0" containsNumber="1" minValue="0" maxValue="49980"/>
    </cacheField>
    <cacheField name="Others" numFmtId="1">
      <sharedItems containsSemiMixedTypes="0" containsString="0" containsNumber="1" minValue="73.5" maxValue="315000"/>
    </cacheField>
    <cacheField name="BilledAmount" numFmtId="1">
      <sharedItems containsSemiMixedTypes="0" containsString="0" containsNumber="1" minValue="73.5" maxValue="701249.22750000004" count="90">
        <n v="8501.3024999999998"/>
        <n v="135016.5"/>
        <n v="136713.75"/>
        <n v="105035.43"/>
        <n v="701249.22750000004"/>
        <n v="115557.6225"/>
        <n v="82963.237499999988"/>
        <n v="9375"/>
        <n v="45882.75"/>
        <n v="11045.782499999999"/>
        <n v="151695.45000000001"/>
        <n v="90000"/>
        <n v="85163.557499999995"/>
        <n v="130559.32500000001"/>
        <n v="19292.13"/>
        <n v="75516.299999999988"/>
        <n v="7500"/>
        <n v="150000"/>
        <n v="26250"/>
        <n v="30000"/>
        <n v="225033"/>
        <n v="433.125"/>
        <n v="658.125"/>
        <n v="112083.39749999999"/>
        <n v="270290.28749999998"/>
        <n v="252000"/>
        <n v="6000"/>
        <n v="1381.875"/>
        <n v="9750"/>
        <n v="21965.872500000001"/>
        <n v="506.25"/>
        <n v="60725.497499999998"/>
        <n v="33750"/>
        <n v="90028.132499999992"/>
        <n v="75000"/>
        <n v="91995.854999999996"/>
        <n v="71250"/>
        <n v="25749.375"/>
        <n v="630000.29249999998"/>
        <n v="37338.832500000004"/>
        <n v="309750"/>
        <n v="113221.5"/>
        <n v="73.5"/>
        <n v="11504.647500000001"/>
        <n v="83736.112499999988"/>
        <n v="35235.360000000001"/>
        <n v="93750.225000000006"/>
        <n v="153701.92499999999"/>
        <n v="19896.675000000003"/>
        <n v="32585.827499999999"/>
        <n v="10875"/>
        <n v="131266.5"/>
        <n v="133381.38"/>
        <n v="97361.25"/>
        <n v="9562.5"/>
        <n v="19792.695"/>
        <n v="73646.684999999998"/>
        <n v="17132.2425"/>
        <n v="142500"/>
        <n v="159750"/>
        <n v="15562.5"/>
        <n v="77623.049999999988"/>
        <n v="6322.3575000000001"/>
        <n v="41813.962499999994"/>
        <n v="63012"/>
        <n v="46233.75"/>
        <n v="12996"/>
        <n v="73413.705000000002"/>
        <n v="24456.27"/>
        <n v="97500"/>
        <n v="46500"/>
        <n v="57000"/>
        <n v="7502.61"/>
        <n v="41250"/>
        <n v="23576.864999999998"/>
        <n v="142499.77500000002"/>
        <n v="101171.28749999999"/>
        <n v="58380.959999999999"/>
        <n v="138364.875"/>
        <n v="86884.5"/>
        <n v="55500"/>
        <n v="62667.097500000003"/>
        <n v="22460.017499999998"/>
        <n v="135000"/>
        <n v="375"/>
        <n v="51702"/>
        <n v="30375"/>
        <n v="79278"/>
        <n v="11250"/>
        <n v="62625"/>
      </sharedItems>
    </cacheField>
    <cacheField name="ReceivedAmt" numFmtId="1">
      <sharedItems containsSemiMixedTypes="0" containsString="0" containsNumber="1" minValue="0" maxValue="551250"/>
    </cacheField>
    <cacheField name="AmountDue" numFmtId="1">
      <sharedItems containsSemiMixedTypes="0" containsString="0" containsNumber="1" minValue="-0.375" maxValue="487500.29249999998"/>
    </cacheField>
    <cacheField name="PackageID"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54.960871875002" createdVersion="1" refreshedVersion="6" recordCount="104" upgradeOnRefresh="1" xr:uid="{00000000-000A-0000-FFFF-FFFF43000000}">
  <cacheSource type="worksheet">
    <worksheetSource ref="A1:W105" sheet="Question6"/>
  </cacheSource>
  <cacheFields count="23">
    <cacheField name="Patient Type" numFmtId="0">
      <sharedItems count="2">
        <s v="IP"/>
        <s v="DAY CARE"/>
      </sharedItems>
    </cacheField>
    <cacheField name="Category" numFmtId="0">
      <sharedItems/>
    </cacheField>
    <cacheField name="Pay Type" numFmtId="0">
      <sharedItems/>
    </cacheField>
    <cacheField name="PatientID" numFmtId="0">
      <sharedItems count="99">
        <s v="3157"/>
        <s v="3160"/>
        <s v="3165"/>
        <s v="3167"/>
        <s v="3169"/>
        <s v="3170"/>
        <s v="3172"/>
        <s v="3173"/>
        <s v="3174"/>
        <s v="3175"/>
        <s v="3176"/>
        <s v="3183"/>
        <s v="3184"/>
        <s v="3185"/>
        <s v="3187"/>
        <s v="3190"/>
        <s v="3250"/>
        <s v="1294"/>
        <s v="1508"/>
        <s v="1612"/>
        <s v="1744"/>
        <s v="1982"/>
        <s v="2011"/>
        <s v="2432"/>
        <s v="2493"/>
        <s v="2677"/>
        <s v="2730"/>
        <s v="2755"/>
        <s v="2759"/>
        <s v="2807"/>
        <s v="2813"/>
        <s v="2826"/>
        <s v="2876"/>
        <s v="2877"/>
        <s v="2883"/>
        <s v="2892"/>
        <s v="2897"/>
        <s v="2900"/>
        <s v="0973"/>
        <s v="2918"/>
        <s v="2921"/>
        <s v="2937"/>
        <s v="2941"/>
        <s v="2948"/>
        <s v="2953"/>
        <s v="2962"/>
        <s v="2969"/>
        <s v="2970"/>
        <s v="2978"/>
        <s v="2979"/>
        <s v="2986"/>
        <s v="2988"/>
        <s v="2989"/>
        <s v="2991"/>
        <s v="2992"/>
        <s v="2993"/>
        <s v="2995"/>
        <s v="3000"/>
        <s v="3001"/>
        <s v="3006"/>
        <s v="3009"/>
        <s v="3015"/>
        <s v="3018"/>
        <s v="3027"/>
        <s v="3037"/>
        <s v="3039"/>
        <s v="3042"/>
        <s v="3043"/>
        <s v="3048"/>
        <s v="3051"/>
        <s v="3057"/>
        <s v="3059"/>
        <s v="3060"/>
        <s v="3061"/>
        <s v="3068"/>
        <s v="3069"/>
        <s v="3071"/>
        <s v="3077"/>
        <s v="3080"/>
        <s v="3081"/>
        <s v="3082"/>
        <s v="3084"/>
        <s v="3085"/>
        <s v="3086"/>
        <s v="3089"/>
        <s v="3090"/>
        <s v="3100"/>
        <s v="3104"/>
        <s v="3105"/>
        <s v="3106"/>
        <s v="3107"/>
        <s v="3114"/>
        <s v="3120"/>
        <s v="3124"/>
        <s v="3126"/>
        <s v="3130"/>
        <s v="3135"/>
        <s v="3141"/>
        <s v="3146"/>
      </sharedItems>
    </cacheField>
    <cacheField name="SponsorID" numFmtId="0">
      <sharedItems/>
    </cacheField>
    <cacheField name="DoctorID" numFmtId="0">
      <sharedItems/>
    </cacheField>
    <cacheField name="DepartmentID" numFmtId="0">
      <sharedItems count="17">
        <s v="DEP12"/>
        <s v="DEP15"/>
        <s v="DEP16"/>
        <s v="DEP17"/>
        <s v="DEP2"/>
        <s v="DEP14"/>
        <s v="DEP9"/>
        <s v="DEP11"/>
        <s v="DEP6"/>
        <s v="DEP10"/>
        <s v="DEP5"/>
        <s v="DEP3"/>
        <s v="DEP1"/>
        <s v="DEP4"/>
        <s v="DEP7"/>
        <s v="DEP8"/>
        <s v="DEP13"/>
      </sharedItems>
    </cacheField>
    <cacheField name="BillID" numFmtId="0">
      <sharedItems/>
    </cacheField>
    <cacheField name="FinalBillDate" numFmtId="0">
      <sharedItems/>
    </cacheField>
    <cacheField name="Registration Date" numFmtId="165">
      <sharedItems/>
    </cacheField>
    <cacheField name="Registration Date Formatted" numFmtId="164">
      <sharedItems containsSemiMixedTypes="0" containsNonDate="0" containsDate="1" containsString="0" minDate="2018-06-28T00:00:00" maxDate="2018-08-03T00:00:00"/>
    </cacheField>
    <cacheField name="Discharge Date" numFmtId="165">
      <sharedItems/>
    </cacheField>
    <cacheField name="Discharge Date formatted" numFmtId="165">
      <sharedItems containsSemiMixedTypes="0" containsNonDate="0" containsDate="1" containsString="0" minDate="2018-08-01T00:00:00" maxDate="2018-08-03T00:00:00"/>
    </cacheField>
    <cacheField name="DurationOfStay " numFmtId="0">
      <sharedItems containsSemiMixedTypes="0" containsString="0" containsNumber="1" containsInteger="1" minValue="0" maxValue="34" count="18">
        <n v="1"/>
        <n v="0"/>
        <n v="29"/>
        <n v="25"/>
        <n v="24"/>
        <n v="22"/>
        <n v="18"/>
        <n v="17"/>
        <n v="12"/>
        <n v="10"/>
        <n v="8"/>
        <n v="7"/>
        <n v="6"/>
        <n v="5"/>
        <n v="34"/>
        <n v="4"/>
        <n v="3"/>
        <n v="2"/>
      </sharedItems>
      <fieldGroup base="13">
        <rangePr autoStart="0" autoEnd="0" startNum="0" endNum="36" groupInterval="2"/>
        <groupItems count="20">
          <s v="&lt;0"/>
          <s v="0-1"/>
          <s v="2-3"/>
          <s v="4-5"/>
          <s v="6-7"/>
          <s v="8-9"/>
          <s v="10-11"/>
          <s v="12-13"/>
          <s v="14-15"/>
          <s v="16-17"/>
          <s v="18-19"/>
          <s v="20-21"/>
          <s v="22-23"/>
          <s v="24-25"/>
          <s v="26-27"/>
          <s v="28-29"/>
          <s v="30-31"/>
          <s v="32-33"/>
          <s v="34-36"/>
          <s v="&gt;36"/>
        </groupItems>
      </fieldGroup>
    </cacheField>
    <cacheField name="User" numFmtId="0">
      <sharedItems/>
    </cacheField>
    <cacheField name="Pharma" numFmtId="1">
      <sharedItems containsSemiMixedTypes="0" containsString="0" containsNumber="1" minValue="0" maxValue="30082.5"/>
    </cacheField>
    <cacheField name="Consumables" numFmtId="1">
      <sharedItems containsSemiMixedTypes="0" containsString="0" containsNumber="1" minValue="0" maxValue="82533"/>
    </cacheField>
    <cacheField name="Investigations" numFmtId="1">
      <sharedItems containsSemiMixedTypes="0" containsString="0" containsNumber="1" minValue="0" maxValue="49980"/>
    </cacheField>
    <cacheField name="Others" numFmtId="1">
      <sharedItems containsSemiMixedTypes="0" containsString="0" containsNumber="1" minValue="73.5" maxValue="315000"/>
    </cacheField>
    <cacheField name="BilledAmount" numFmtId="1">
      <sharedItems containsSemiMixedTypes="0" containsString="0" containsNumber="1" minValue="73.5" maxValue="701249.22750000004"/>
    </cacheField>
    <cacheField name="ReceivedAmt" numFmtId="1">
      <sharedItems containsSemiMixedTypes="0" containsString="0" containsNumber="1" minValue="0" maxValue="551250"/>
    </cacheField>
    <cacheField name="AmountDue" numFmtId="1">
      <sharedItems containsSemiMixedTypes="0" containsString="0" containsNumber="1" minValue="-0.375" maxValue="487500.29249999998"/>
    </cacheField>
    <cacheField name="PackageID"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56.349844444441" createdVersion="1" refreshedVersion="6" recordCount="104" upgradeOnRefresh="1" xr:uid="{00000000-000A-0000-FFFF-FFFF51000000}">
  <cacheSource type="worksheet">
    <worksheetSource ref="A1:C105" sheet="Question7"/>
  </cacheSource>
  <cacheFields count="3">
    <cacheField name="Pay Type" numFmtId="0">
      <sharedItems count="2">
        <s v="CASH"/>
        <s v="CREDIT"/>
      </sharedItems>
    </cacheField>
    <cacheField name="BilledAmount" numFmtId="1">
      <sharedItems containsSemiMixedTypes="0" containsString="0" containsNumber="1" minValue="73.5" maxValue="701249.22750000004" count="90">
        <n v="8501.3024999999998"/>
        <n v="135016.5"/>
        <n v="136713.75"/>
        <n v="105035.43"/>
        <n v="701249.22750000004"/>
        <n v="115557.6225"/>
        <n v="82963.237499999988"/>
        <n v="9375"/>
        <n v="45882.75"/>
        <n v="11045.782499999999"/>
        <n v="151695.45000000001"/>
        <n v="90000"/>
        <n v="85163.557499999995"/>
        <n v="130559.32500000001"/>
        <n v="19292.13"/>
        <n v="75516.299999999988"/>
        <n v="7500"/>
        <n v="150000"/>
        <n v="26250"/>
        <n v="30000"/>
        <n v="225033"/>
        <n v="433.125"/>
        <n v="658.125"/>
        <n v="112083.39749999999"/>
        <n v="270290.28749999998"/>
        <n v="252000"/>
        <n v="6000"/>
        <n v="1381.875"/>
        <n v="9750"/>
        <n v="21965.872500000001"/>
        <n v="506.25"/>
        <n v="60725.497499999998"/>
        <n v="33750"/>
        <n v="90028.132499999992"/>
        <n v="75000"/>
        <n v="91995.854999999996"/>
        <n v="71250"/>
        <n v="25749.375"/>
        <n v="630000.29249999998"/>
        <n v="37338.832500000004"/>
        <n v="309750"/>
        <n v="113221.5"/>
        <n v="73.5"/>
        <n v="11504.647500000001"/>
        <n v="83736.112499999988"/>
        <n v="35235.360000000001"/>
        <n v="93750.225000000006"/>
        <n v="153701.92499999999"/>
        <n v="19896.675000000003"/>
        <n v="32585.827499999999"/>
        <n v="10875"/>
        <n v="131266.5"/>
        <n v="133381.38"/>
        <n v="97361.25"/>
        <n v="9562.5"/>
        <n v="19792.695"/>
        <n v="73646.684999999998"/>
        <n v="17132.2425"/>
        <n v="142500"/>
        <n v="159750"/>
        <n v="15562.5"/>
        <n v="77623.049999999988"/>
        <n v="6322.3575000000001"/>
        <n v="41813.962499999994"/>
        <n v="63012"/>
        <n v="46233.75"/>
        <n v="12996"/>
        <n v="73413.705000000002"/>
        <n v="24456.27"/>
        <n v="97500"/>
        <n v="46500"/>
        <n v="57000"/>
        <n v="7502.61"/>
        <n v="41250"/>
        <n v="23576.864999999998"/>
        <n v="142499.77500000002"/>
        <n v="101171.28749999999"/>
        <n v="58380.959999999999"/>
        <n v="138364.875"/>
        <n v="86884.5"/>
        <n v="55500"/>
        <n v="62667.097500000003"/>
        <n v="22460.017499999998"/>
        <n v="135000"/>
        <n v="375"/>
        <n v="51702"/>
        <n v="30375"/>
        <n v="79278"/>
        <n v="11250"/>
        <n v="62625"/>
      </sharedItems>
    </cacheField>
    <cacheField name="AmtCategory" numFmtId="0">
      <sharedItems count="3">
        <s v="Silver"/>
        <s v="Platinum"/>
        <s v="Gold"/>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56.61850196759" createdVersion="1" refreshedVersion="6" recordCount="104" upgradeOnRefresh="1" xr:uid="{00000000-000A-0000-FFFF-FFFF55000000}">
  <cacheSource type="worksheet">
    <worksheetSource ref="A1:E105" sheet="Question21"/>
  </cacheSource>
  <cacheFields count="5">
    <cacheField name="PatientID" numFmtId="0">
      <sharedItems/>
    </cacheField>
    <cacheField name="Pay Type" numFmtId="0">
      <sharedItems/>
    </cacheField>
    <cacheField name="BilledAmount" numFmtId="1">
      <sharedItems containsSemiMixedTypes="0" containsString="0" containsNumber="1" minValue="73.5" maxValue="701249.22750000004" count="90">
        <n v="8501.3024999999998"/>
        <n v="135016.5"/>
        <n v="136713.75"/>
        <n v="105035.43"/>
        <n v="701249.22750000004"/>
        <n v="115557.6225"/>
        <n v="82963.237499999988"/>
        <n v="9375"/>
        <n v="45882.75"/>
        <n v="11045.782499999999"/>
        <n v="151695.45000000001"/>
        <n v="90000"/>
        <n v="85163.557499999995"/>
        <n v="130559.32500000001"/>
        <n v="19292.13"/>
        <n v="75516.299999999988"/>
        <n v="7500"/>
        <n v="150000"/>
        <n v="26250"/>
        <n v="30000"/>
        <n v="225033"/>
        <n v="433.125"/>
        <n v="658.125"/>
        <n v="112083.39749999999"/>
        <n v="270290.28749999998"/>
        <n v="252000"/>
        <n v="6000"/>
        <n v="1381.875"/>
        <n v="9750"/>
        <n v="21965.872500000001"/>
        <n v="506.25"/>
        <n v="60725.497499999998"/>
        <n v="33750"/>
        <n v="90028.132499999992"/>
        <n v="75000"/>
        <n v="91995.854999999996"/>
        <n v="71250"/>
        <n v="25749.375"/>
        <n v="630000.29249999998"/>
        <n v="37338.832500000004"/>
        <n v="309750"/>
        <n v="113221.5"/>
        <n v="73.5"/>
        <n v="11504.647500000001"/>
        <n v="83736.112499999988"/>
        <n v="35235.360000000001"/>
        <n v="93750.225000000006"/>
        <n v="153701.92499999999"/>
        <n v="19896.675000000003"/>
        <n v="32585.827499999999"/>
        <n v="10875"/>
        <n v="131266.5"/>
        <n v="133381.38"/>
        <n v="97361.25"/>
        <n v="9562.5"/>
        <n v="19792.695"/>
        <n v="73646.684999999998"/>
        <n v="17132.2425"/>
        <n v="142500"/>
        <n v="159750"/>
        <n v="15562.5"/>
        <n v="77623.049999999988"/>
        <n v="6322.3575000000001"/>
        <n v="41813.962499999994"/>
        <n v="63012"/>
        <n v="46233.75"/>
        <n v="12996"/>
        <n v="73413.705000000002"/>
        <n v="24456.27"/>
        <n v="97500"/>
        <n v="46500"/>
        <n v="57000"/>
        <n v="7502.61"/>
        <n v="41250"/>
        <n v="23576.864999999998"/>
        <n v="142499.77500000002"/>
        <n v="101171.28749999999"/>
        <n v="58380.959999999999"/>
        <n v="138364.875"/>
        <n v="86884.5"/>
        <n v="55500"/>
        <n v="62667.097500000003"/>
        <n v="22460.017499999998"/>
        <n v="135000"/>
        <n v="375"/>
        <n v="51702"/>
        <n v="30375"/>
        <n v="79278"/>
        <n v="11250"/>
        <n v="62625"/>
      </sharedItems>
    </cacheField>
    <cacheField name="AmtCategory" numFmtId="0">
      <sharedItems count="3">
        <s v="Silver"/>
        <s v="Platinum"/>
        <s v="Gold"/>
      </sharedItems>
    </cacheField>
    <cacheField name="X"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05">
  <r>
    <x v="0"/>
    <x v="0"/>
    <x v="0"/>
    <x v="0"/>
    <x v="0"/>
    <x v="0"/>
    <x v="0"/>
    <s v="20005"/>
    <s v="02/08/2018 14:30"/>
    <s v="01/08/2018 07:21"/>
    <s v="02/08/2018 14:27"/>
    <s v="S0643"/>
    <n v="78.457499999999996"/>
    <n v="0"/>
    <n v="1496.25"/>
    <n v="6000"/>
    <x v="0"/>
    <x v="0"/>
    <x v="0"/>
    <m/>
  </r>
  <r>
    <x v="0"/>
    <x v="1"/>
    <x v="1"/>
    <x v="1"/>
    <x v="1"/>
    <x v="1"/>
    <x v="1"/>
    <s v="20014"/>
    <s v="02/08/2018 18:23"/>
    <s v="01/08/2018 07:41"/>
    <s v="02/08/2018 18:21"/>
    <s v="S7071"/>
    <n v="0"/>
    <n v="41266.5"/>
    <n v="0"/>
    <n v="3750"/>
    <x v="1"/>
    <x v="0"/>
    <x v="1"/>
    <s v="PKG30"/>
  </r>
  <r>
    <x v="0"/>
    <x v="0"/>
    <x v="0"/>
    <x v="2"/>
    <x v="0"/>
    <x v="2"/>
    <x v="2"/>
    <s v="10007"/>
    <s v="01/08/2018 15:45"/>
    <s v="01/08/2018 08:57"/>
    <s v="01/08/2018 15:44"/>
    <s v="S0643"/>
    <n v="0"/>
    <n v="29838.75"/>
    <n v="0"/>
    <n v="106875"/>
    <x v="2"/>
    <x v="0"/>
    <x v="2"/>
    <m/>
  </r>
  <r>
    <x v="0"/>
    <x v="1"/>
    <x v="1"/>
    <x v="3"/>
    <x v="1"/>
    <x v="2"/>
    <x v="2"/>
    <s v="20006"/>
    <s v="02/08/2018 14:07"/>
    <s v="01/08/2018 09:06"/>
    <s v="02/08/2018 14:06"/>
    <s v="S7071"/>
    <n v="42.286499999999997"/>
    <n v="5207.9775"/>
    <n v="1451.25"/>
    <n v="300"/>
    <x v="3"/>
    <x v="0"/>
    <x v="3"/>
    <s v="PKG33"/>
  </r>
  <r>
    <x v="0"/>
    <x v="1"/>
    <x v="1"/>
    <x v="4"/>
    <x v="1"/>
    <x v="2"/>
    <x v="2"/>
    <s v="10006"/>
    <s v="01/08/2018 17:29"/>
    <s v="01/08/2018 09:23"/>
    <s v="01/08/2018 17:28"/>
    <s v="S6875"/>
    <n v="29984.693850000003"/>
    <n v="0"/>
    <n v="44625"/>
    <n v="9135"/>
    <x v="4"/>
    <x v="1"/>
    <x v="4"/>
    <s v="PKG31"/>
  </r>
  <r>
    <x v="0"/>
    <x v="0"/>
    <x v="0"/>
    <x v="5"/>
    <x v="0"/>
    <x v="2"/>
    <x v="2"/>
    <s v="10023"/>
    <s v="01/08/2018 19:58"/>
    <s v="01/08/2018 09:31"/>
    <s v="01/08/2018 19:56"/>
    <s v="S0643"/>
    <n v="85.679999999999993"/>
    <n v="0"/>
    <n v="48956.25"/>
    <n v="258.75"/>
    <x v="5"/>
    <x v="2"/>
    <x v="5"/>
    <m/>
  </r>
  <r>
    <x v="0"/>
    <x v="1"/>
    <x v="1"/>
    <x v="6"/>
    <x v="1"/>
    <x v="3"/>
    <x v="3"/>
    <s v="20007"/>
    <s v="02/08/2018 14:59"/>
    <s v="01/08/2018 09:42"/>
    <s v="02/08/2018 14:56"/>
    <s v="S7071"/>
    <n v="8.19"/>
    <n v="0"/>
    <n v="24451.875"/>
    <n v="21789"/>
    <x v="6"/>
    <x v="0"/>
    <x v="6"/>
    <s v="PKG35"/>
  </r>
  <r>
    <x v="0"/>
    <x v="0"/>
    <x v="0"/>
    <x v="7"/>
    <x v="0"/>
    <x v="4"/>
    <x v="4"/>
    <s v="10010"/>
    <s v="01/08/2018 16:43"/>
    <s v="01/08/2018 10:06"/>
    <s v="01/08/2018 16:42"/>
    <s v="S2438"/>
    <n v="0"/>
    <n v="0"/>
    <n v="0"/>
    <n v="9375"/>
    <x v="7"/>
    <x v="0"/>
    <x v="7"/>
    <s v="PKG3"/>
  </r>
  <r>
    <x v="0"/>
    <x v="0"/>
    <x v="0"/>
    <x v="8"/>
    <x v="0"/>
    <x v="5"/>
    <x v="5"/>
    <s v="10005"/>
    <s v="01/08/2018 15:29"/>
    <s v="01/08/2018 10:14"/>
    <s v="01/08/2018 15:29"/>
    <s v="S0643"/>
    <n v="0"/>
    <n v="0"/>
    <n v="0"/>
    <n v="45882.75"/>
    <x v="8"/>
    <x v="0"/>
    <x v="8"/>
    <m/>
  </r>
  <r>
    <x v="0"/>
    <x v="1"/>
    <x v="1"/>
    <x v="9"/>
    <x v="2"/>
    <x v="2"/>
    <x v="2"/>
    <s v="10026"/>
    <s v="01/08/2018 20:11"/>
    <s v="01/08/2018 10:19"/>
    <s v="01/08/2018 20:09"/>
    <s v="S6197"/>
    <n v="205.63229999999999"/>
    <n v="0"/>
    <n v="0"/>
    <n v="187.5"/>
    <x v="9"/>
    <x v="0"/>
    <x v="9"/>
    <s v="PKG32"/>
  </r>
  <r>
    <x v="0"/>
    <x v="1"/>
    <x v="1"/>
    <x v="10"/>
    <x v="1"/>
    <x v="0"/>
    <x v="0"/>
    <s v="20018"/>
    <s v="02/08/2018 19:38"/>
    <s v="01/08/2018 10:26"/>
    <s v="02/08/2018 19:35"/>
    <s v="S7071"/>
    <n v="51.772500000000001"/>
    <n v="1221"/>
    <n v="0"/>
    <n v="90000"/>
    <x v="10"/>
    <x v="3"/>
    <x v="10"/>
    <s v="PKG23"/>
  </r>
  <r>
    <x v="0"/>
    <x v="1"/>
    <x v="1"/>
    <x v="11"/>
    <x v="3"/>
    <x v="4"/>
    <x v="4"/>
    <s v="20022"/>
    <s v="02/08/2018 20:12"/>
    <s v="01/08/2018 11:11"/>
    <s v="02/08/2018 20:12"/>
    <s v="S1787"/>
    <n v="984.47159999999997"/>
    <n v="1665.8999999999999"/>
    <n v="0"/>
    <n v="68625"/>
    <x v="11"/>
    <x v="4"/>
    <x v="11"/>
    <s v="PKG4"/>
  </r>
  <r>
    <x v="0"/>
    <x v="1"/>
    <x v="1"/>
    <x v="12"/>
    <x v="1"/>
    <x v="6"/>
    <x v="2"/>
    <s v="10025"/>
    <s v="01/08/2018 20:10"/>
    <s v="01/08/2018 11:35"/>
    <s v="01/08/2018 20:07"/>
    <s v="S7071"/>
    <n v="154.59359999999998"/>
    <n v="0"/>
    <n v="16815"/>
    <n v="2625"/>
    <x v="12"/>
    <x v="0"/>
    <x v="12"/>
    <s v="PKG31"/>
  </r>
  <r>
    <x v="0"/>
    <x v="0"/>
    <x v="0"/>
    <x v="13"/>
    <x v="0"/>
    <x v="2"/>
    <x v="2"/>
    <s v="10020"/>
    <s v="01/08/2018 19:44"/>
    <s v="01/08/2018 11:44"/>
    <s v="01/08/2018 19:43"/>
    <s v="S0643"/>
    <n v="138.11339999999998"/>
    <n v="975.44999999999993"/>
    <n v="2658.75"/>
    <n v="684.375"/>
    <x v="13"/>
    <x v="5"/>
    <x v="13"/>
    <m/>
  </r>
  <r>
    <x v="0"/>
    <x v="0"/>
    <x v="0"/>
    <x v="14"/>
    <x v="0"/>
    <x v="7"/>
    <x v="0"/>
    <s v="20012"/>
    <s v="02/08/2018 17:26"/>
    <s v="01/08/2018 12:16"/>
    <s v="02/08/2018 17:24"/>
    <s v="S2438"/>
    <n v="0"/>
    <n v="41266.5"/>
    <n v="0"/>
    <n v="3750"/>
    <x v="1"/>
    <x v="0"/>
    <x v="1"/>
    <m/>
  </r>
  <r>
    <x v="0"/>
    <x v="0"/>
    <x v="0"/>
    <x v="15"/>
    <x v="0"/>
    <x v="8"/>
    <x v="5"/>
    <s v="10021"/>
    <s v="01/08/2018 19:46"/>
    <s v="01/08/2018 12:50"/>
    <s v="01/08/2018 19:45"/>
    <s v="S0643"/>
    <n v="85.679999999999993"/>
    <n v="0"/>
    <n v="7443.75"/>
    <n v="215.625"/>
    <x v="14"/>
    <x v="6"/>
    <x v="14"/>
    <m/>
  </r>
  <r>
    <x v="0"/>
    <x v="0"/>
    <x v="0"/>
    <x v="16"/>
    <x v="0"/>
    <x v="4"/>
    <x v="4"/>
    <s v="20018"/>
    <s v="02/08/2018 19:57"/>
    <s v="02/08/2018 11:16"/>
    <s v="02/08/2018 19:56"/>
    <s v="S1271"/>
    <n v="240.81960000000001"/>
    <n v="0"/>
    <n v="10740"/>
    <n v="30375"/>
    <x v="15"/>
    <x v="7"/>
    <x v="15"/>
    <s v="PKG3"/>
  </r>
  <r>
    <x v="1"/>
    <x v="1"/>
    <x v="1"/>
    <x v="17"/>
    <x v="4"/>
    <x v="9"/>
    <x v="6"/>
    <s v="20003"/>
    <s v="02/08/2018 13:41"/>
    <s v="04/07/2018 09:24"/>
    <s v="02/08/2018 13:33"/>
    <s v="S2438"/>
    <n v="57.12"/>
    <n v="92.887499999999989"/>
    <n v="63.75"/>
    <n v="4425"/>
    <x v="16"/>
    <x v="8"/>
    <x v="11"/>
    <s v="PKG8"/>
  </r>
  <r>
    <x v="1"/>
    <x v="1"/>
    <x v="1"/>
    <x v="18"/>
    <x v="4"/>
    <x v="9"/>
    <x v="6"/>
    <s v="10002"/>
    <s v="01/08/2018 20:50"/>
    <s v="07/07/2018 10:13"/>
    <s v="01/08/2018 20:44"/>
    <s v="S2438"/>
    <n v="43.3125"/>
    <n v="5.25"/>
    <n v="7751.25"/>
    <n v="17688.75"/>
    <x v="17"/>
    <x v="9"/>
    <x v="11"/>
    <s v="PKG8"/>
  </r>
  <r>
    <x v="1"/>
    <x v="1"/>
    <x v="1"/>
    <x v="19"/>
    <x v="4"/>
    <x v="9"/>
    <x v="6"/>
    <s v="20002"/>
    <s v="02/08/2018 13:32"/>
    <s v="09/07/2018 10:45"/>
    <s v="02/08/2018 13:23"/>
    <s v="S2438"/>
    <n v="54.599999999999994"/>
    <n v="0"/>
    <n v="926.25"/>
    <n v="1263.75"/>
    <x v="18"/>
    <x v="10"/>
    <x v="11"/>
    <s v="PKG8"/>
  </r>
  <r>
    <x v="1"/>
    <x v="1"/>
    <x v="1"/>
    <x v="20"/>
    <x v="4"/>
    <x v="9"/>
    <x v="6"/>
    <s v="20001"/>
    <s v="02/08/2018 13:21"/>
    <s v="11/07/2018 09:50"/>
    <s v="02/08/2018 13:07"/>
    <s v="S2438"/>
    <n v="264.7176"/>
    <n v="99"/>
    <n v="191.25"/>
    <n v="2613.75"/>
    <x v="19"/>
    <x v="11"/>
    <x v="11"/>
    <s v="PKG8"/>
  </r>
  <r>
    <x v="0"/>
    <x v="1"/>
    <x v="1"/>
    <x v="21"/>
    <x v="5"/>
    <x v="10"/>
    <x v="7"/>
    <s v="20026"/>
    <s v="02/08/2018 21:01"/>
    <s v="14/07/2018 16:57"/>
    <s v="01/08/2018 20:58"/>
    <s v="S1787"/>
    <n v="0"/>
    <n v="82533"/>
    <n v="0"/>
    <n v="135000"/>
    <x v="20"/>
    <x v="0"/>
    <x v="16"/>
    <s v="PKG10"/>
  </r>
  <r>
    <x v="0"/>
    <x v="0"/>
    <x v="0"/>
    <x v="22"/>
    <x v="0"/>
    <x v="11"/>
    <x v="8"/>
    <s v="10030"/>
    <s v="01/08/2018 20:55"/>
    <s v="15/07/2018 18:44"/>
    <s v="01/08/2018 20:52"/>
    <s v="S2438"/>
    <n v="0"/>
    <n v="24.674999999999997"/>
    <n v="0"/>
    <n v="1125"/>
    <x v="16"/>
    <x v="8"/>
    <x v="11"/>
    <m/>
  </r>
  <r>
    <x v="0"/>
    <x v="1"/>
    <x v="1"/>
    <x v="23"/>
    <x v="6"/>
    <x v="12"/>
    <x v="7"/>
    <s v="20020"/>
    <s v="02/08/2018 20:04"/>
    <s v="21/07/2018 10:34"/>
    <s v="02/08/2018 19:59"/>
    <s v="S6197"/>
    <n v="0"/>
    <n v="0"/>
    <n v="0"/>
    <n v="433.125"/>
    <x v="21"/>
    <x v="12"/>
    <x v="17"/>
    <m/>
  </r>
  <r>
    <x v="0"/>
    <x v="1"/>
    <x v="1"/>
    <x v="24"/>
    <x v="7"/>
    <x v="13"/>
    <x v="9"/>
    <s v="10015"/>
    <s v="01/08/2018 19:39"/>
    <s v="22/07/2018 18:41"/>
    <s v="01/08/2018 19:38"/>
    <s v="S6197"/>
    <n v="0"/>
    <n v="0"/>
    <n v="0"/>
    <n v="658.125"/>
    <x v="22"/>
    <x v="13"/>
    <x v="17"/>
    <s v="PKG9"/>
  </r>
  <r>
    <x v="0"/>
    <x v="1"/>
    <x v="1"/>
    <x v="25"/>
    <x v="1"/>
    <x v="14"/>
    <x v="0"/>
    <s v="10001"/>
    <s v="01/08/2018 12:15"/>
    <s v="24/07/2018 21:37"/>
    <s v="01/08/2018 12:12"/>
    <s v="S7071"/>
    <n v="1871.9759999999999"/>
    <n v="0"/>
    <n v="43117.5"/>
    <n v="5700"/>
    <x v="23"/>
    <x v="14"/>
    <x v="18"/>
    <s v="PKG16"/>
  </r>
  <r>
    <x v="0"/>
    <x v="1"/>
    <x v="1"/>
    <x v="26"/>
    <x v="5"/>
    <x v="3"/>
    <x v="3"/>
    <s v="10033"/>
    <s v="01/08/2018 20:33"/>
    <s v="25/07/2018 13:16"/>
    <s v="01/08/2018 20:20"/>
    <s v="S1787"/>
    <n v="956.28967499999999"/>
    <n v="0"/>
    <n v="22272.75"/>
    <n v="1599"/>
    <x v="24"/>
    <x v="0"/>
    <x v="19"/>
    <s v="PKG34"/>
  </r>
  <r>
    <x v="0"/>
    <x v="1"/>
    <x v="1"/>
    <x v="27"/>
    <x v="6"/>
    <x v="11"/>
    <x v="8"/>
    <s v="10014"/>
    <s v="01/08/2018 19:31"/>
    <s v="25/07/2018 21:09"/>
    <s v="01/08/2018 19:30"/>
    <s v="S6197"/>
    <n v="111.13560000000001"/>
    <n v="0"/>
    <n v="49980"/>
    <n v="10632.75"/>
    <x v="25"/>
    <x v="15"/>
    <x v="11"/>
    <m/>
  </r>
  <r>
    <x v="0"/>
    <x v="1"/>
    <x v="1"/>
    <x v="28"/>
    <x v="5"/>
    <x v="15"/>
    <x v="10"/>
    <s v="20008"/>
    <s v="02/08/2018 16:23"/>
    <s v="25/07/2018 21:52"/>
    <s v="02/08/2018 16:21"/>
    <s v="S1787"/>
    <n v="0"/>
    <n v="36"/>
    <n v="0"/>
    <n v="1125"/>
    <x v="26"/>
    <x v="16"/>
    <x v="11"/>
    <m/>
  </r>
  <r>
    <x v="0"/>
    <x v="1"/>
    <x v="1"/>
    <x v="29"/>
    <x v="5"/>
    <x v="10"/>
    <x v="7"/>
    <s v="10022"/>
    <s v="01/08/2018 20:08"/>
    <s v="26/07/2018 12:11"/>
    <s v="01/08/2018 20:03"/>
    <s v="S1787"/>
    <n v="0"/>
    <n v="0"/>
    <n v="0"/>
    <n v="1381.875"/>
    <x v="27"/>
    <x v="17"/>
    <x v="17"/>
    <m/>
  </r>
  <r>
    <x v="0"/>
    <x v="0"/>
    <x v="0"/>
    <x v="30"/>
    <x v="0"/>
    <x v="16"/>
    <x v="11"/>
    <s v="10004"/>
    <s v="01/08/2018 15:22"/>
    <s v="26/07/2018 13:13"/>
    <s v="01/08/2018 15:20"/>
    <s v="S2438"/>
    <n v="0"/>
    <n v="0"/>
    <n v="0"/>
    <n v="9750"/>
    <x v="28"/>
    <x v="18"/>
    <x v="11"/>
    <m/>
  </r>
  <r>
    <x v="0"/>
    <x v="1"/>
    <x v="1"/>
    <x v="31"/>
    <x v="4"/>
    <x v="17"/>
    <x v="12"/>
    <s v="10037"/>
    <s v="01/08/2018 21:18"/>
    <s v="26/07/2018 15:55"/>
    <s v="01/08/2018 21:16"/>
    <s v="S2438"/>
    <n v="0"/>
    <n v="0"/>
    <n v="0"/>
    <n v="9375"/>
    <x v="7"/>
    <x v="0"/>
    <x v="7"/>
    <s v="PKG1"/>
  </r>
  <r>
    <x v="0"/>
    <x v="1"/>
    <x v="0"/>
    <x v="32"/>
    <x v="0"/>
    <x v="12"/>
    <x v="7"/>
    <s v="10003"/>
    <s v="01/08/2018 14:06"/>
    <s v="27/07/2018 11:05"/>
    <s v="01/08/2018 14:04"/>
    <s v="S1787"/>
    <n v="114.24"/>
    <n v="0"/>
    <n v="3846.75"/>
    <n v="802.5"/>
    <x v="29"/>
    <x v="0"/>
    <x v="20"/>
    <m/>
  </r>
  <r>
    <x v="0"/>
    <x v="1"/>
    <x v="1"/>
    <x v="32"/>
    <x v="8"/>
    <x v="12"/>
    <x v="7"/>
    <s v="10003"/>
    <s v="01/08/2018 14:05"/>
    <s v="27/07/2018 11:05"/>
    <s v="01/08/2018 14:04"/>
    <s v="S1787"/>
    <n v="0"/>
    <n v="0"/>
    <n v="0"/>
    <n v="506.25"/>
    <x v="30"/>
    <x v="19"/>
    <x v="11"/>
    <m/>
  </r>
  <r>
    <x v="0"/>
    <x v="1"/>
    <x v="0"/>
    <x v="33"/>
    <x v="9"/>
    <x v="15"/>
    <x v="10"/>
    <s v="20006"/>
    <s v="02/08/2018 14:31"/>
    <s v="27/07/2018 11:12"/>
    <s v="01/08/2018 17:29"/>
    <s v="S0643"/>
    <n v="48.513150000000003"/>
    <n v="3717.75"/>
    <n v="0"/>
    <n v="4800"/>
    <x v="31"/>
    <x v="20"/>
    <x v="21"/>
    <m/>
  </r>
  <r>
    <x v="0"/>
    <x v="1"/>
    <x v="1"/>
    <x v="34"/>
    <x v="10"/>
    <x v="18"/>
    <x v="13"/>
    <s v="10016"/>
    <s v="01/08/2018 19:44"/>
    <s v="27/07/2018 12:26"/>
    <s v="01/08/2018 19:42"/>
    <s v="S1248"/>
    <n v="57.12"/>
    <n v="0"/>
    <n v="4623.75"/>
    <n v="9000"/>
    <x v="32"/>
    <x v="21"/>
    <x v="11"/>
    <s v="PKG7"/>
  </r>
  <r>
    <x v="0"/>
    <x v="1"/>
    <x v="1"/>
    <x v="35"/>
    <x v="1"/>
    <x v="19"/>
    <x v="4"/>
    <s v="20011"/>
    <s v="02/08/2018 17:06"/>
    <s v="27/07/2018 15:14"/>
    <s v="02/08/2018 17:04"/>
    <s v="S7071"/>
    <n v="28.56"/>
    <n v="86.625"/>
    <n v="0"/>
    <n v="66000"/>
    <x v="33"/>
    <x v="22"/>
    <x v="22"/>
    <s v="PKG6"/>
  </r>
  <r>
    <x v="0"/>
    <x v="1"/>
    <x v="1"/>
    <x v="36"/>
    <x v="11"/>
    <x v="20"/>
    <x v="8"/>
    <s v="20017"/>
    <s v="02/08/2018 19:26"/>
    <s v="27/07/2018 17:23"/>
    <s v="02/08/2018 19:25"/>
    <s v="S6197"/>
    <n v="68.733900000000006"/>
    <n v="7.5"/>
    <n v="0"/>
    <n v="300"/>
    <x v="34"/>
    <x v="23"/>
    <x v="11"/>
    <m/>
  </r>
  <r>
    <x v="0"/>
    <x v="0"/>
    <x v="0"/>
    <x v="37"/>
    <x v="0"/>
    <x v="1"/>
    <x v="1"/>
    <s v="20022"/>
    <s v="02/08/2018 20:57"/>
    <s v="27/07/2018 18:13"/>
    <s v="02/08/2018 20:50"/>
    <s v="S2438"/>
    <n v="3.0576000000000003"/>
    <n v="1813.5"/>
    <n v="1001.25"/>
    <n v="75"/>
    <x v="35"/>
    <x v="24"/>
    <x v="23"/>
    <m/>
  </r>
  <r>
    <x v="1"/>
    <x v="1"/>
    <x v="1"/>
    <x v="38"/>
    <x v="4"/>
    <x v="9"/>
    <x v="6"/>
    <s v="10001"/>
    <s v="01/08/2018 20:11"/>
    <s v="28/06/2018 12:19"/>
    <s v="01/08/2018 20:09"/>
    <s v="S2438"/>
    <n v="324.01619999999997"/>
    <n v="0"/>
    <n v="5928.75"/>
    <n v="11917.5"/>
    <x v="36"/>
    <x v="25"/>
    <x v="11"/>
    <s v="PKG8"/>
  </r>
  <r>
    <x v="0"/>
    <x v="1"/>
    <x v="1"/>
    <x v="39"/>
    <x v="1"/>
    <x v="14"/>
    <x v="0"/>
    <s v="20003"/>
    <s v="02/08/2018 13:03"/>
    <s v="28/07/2018 05:52"/>
    <s v="02/08/2018 13:01"/>
    <s v="S7071"/>
    <n v="0"/>
    <n v="0"/>
    <n v="13128.75"/>
    <n v="7111.125"/>
    <x v="37"/>
    <x v="0"/>
    <x v="24"/>
    <s v="PKG23"/>
  </r>
  <r>
    <x v="0"/>
    <x v="1"/>
    <x v="1"/>
    <x v="40"/>
    <x v="1"/>
    <x v="21"/>
    <x v="0"/>
    <s v="10005"/>
    <s v="01/08/2018 16:13"/>
    <s v="28/07/2018 07:17"/>
    <s v="01/08/2018 16:12"/>
    <s v="S6875"/>
    <n v="427.34999999999997"/>
    <n v="216.75"/>
    <n v="24720"/>
    <n v="50250"/>
    <x v="38"/>
    <x v="26"/>
    <x v="25"/>
    <s v="PKG18"/>
  </r>
  <r>
    <x v="0"/>
    <x v="0"/>
    <x v="0"/>
    <x v="41"/>
    <x v="0"/>
    <x v="15"/>
    <x v="10"/>
    <s v="20008"/>
    <s v="02/08/2018 16:00"/>
    <s v="28/07/2018 12:13"/>
    <s v="02/08/2018 15:59"/>
    <s v="S1271"/>
    <n v="1.3440000000000001"/>
    <n v="0"/>
    <n v="5823.75"/>
    <n v="648.75"/>
    <x v="39"/>
    <x v="27"/>
    <x v="26"/>
    <m/>
  </r>
  <r>
    <x v="0"/>
    <x v="1"/>
    <x v="1"/>
    <x v="42"/>
    <x v="12"/>
    <x v="20"/>
    <x v="8"/>
    <s v="10012"/>
    <s v="01/08/2018 18:52"/>
    <s v="28/07/2018 13:41"/>
    <s v="01/08/2018 18:50"/>
    <s v="S6197"/>
    <n v="0"/>
    <n v="0"/>
    <n v="0"/>
    <n v="315000"/>
    <x v="40"/>
    <x v="28"/>
    <x v="11"/>
    <m/>
  </r>
  <r>
    <x v="0"/>
    <x v="1"/>
    <x v="1"/>
    <x v="43"/>
    <x v="1"/>
    <x v="22"/>
    <x v="0"/>
    <s v="20010"/>
    <s v="02/08/2018 17:02"/>
    <s v="28/07/2018 16:24"/>
    <s v="02/08/2018 17:01"/>
    <s v="S7071"/>
    <n v="0"/>
    <n v="41266.5"/>
    <n v="0"/>
    <n v="68250"/>
    <x v="41"/>
    <x v="0"/>
    <x v="27"/>
    <m/>
  </r>
  <r>
    <x v="0"/>
    <x v="0"/>
    <x v="0"/>
    <x v="44"/>
    <x v="0"/>
    <x v="10"/>
    <x v="7"/>
    <s v="10019"/>
    <s v="01/08/2018 18:15"/>
    <s v="28/07/2018 17:05"/>
    <s v="01/08/2018 18:14"/>
    <s v="S0643"/>
    <n v="0"/>
    <n v="0"/>
    <n v="0"/>
    <n v="73.5"/>
    <x v="42"/>
    <x v="29"/>
    <x v="11"/>
    <m/>
  </r>
  <r>
    <x v="0"/>
    <x v="1"/>
    <x v="0"/>
    <x v="45"/>
    <x v="0"/>
    <x v="6"/>
    <x v="2"/>
    <s v="20020"/>
    <s v="02/08/2018 20:10"/>
    <s v="28/07/2018 20:44"/>
    <s v="02/08/2018 20:07"/>
    <s v="S1787"/>
    <n v="159.83257499999999"/>
    <n v="0"/>
    <n v="689.25"/>
    <n v="2430"/>
    <x v="43"/>
    <x v="0"/>
    <x v="28"/>
    <m/>
  </r>
  <r>
    <x v="0"/>
    <x v="1"/>
    <x v="1"/>
    <x v="45"/>
    <x v="13"/>
    <x v="6"/>
    <x v="2"/>
    <s v="20021"/>
    <s v="02/08/2018 20:10"/>
    <s v="28/07/2018 20:44"/>
    <s v="02/08/2018 20:07"/>
    <s v="S1787"/>
    <n v="1.3008"/>
    <n v="0"/>
    <n v="1526.25"/>
    <n v="12937.5"/>
    <x v="44"/>
    <x v="30"/>
    <x v="29"/>
    <m/>
  </r>
  <r>
    <x v="0"/>
    <x v="1"/>
    <x v="1"/>
    <x v="46"/>
    <x v="11"/>
    <x v="0"/>
    <x v="0"/>
    <s v="10011"/>
    <s v="01/08/2018 18:36"/>
    <s v="29/07/2018 12:52"/>
    <s v="01/08/2018 18:31"/>
    <s v="S6197"/>
    <n v="6.6374999999999993"/>
    <n v="5.25"/>
    <n v="0"/>
    <n v="3937.5"/>
    <x v="45"/>
    <x v="31"/>
    <x v="30"/>
    <s v="PKG20"/>
  </r>
  <r>
    <x v="0"/>
    <x v="1"/>
    <x v="1"/>
    <x v="47"/>
    <x v="14"/>
    <x v="23"/>
    <x v="8"/>
    <s v="10027"/>
    <s v="01/08/2018 20:14"/>
    <s v="29/07/2018 13:22"/>
    <s v="01/08/2018 20:11"/>
    <s v="S6197"/>
    <n v="174.678"/>
    <n v="1516.5"/>
    <n v="2760"/>
    <n v="46269.75"/>
    <x v="46"/>
    <x v="32"/>
    <x v="31"/>
    <m/>
  </r>
  <r>
    <x v="0"/>
    <x v="1"/>
    <x v="1"/>
    <x v="48"/>
    <x v="15"/>
    <x v="0"/>
    <x v="0"/>
    <s v="10010"/>
    <s v="01/08/2018 18:33"/>
    <s v="29/07/2018 19:40"/>
    <s v="01/08/2018 18:32"/>
    <s v="S1787"/>
    <n v="46.410000000000004"/>
    <n v="1121.25"/>
    <n v="0"/>
    <n v="90000"/>
    <x v="47"/>
    <x v="33"/>
    <x v="32"/>
    <s v="PKG17"/>
  </r>
  <r>
    <x v="0"/>
    <x v="1"/>
    <x v="1"/>
    <x v="49"/>
    <x v="16"/>
    <x v="0"/>
    <x v="0"/>
    <s v="20016"/>
    <s v="02/08/2018 19:05"/>
    <s v="29/07/2018 21:47"/>
    <s v="02/08/2018 19:03"/>
    <s v="S6197"/>
    <n v="56.699999999999996"/>
    <n v="0"/>
    <n v="10756.125"/>
    <n v="2025"/>
    <x v="48"/>
    <x v="0"/>
    <x v="33"/>
    <s v="PKG25"/>
  </r>
  <r>
    <x v="0"/>
    <x v="0"/>
    <x v="0"/>
    <x v="50"/>
    <x v="0"/>
    <x v="24"/>
    <x v="4"/>
    <s v="10013"/>
    <s v="01/08/2018 17:30"/>
    <s v="30/07/2018 03:41"/>
    <s v="01/08/2018 17:28"/>
    <s v="S2438"/>
    <n v="0"/>
    <n v="0"/>
    <n v="0"/>
    <n v="9375"/>
    <x v="7"/>
    <x v="0"/>
    <x v="7"/>
    <s v="PKG4"/>
  </r>
  <r>
    <x v="0"/>
    <x v="1"/>
    <x v="1"/>
    <x v="51"/>
    <x v="17"/>
    <x v="25"/>
    <x v="0"/>
    <s v="10036"/>
    <s v="01/08/2018 21:16"/>
    <s v="30/07/2018 06:37"/>
    <s v="01/08/2018 21:14"/>
    <s v="S6197"/>
    <n v="114.24"/>
    <n v="0"/>
    <n v="10061.25"/>
    <n v="3000"/>
    <x v="49"/>
    <x v="34"/>
    <x v="34"/>
    <s v="PKG21"/>
  </r>
  <r>
    <x v="0"/>
    <x v="1"/>
    <x v="1"/>
    <x v="52"/>
    <x v="18"/>
    <x v="22"/>
    <x v="0"/>
    <s v="10032"/>
    <s v="01/08/2018 20:33"/>
    <s v="30/07/2018 06:46"/>
    <s v="01/08/2018 20:32"/>
    <s v="S1248"/>
    <n v="0"/>
    <n v="0"/>
    <n v="0"/>
    <n v="10875"/>
    <x v="50"/>
    <x v="0"/>
    <x v="35"/>
    <s v="PKG22"/>
  </r>
  <r>
    <x v="0"/>
    <x v="1"/>
    <x v="1"/>
    <x v="53"/>
    <x v="1"/>
    <x v="22"/>
    <x v="0"/>
    <s v="20013"/>
    <s v="02/08/2018 18:05"/>
    <s v="30/07/2018 07:01"/>
    <s v="02/08/2018 18:03"/>
    <s v="S7071"/>
    <n v="0"/>
    <n v="41266.5"/>
    <n v="0"/>
    <n v="90000"/>
    <x v="51"/>
    <x v="35"/>
    <x v="36"/>
    <s v="PKG16"/>
  </r>
  <r>
    <x v="0"/>
    <x v="1"/>
    <x v="1"/>
    <x v="54"/>
    <x v="1"/>
    <x v="22"/>
    <x v="0"/>
    <s v="10008"/>
    <s v="01/08/2018 18:23"/>
    <s v="30/07/2018 07:09"/>
    <s v="01/08/2018 18:21"/>
    <s v="S7071"/>
    <n v="12.8352"/>
    <n v="0"/>
    <n v="9232.5"/>
    <n v="3750"/>
    <x v="52"/>
    <x v="0"/>
    <x v="37"/>
    <s v="PKG19"/>
  </r>
  <r>
    <x v="0"/>
    <x v="0"/>
    <x v="0"/>
    <x v="55"/>
    <x v="0"/>
    <x v="25"/>
    <x v="0"/>
    <s v="10022"/>
    <s v="01/08/2018 19:51"/>
    <s v="30/07/2018 07:18"/>
    <s v="01/08/2018 19:48"/>
    <s v="S2438"/>
    <n v="0"/>
    <n v="41266.5"/>
    <n v="0"/>
    <n v="90000"/>
    <x v="1"/>
    <x v="0"/>
    <x v="1"/>
    <s v="PKG12"/>
  </r>
  <r>
    <x v="0"/>
    <x v="0"/>
    <x v="0"/>
    <x v="56"/>
    <x v="0"/>
    <x v="25"/>
    <x v="0"/>
    <s v="10024"/>
    <s v="01/08/2018 19:59"/>
    <s v="30/07/2018 07:39"/>
    <s v="01/08/2018 19:57"/>
    <s v="S2438"/>
    <n v="0"/>
    <n v="0"/>
    <n v="0"/>
    <n v="10875"/>
    <x v="50"/>
    <x v="0"/>
    <x v="35"/>
    <s v="PKG13"/>
  </r>
  <r>
    <x v="0"/>
    <x v="1"/>
    <x v="1"/>
    <x v="57"/>
    <x v="6"/>
    <x v="1"/>
    <x v="1"/>
    <s v="10023"/>
    <s v="01/08/2018 20:08"/>
    <s v="30/07/2018 08:44"/>
    <s v="01/08/2018 20:07"/>
    <s v="S6197"/>
    <n v="0"/>
    <n v="0"/>
    <n v="0"/>
    <n v="17718.75"/>
    <x v="53"/>
    <x v="0"/>
    <x v="38"/>
    <s v="PKG29"/>
  </r>
  <r>
    <x v="0"/>
    <x v="1"/>
    <x v="1"/>
    <x v="58"/>
    <x v="17"/>
    <x v="25"/>
    <x v="0"/>
    <s v="10034"/>
    <s v="01/08/2018 20:38"/>
    <s v="30/07/2018 09:06"/>
    <s v="01/08/2018 20:35"/>
    <s v="S6197"/>
    <n v="0"/>
    <n v="0"/>
    <n v="0"/>
    <n v="9562.5"/>
    <x v="54"/>
    <x v="0"/>
    <x v="39"/>
    <s v="PKG21"/>
  </r>
  <r>
    <x v="0"/>
    <x v="1"/>
    <x v="1"/>
    <x v="59"/>
    <x v="1"/>
    <x v="22"/>
    <x v="0"/>
    <s v="20012"/>
    <s v="02/08/2018 17:33"/>
    <s v="30/07/2018 09:46"/>
    <s v="02/08/2018 17:29"/>
    <s v="S7071"/>
    <n v="28.56"/>
    <n v="0"/>
    <n v="1779.75"/>
    <n v="8927.25"/>
    <x v="55"/>
    <x v="0"/>
    <x v="40"/>
    <s v="PKG16"/>
  </r>
  <r>
    <x v="0"/>
    <x v="1"/>
    <x v="1"/>
    <x v="60"/>
    <x v="19"/>
    <x v="25"/>
    <x v="0"/>
    <s v="10019"/>
    <s v="01/08/2018 20:00"/>
    <s v="30/07/2018 10:20"/>
    <s v="01/08/2018 19:57"/>
    <s v="S6197"/>
    <n v="307.35000000000002"/>
    <n v="0"/>
    <n v="9955.5"/>
    <n v="4252.5"/>
    <x v="56"/>
    <x v="0"/>
    <x v="41"/>
    <s v="PKG21"/>
  </r>
  <r>
    <x v="0"/>
    <x v="1"/>
    <x v="1"/>
    <x v="61"/>
    <x v="1"/>
    <x v="22"/>
    <x v="0"/>
    <s v="10009"/>
    <s v="01/08/2018 18:26"/>
    <s v="30/07/2018 11:38"/>
    <s v="01/08/2018 18:24"/>
    <s v="S7071"/>
    <n v="85.679999999999993"/>
    <n v="0"/>
    <n v="4305"/>
    <n v="5478.75"/>
    <x v="57"/>
    <x v="36"/>
    <x v="42"/>
    <s v="PKG18"/>
  </r>
  <r>
    <x v="0"/>
    <x v="1"/>
    <x v="1"/>
    <x v="62"/>
    <x v="20"/>
    <x v="1"/>
    <x v="1"/>
    <s v="10029"/>
    <s v="01/08/2018 20:15"/>
    <s v="30/07/2018 11:53"/>
    <s v="01/08/2018 20:12"/>
    <s v="S1248"/>
    <n v="0"/>
    <n v="0"/>
    <n v="0"/>
    <n v="52500"/>
    <x v="58"/>
    <x v="0"/>
    <x v="43"/>
    <m/>
  </r>
  <r>
    <x v="0"/>
    <x v="0"/>
    <x v="0"/>
    <x v="63"/>
    <x v="0"/>
    <x v="20"/>
    <x v="8"/>
    <s v="10012"/>
    <s v="01/08/2018 17:17"/>
    <s v="30/07/2018 12:47"/>
    <s v="01/08/2018 17:16"/>
    <s v="S2438"/>
    <n v="0"/>
    <n v="0"/>
    <n v="0"/>
    <n v="163500"/>
    <x v="59"/>
    <x v="37"/>
    <x v="11"/>
    <m/>
  </r>
  <r>
    <x v="0"/>
    <x v="0"/>
    <x v="0"/>
    <x v="64"/>
    <x v="0"/>
    <x v="4"/>
    <x v="4"/>
    <s v="10017"/>
    <s v="01/08/2018 18:04"/>
    <s v="30/07/2018 13:35"/>
    <s v="01/08/2018 18:03"/>
    <s v="S0643"/>
    <n v="0"/>
    <n v="0"/>
    <n v="0"/>
    <n v="15562.5"/>
    <x v="60"/>
    <x v="38"/>
    <x v="11"/>
    <m/>
  </r>
  <r>
    <x v="0"/>
    <x v="1"/>
    <x v="0"/>
    <x v="65"/>
    <x v="0"/>
    <x v="26"/>
    <x v="0"/>
    <s v="20011"/>
    <s v="02/08/2018 16:58"/>
    <s v="30/07/2018 13:56"/>
    <s v="02/08/2018 16:47"/>
    <s v="S1787"/>
    <n v="30082.5"/>
    <n v="0"/>
    <n v="0"/>
    <n v="5081.25"/>
    <x v="61"/>
    <x v="39"/>
    <x v="44"/>
    <s v="PKG15"/>
  </r>
  <r>
    <x v="0"/>
    <x v="1"/>
    <x v="1"/>
    <x v="65"/>
    <x v="8"/>
    <x v="26"/>
    <x v="0"/>
    <s v="20009"/>
    <s v="02/08/2018 16:58"/>
    <s v="30/07/2018 13:56"/>
    <s v="02/08/2018 16:47"/>
    <s v="S1787"/>
    <n v="28.56"/>
    <n v="0"/>
    <n v="2568.75"/>
    <n v="1927.5"/>
    <x v="62"/>
    <x v="0"/>
    <x v="45"/>
    <s v="PKG15"/>
  </r>
  <r>
    <x v="0"/>
    <x v="0"/>
    <x v="0"/>
    <x v="66"/>
    <x v="0"/>
    <x v="27"/>
    <x v="0"/>
    <s v="20017"/>
    <s v="02/08/2018 19:55"/>
    <s v="30/07/2018 14:13"/>
    <s v="02/08/2018 19:53"/>
    <s v="S1271"/>
    <n v="0"/>
    <n v="41266.5"/>
    <n v="0"/>
    <n v="3750"/>
    <x v="1"/>
    <x v="0"/>
    <x v="1"/>
    <m/>
  </r>
  <r>
    <x v="0"/>
    <x v="1"/>
    <x v="1"/>
    <x v="67"/>
    <x v="1"/>
    <x v="28"/>
    <x v="0"/>
    <s v="20005"/>
    <s v="02/08/2018 13:37"/>
    <s v="30/07/2018 14:16"/>
    <s v="02/08/2018 13:36"/>
    <s v="S7071"/>
    <n v="150.02587500000001"/>
    <n v="71.25"/>
    <n v="3348"/>
    <n v="1515.375"/>
    <x v="63"/>
    <x v="0"/>
    <x v="46"/>
    <s v="PKG24"/>
  </r>
  <r>
    <x v="0"/>
    <x v="1"/>
    <x v="0"/>
    <x v="68"/>
    <x v="0"/>
    <x v="8"/>
    <x v="5"/>
    <s v="20021"/>
    <s v="02/08/2018 20:13"/>
    <s v="30/07/2018 15:35"/>
    <s v="02/08/2018 20:09"/>
    <s v="S1248"/>
    <n v="0"/>
    <n v="1275"/>
    <n v="0"/>
    <n v="53625"/>
    <x v="64"/>
    <x v="0"/>
    <x v="47"/>
    <s v="PKG26"/>
  </r>
  <r>
    <x v="0"/>
    <x v="1"/>
    <x v="1"/>
    <x v="68"/>
    <x v="8"/>
    <x v="8"/>
    <x v="5"/>
    <s v="20023"/>
    <s v="02/08/2018 20:13"/>
    <s v="30/07/2018 15:35"/>
    <s v="02/08/2018 20:09"/>
    <s v="S1248"/>
    <n v="0"/>
    <n v="1327.5"/>
    <n v="0"/>
    <n v="44625"/>
    <x v="65"/>
    <x v="0"/>
    <x v="48"/>
    <s v="PKG26"/>
  </r>
  <r>
    <x v="0"/>
    <x v="1"/>
    <x v="1"/>
    <x v="69"/>
    <x v="20"/>
    <x v="12"/>
    <x v="7"/>
    <s v="20027"/>
    <s v="02/08/2018 21:22"/>
    <s v="30/07/2018 16:07"/>
    <s v="02/08/2018 21:20"/>
    <s v="S1787"/>
    <n v="0"/>
    <n v="246"/>
    <n v="0"/>
    <n v="12750"/>
    <x v="66"/>
    <x v="0"/>
    <x v="49"/>
    <s v="PKG11"/>
  </r>
  <r>
    <x v="0"/>
    <x v="0"/>
    <x v="0"/>
    <x v="70"/>
    <x v="0"/>
    <x v="1"/>
    <x v="1"/>
    <s v="20009"/>
    <s v="02/08/2018 16:36"/>
    <s v="30/07/2018 18:51"/>
    <s v="02/08/2018 16:34"/>
    <s v="S0643"/>
    <n v="3293.7062999999998"/>
    <n v="0"/>
    <n v="8475"/>
    <n v="404.25"/>
    <x v="67"/>
    <x v="0"/>
    <x v="50"/>
    <m/>
  </r>
  <r>
    <x v="0"/>
    <x v="1"/>
    <x v="1"/>
    <x v="71"/>
    <x v="17"/>
    <x v="24"/>
    <x v="4"/>
    <s v="10017"/>
    <s v="01/08/2018 19:49"/>
    <s v="30/07/2018 19:24"/>
    <s v="01/08/2018 19:47"/>
    <s v="S6197"/>
    <n v="152.7756"/>
    <n v="576.58500000000004"/>
    <n v="0"/>
    <n v="558.75"/>
    <x v="68"/>
    <x v="40"/>
    <x v="51"/>
    <m/>
  </r>
  <r>
    <x v="0"/>
    <x v="0"/>
    <x v="0"/>
    <x v="72"/>
    <x v="0"/>
    <x v="18"/>
    <x v="13"/>
    <s v="10008"/>
    <s v="01/08/2018 15:59"/>
    <s v="30/07/2018 19:39"/>
    <s v="01/08/2018 15:56"/>
    <s v="S2438"/>
    <n v="280.14"/>
    <n v="39.75"/>
    <n v="0"/>
    <n v="3150"/>
    <x v="19"/>
    <x v="11"/>
    <x v="11"/>
    <m/>
  </r>
  <r>
    <x v="0"/>
    <x v="0"/>
    <x v="0"/>
    <x v="73"/>
    <x v="0"/>
    <x v="1"/>
    <x v="1"/>
    <s v="20007"/>
    <s v="02/08/2018 14:51"/>
    <s v="30/07/2018 19:47"/>
    <s v="02/08/2018 14:50"/>
    <s v="S0643"/>
    <n v="0"/>
    <n v="45000"/>
    <n v="0"/>
    <n v="52500"/>
    <x v="69"/>
    <x v="0"/>
    <x v="52"/>
    <s v="PKG4"/>
  </r>
  <r>
    <x v="0"/>
    <x v="1"/>
    <x v="1"/>
    <x v="74"/>
    <x v="14"/>
    <x v="15"/>
    <x v="10"/>
    <s v="20001"/>
    <s v="01/08/2018 16:45"/>
    <s v="30/07/2018 21:29"/>
    <s v="01/08/2018 16:30"/>
    <s v="S1732"/>
    <n v="140.3304"/>
    <n v="0"/>
    <n v="6318.75"/>
    <n v="2400"/>
    <x v="70"/>
    <x v="41"/>
    <x v="11"/>
    <m/>
  </r>
  <r>
    <x v="0"/>
    <x v="0"/>
    <x v="0"/>
    <x v="75"/>
    <x v="0"/>
    <x v="1"/>
    <x v="1"/>
    <s v="10018"/>
    <s v="01/08/2018 18:09"/>
    <s v="30/07/2018 22:14"/>
    <s v="01/08/2018 18:08"/>
    <s v="S0643"/>
    <n v="0"/>
    <n v="0"/>
    <n v="0"/>
    <n v="57000"/>
    <x v="71"/>
    <x v="0"/>
    <x v="53"/>
    <m/>
  </r>
  <r>
    <x v="0"/>
    <x v="1"/>
    <x v="1"/>
    <x v="76"/>
    <x v="4"/>
    <x v="19"/>
    <x v="4"/>
    <s v="10038"/>
    <s v="01/08/2018 21:33"/>
    <s v="30/07/2018 22:42"/>
    <s v="01/08/2018 21:22"/>
    <s v="S2438"/>
    <n v="0"/>
    <n v="24.674999999999997"/>
    <n v="0"/>
    <n v="1125"/>
    <x v="72"/>
    <x v="42"/>
    <x v="54"/>
    <s v="PKG5"/>
  </r>
  <r>
    <x v="0"/>
    <x v="0"/>
    <x v="0"/>
    <x v="77"/>
    <x v="0"/>
    <x v="17"/>
    <x v="12"/>
    <s v="20004"/>
    <s v="02/08/2018 14:26"/>
    <s v="31/07/2018 03:09"/>
    <s v="02/08/2018 14:24"/>
    <s v="S0643"/>
    <n v="0"/>
    <n v="0"/>
    <n v="0"/>
    <n v="9375"/>
    <x v="7"/>
    <x v="0"/>
    <x v="7"/>
    <m/>
  </r>
  <r>
    <x v="0"/>
    <x v="1"/>
    <x v="1"/>
    <x v="78"/>
    <x v="12"/>
    <x v="29"/>
    <x v="14"/>
    <s v="20004"/>
    <s v="02/08/2018 13:04"/>
    <s v="31/07/2018 06:24"/>
    <s v="02/08/2018 13:03"/>
    <s v="S1732"/>
    <n v="320.167125"/>
    <n v="7.5"/>
    <n v="1372.5"/>
    <n v="558.75"/>
    <x v="34"/>
    <x v="23"/>
    <x v="11"/>
    <m/>
  </r>
  <r>
    <x v="0"/>
    <x v="0"/>
    <x v="0"/>
    <x v="79"/>
    <x v="0"/>
    <x v="29"/>
    <x v="14"/>
    <s v="20002"/>
    <s v="02/08/2018 12:10"/>
    <s v="31/07/2018 06:38"/>
    <s v="02/08/2018 12:09"/>
    <s v="S0643"/>
    <n v="57.161999999999992"/>
    <n v="0"/>
    <n v="2613.75"/>
    <n v="8077.5"/>
    <x v="73"/>
    <x v="43"/>
    <x v="11"/>
    <m/>
  </r>
  <r>
    <x v="0"/>
    <x v="0"/>
    <x v="0"/>
    <x v="80"/>
    <x v="0"/>
    <x v="7"/>
    <x v="0"/>
    <s v="10006"/>
    <s v="01/08/2018 15:43"/>
    <s v="31/07/2018 06:47"/>
    <s v="01/08/2018 15:42"/>
    <s v="S0643"/>
    <n v="367.38967500000001"/>
    <n v="0"/>
    <n v="2021.25"/>
    <n v="6577.5"/>
    <x v="74"/>
    <x v="0"/>
    <x v="55"/>
    <m/>
  </r>
  <r>
    <x v="0"/>
    <x v="0"/>
    <x v="0"/>
    <x v="81"/>
    <x v="0"/>
    <x v="30"/>
    <x v="15"/>
    <s v="10009"/>
    <s v="01/08/2018 16:09"/>
    <s v="31/07/2018 07:01"/>
    <s v="01/08/2018 16:02"/>
    <s v="S2438"/>
    <n v="252.64679999999998"/>
    <n v="99"/>
    <n v="712.5"/>
    <n v="6187.5"/>
    <x v="75"/>
    <x v="26"/>
    <x v="56"/>
    <m/>
  </r>
  <r>
    <x v="0"/>
    <x v="1"/>
    <x v="1"/>
    <x v="82"/>
    <x v="1"/>
    <x v="5"/>
    <x v="5"/>
    <s v="20015"/>
    <s v="02/08/2018 18:26"/>
    <s v="31/07/2018 07:14"/>
    <s v="02/08/2018 18:24"/>
    <s v="S7071"/>
    <n v="24.595199999999998"/>
    <n v="2044.0274999999999"/>
    <n v="2606.25"/>
    <n v="16267.5"/>
    <x v="76"/>
    <x v="44"/>
    <x v="57"/>
    <s v="PKG27"/>
  </r>
  <r>
    <x v="0"/>
    <x v="1"/>
    <x v="1"/>
    <x v="83"/>
    <x v="1"/>
    <x v="1"/>
    <x v="1"/>
    <s v="10013"/>
    <s v="01/08/2018 18:59"/>
    <s v="31/07/2018 07:25"/>
    <s v="01/08/2018 18:56"/>
    <s v="S7071"/>
    <n v="267.13747499999999"/>
    <n v="0"/>
    <n v="11364.75"/>
    <n v="6655.5"/>
    <x v="77"/>
    <x v="0"/>
    <x v="58"/>
    <s v="PKG28"/>
  </r>
  <r>
    <x v="0"/>
    <x v="0"/>
    <x v="0"/>
    <x v="84"/>
    <x v="0"/>
    <x v="0"/>
    <x v="0"/>
    <s v="10015"/>
    <s v="01/08/2018 17:56"/>
    <s v="31/07/2018 07:49"/>
    <s v="01/08/2018 17:54"/>
    <s v="S0643"/>
    <n v="0"/>
    <n v="0"/>
    <n v="1976.25"/>
    <n v="46500"/>
    <x v="78"/>
    <x v="0"/>
    <x v="59"/>
    <m/>
  </r>
  <r>
    <x v="0"/>
    <x v="1"/>
    <x v="1"/>
    <x v="85"/>
    <x v="18"/>
    <x v="28"/>
    <x v="0"/>
    <s v="10002"/>
    <s v="01/08/2018 12:50"/>
    <s v="31/07/2018 08:02"/>
    <s v="01/08/2018 12:49"/>
    <s v="S1787"/>
    <n v="0"/>
    <n v="0"/>
    <n v="0"/>
    <n v="10875"/>
    <x v="50"/>
    <x v="0"/>
    <x v="35"/>
    <s v="PKG17"/>
  </r>
  <r>
    <x v="0"/>
    <x v="0"/>
    <x v="0"/>
    <x v="86"/>
    <x v="0"/>
    <x v="31"/>
    <x v="9"/>
    <s v="10016"/>
    <s v="01/08/2018 17:58"/>
    <s v="31/07/2018 11:11"/>
    <s v="01/08/2018 17:57"/>
    <s v="S0643"/>
    <n v="0"/>
    <n v="0"/>
    <n v="0"/>
    <n v="9750"/>
    <x v="28"/>
    <x v="18"/>
    <x v="11"/>
    <m/>
  </r>
  <r>
    <x v="0"/>
    <x v="1"/>
    <x v="1"/>
    <x v="87"/>
    <x v="17"/>
    <x v="32"/>
    <x v="16"/>
    <s v="10020"/>
    <s v="01/08/2018 20:04"/>
    <s v="31/07/2018 11:39"/>
    <s v="01/08/2018 20:02"/>
    <s v="S6197"/>
    <n v="0"/>
    <n v="0"/>
    <n v="0"/>
    <n v="86884.5"/>
    <x v="79"/>
    <x v="0"/>
    <x v="60"/>
    <m/>
  </r>
  <r>
    <x v="0"/>
    <x v="0"/>
    <x v="0"/>
    <x v="88"/>
    <x v="0"/>
    <x v="6"/>
    <x v="2"/>
    <s v="20014"/>
    <s v="02/08/2018 18:22"/>
    <s v="31/07/2018 11:52"/>
    <s v="02/08/2018 18:20"/>
    <s v="S2438"/>
    <n v="0"/>
    <n v="0"/>
    <n v="0"/>
    <n v="55500"/>
    <x v="80"/>
    <x v="0"/>
    <x v="61"/>
    <m/>
  </r>
  <r>
    <x v="0"/>
    <x v="1"/>
    <x v="1"/>
    <x v="89"/>
    <x v="20"/>
    <x v="16"/>
    <x v="11"/>
    <s v="10028"/>
    <s v="01/08/2018 20:14"/>
    <s v="31/07/2018 11:55"/>
    <s v="01/08/2018 20:11"/>
    <s v="S1787"/>
    <n v="57.12"/>
    <n v="0"/>
    <n v="15015"/>
    <n v="375"/>
    <x v="19"/>
    <x v="11"/>
    <x v="11"/>
    <m/>
  </r>
  <r>
    <x v="0"/>
    <x v="1"/>
    <x v="1"/>
    <x v="90"/>
    <x v="20"/>
    <x v="16"/>
    <x v="11"/>
    <s v="10035"/>
    <s v="01/08/2018 20:44"/>
    <s v="31/07/2018 12:01"/>
    <s v="01/08/2018 20:42"/>
    <s v="S1248"/>
    <n v="136.9308"/>
    <n v="0"/>
    <n v="4601.25"/>
    <n v="1875"/>
    <x v="81"/>
    <x v="45"/>
    <x v="62"/>
    <m/>
  </r>
  <r>
    <x v="0"/>
    <x v="1"/>
    <x v="1"/>
    <x v="91"/>
    <x v="8"/>
    <x v="21"/>
    <x v="0"/>
    <s v="10031"/>
    <s v="01/08/2018 20:19"/>
    <s v="31/07/2018 12:43"/>
    <s v="01/08/2018 20:16"/>
    <s v="S1787"/>
    <n v="44.099999999999994"/>
    <n v="99"/>
    <n v="0"/>
    <n v="3000"/>
    <x v="82"/>
    <x v="0"/>
    <x v="63"/>
    <m/>
  </r>
  <r>
    <x v="0"/>
    <x v="0"/>
    <x v="0"/>
    <x v="92"/>
    <x v="0"/>
    <x v="33"/>
    <x v="6"/>
    <s v="20013"/>
    <s v="02/08/2018 18:05"/>
    <s v="31/07/2018 13:14"/>
    <s v="02/08/2018 18:04"/>
    <s v="S1271"/>
    <n v="56.699999999999996"/>
    <n v="112.125"/>
    <n v="900"/>
    <n v="3712.5"/>
    <x v="83"/>
    <x v="46"/>
    <x v="11"/>
    <m/>
  </r>
  <r>
    <x v="0"/>
    <x v="1"/>
    <x v="1"/>
    <x v="93"/>
    <x v="8"/>
    <x v="4"/>
    <x v="4"/>
    <s v="10007"/>
    <s v="01/08/2018 18:09"/>
    <s v="31/07/2018 14:25"/>
    <s v="01/08/2018 18:05"/>
    <s v="S1248"/>
    <n v="0"/>
    <n v="0"/>
    <n v="0"/>
    <n v="375"/>
    <x v="84"/>
    <x v="47"/>
    <x v="11"/>
    <s v="PKG4"/>
  </r>
  <r>
    <x v="0"/>
    <x v="0"/>
    <x v="0"/>
    <x v="94"/>
    <x v="0"/>
    <x v="4"/>
    <x v="4"/>
    <s v="10002"/>
    <s v="01/08/2018 13:21"/>
    <s v="31/07/2018 15:12"/>
    <s v="01/08/2018 13:18"/>
    <s v="S2438"/>
    <n v="0"/>
    <n v="0"/>
    <n v="0"/>
    <n v="9375"/>
    <x v="7"/>
    <x v="0"/>
    <x v="7"/>
    <s v="PKG2"/>
  </r>
  <r>
    <x v="0"/>
    <x v="1"/>
    <x v="0"/>
    <x v="95"/>
    <x v="0"/>
    <x v="26"/>
    <x v="0"/>
    <s v="10026"/>
    <s v="01/08/2018 20:09"/>
    <s v="31/07/2018 16:30"/>
    <s v="01/08/2018 19:50"/>
    <s v="S1248"/>
    <n v="0"/>
    <n v="35594.25"/>
    <n v="0"/>
    <n v="16107.75"/>
    <x v="85"/>
    <x v="0"/>
    <x v="64"/>
    <s v="PKG14"/>
  </r>
  <r>
    <x v="0"/>
    <x v="1"/>
    <x v="1"/>
    <x v="95"/>
    <x v="8"/>
    <x v="26"/>
    <x v="0"/>
    <s v="10024"/>
    <s v="01/08/2018 20:09"/>
    <s v="31/07/2018 16:30"/>
    <s v="01/08/2018 19:50"/>
    <s v="S1248"/>
    <n v="0"/>
    <n v="0"/>
    <n v="0"/>
    <n v="30375"/>
    <x v="86"/>
    <x v="0"/>
    <x v="65"/>
    <s v="PKG14"/>
  </r>
  <r>
    <x v="0"/>
    <x v="0"/>
    <x v="0"/>
    <x v="96"/>
    <x v="0"/>
    <x v="31"/>
    <x v="9"/>
    <s v="20003"/>
    <s v="02/08/2018 12:37"/>
    <s v="31/07/2018 17:52"/>
    <s v="02/08/2018 12:36"/>
    <s v="S1271"/>
    <n v="161.28"/>
    <n v="0"/>
    <n v="18543.75"/>
    <n v="1601.25"/>
    <x v="87"/>
    <x v="48"/>
    <x v="11"/>
    <m/>
  </r>
  <r>
    <x v="0"/>
    <x v="1"/>
    <x v="1"/>
    <x v="97"/>
    <x v="5"/>
    <x v="15"/>
    <x v="10"/>
    <s v="20019"/>
    <s v="02/08/2018 19:52"/>
    <s v="31/07/2018 18:28"/>
    <s v="02/08/2018 19:51"/>
    <s v="S1787"/>
    <n v="93.24"/>
    <n v="67.41"/>
    <n v="6832.5"/>
    <n v="900"/>
    <x v="88"/>
    <x v="49"/>
    <x v="11"/>
    <m/>
  </r>
  <r>
    <x v="0"/>
    <x v="1"/>
    <x v="1"/>
    <x v="98"/>
    <x v="7"/>
    <x v="1"/>
    <x v="1"/>
    <s v="20024"/>
    <s v="02/08/2018 20:13"/>
    <s v="31/07/2018 21:06"/>
    <s v="02/08/2018 20:12"/>
    <s v="S6197"/>
    <n v="0"/>
    <n v="0"/>
    <n v="0"/>
    <n v="62625"/>
    <x v="89"/>
    <x v="0"/>
    <x v="66"/>
    <m/>
  </r>
  <r>
    <x v="2"/>
    <x v="2"/>
    <x v="2"/>
    <x v="99"/>
    <x v="21"/>
    <x v="34"/>
    <x v="17"/>
    <m/>
    <m/>
    <m/>
    <m/>
    <m/>
    <m/>
    <m/>
    <m/>
    <m/>
    <x v="90"/>
    <x v="50"/>
    <x v="67"/>
    <m/>
  </r>
</pivotCacheRecords>
</file>

<file path=xl/pivotCache/pivotCacheRecords2.xml><?xml version="1.0" encoding="utf-8"?>
<pivotCacheRecords xmlns="http://schemas.openxmlformats.org/spreadsheetml/2006/main" xmlns:r="http://schemas.openxmlformats.org/officeDocument/2006/relationships" count="104">
  <r>
    <x v="0"/>
    <x v="0"/>
    <x v="0"/>
    <x v="0"/>
    <x v="0"/>
    <s v="DOC20"/>
    <x v="0"/>
    <x v="0"/>
    <s v="02/08/2018 14:30"/>
    <s v="01/08/2018 07:21"/>
    <s v="02/08/2018 14:27"/>
    <s v="S0643"/>
    <n v="78.457499999999996"/>
    <n v="0"/>
    <n v="1496.25"/>
    <n v="6000"/>
    <x v="0"/>
    <n v="0"/>
    <n v="8501.3024999999998"/>
    <m/>
  </r>
  <r>
    <x v="0"/>
    <x v="1"/>
    <x v="1"/>
    <x v="1"/>
    <x v="1"/>
    <s v="DOC31"/>
    <x v="1"/>
    <x v="1"/>
    <s v="02/08/2018 18:23"/>
    <s v="01/08/2018 07:41"/>
    <s v="02/08/2018 18:21"/>
    <s v="S7071"/>
    <n v="0"/>
    <n v="41266.5"/>
    <n v="0"/>
    <n v="3750"/>
    <x v="1"/>
    <n v="0"/>
    <n v="135016.5"/>
    <s v="PKG30"/>
  </r>
  <r>
    <x v="0"/>
    <x v="0"/>
    <x v="0"/>
    <x v="2"/>
    <x v="0"/>
    <s v="DOC32"/>
    <x v="2"/>
    <x v="2"/>
    <s v="01/08/2018 15:45"/>
    <s v="01/08/2018 08:57"/>
    <s v="01/08/2018 15:44"/>
    <s v="S0643"/>
    <n v="0"/>
    <n v="29838.75"/>
    <n v="0"/>
    <n v="106875"/>
    <x v="2"/>
    <n v="0"/>
    <n v="136713.75"/>
    <m/>
  </r>
  <r>
    <x v="0"/>
    <x v="1"/>
    <x v="1"/>
    <x v="3"/>
    <x v="1"/>
    <s v="DOC32"/>
    <x v="2"/>
    <x v="3"/>
    <s v="02/08/2018 14:07"/>
    <s v="01/08/2018 09:06"/>
    <s v="02/08/2018 14:06"/>
    <s v="S7071"/>
    <n v="42.286499999999997"/>
    <n v="5207.9775"/>
    <n v="1451.25"/>
    <n v="300"/>
    <x v="3"/>
    <n v="0"/>
    <n v="105035.43"/>
    <s v="PKG33"/>
  </r>
  <r>
    <x v="0"/>
    <x v="1"/>
    <x v="1"/>
    <x v="4"/>
    <x v="1"/>
    <s v="DOC32"/>
    <x v="2"/>
    <x v="4"/>
    <s v="01/08/2018 17:29"/>
    <s v="01/08/2018 09:23"/>
    <s v="01/08/2018 17:28"/>
    <s v="S6875"/>
    <n v="29984.693850000003"/>
    <n v="0"/>
    <n v="44625"/>
    <n v="9135"/>
    <x v="4"/>
    <n v="551250"/>
    <n v="149999.22750000004"/>
    <s v="PKG31"/>
  </r>
  <r>
    <x v="0"/>
    <x v="0"/>
    <x v="0"/>
    <x v="5"/>
    <x v="0"/>
    <s v="DOC32"/>
    <x v="2"/>
    <x v="5"/>
    <s v="01/08/2018 19:58"/>
    <s v="01/08/2018 09:31"/>
    <s v="01/08/2018 19:56"/>
    <s v="S0643"/>
    <n v="85.679999999999993"/>
    <n v="0"/>
    <n v="48956.25"/>
    <n v="258.75"/>
    <x v="5"/>
    <n v="12750"/>
    <n v="102807.6225"/>
    <m/>
  </r>
  <r>
    <x v="0"/>
    <x v="1"/>
    <x v="1"/>
    <x v="6"/>
    <x v="1"/>
    <s v="DOC34"/>
    <x v="3"/>
    <x v="6"/>
    <s v="02/08/2018 14:59"/>
    <s v="01/08/2018 09:42"/>
    <s v="02/08/2018 14:56"/>
    <s v="S7071"/>
    <n v="8.19"/>
    <n v="0"/>
    <n v="24451.875"/>
    <n v="21789"/>
    <x v="6"/>
    <n v="0"/>
    <n v="82963.237499999988"/>
    <s v="PKG35"/>
  </r>
  <r>
    <x v="0"/>
    <x v="0"/>
    <x v="0"/>
    <x v="7"/>
    <x v="0"/>
    <s v="DOC2"/>
    <x v="4"/>
    <x v="7"/>
    <s v="01/08/2018 16:43"/>
    <s v="01/08/2018 10:06"/>
    <s v="01/08/2018 16:42"/>
    <s v="S2438"/>
    <n v="0"/>
    <n v="0"/>
    <n v="0"/>
    <n v="9375"/>
    <x v="7"/>
    <n v="0"/>
    <n v="9375"/>
    <s v="PKG3"/>
  </r>
  <r>
    <x v="0"/>
    <x v="0"/>
    <x v="0"/>
    <x v="8"/>
    <x v="0"/>
    <s v="DOC29"/>
    <x v="5"/>
    <x v="8"/>
    <s v="01/08/2018 15:29"/>
    <s v="01/08/2018 10:14"/>
    <s v="01/08/2018 15:29"/>
    <s v="S0643"/>
    <n v="0"/>
    <n v="0"/>
    <n v="0"/>
    <n v="45882.75"/>
    <x v="8"/>
    <n v="0"/>
    <n v="45882.75"/>
    <m/>
  </r>
  <r>
    <x v="0"/>
    <x v="1"/>
    <x v="1"/>
    <x v="9"/>
    <x v="2"/>
    <s v="DOC32"/>
    <x v="2"/>
    <x v="9"/>
    <s v="01/08/2018 20:11"/>
    <s v="01/08/2018 10:19"/>
    <s v="01/08/2018 20:09"/>
    <s v="S6197"/>
    <n v="205.63229999999999"/>
    <n v="0"/>
    <n v="0"/>
    <n v="187.5"/>
    <x v="9"/>
    <n v="0"/>
    <n v="11045.782499999999"/>
    <s v="PKG32"/>
  </r>
  <r>
    <x v="0"/>
    <x v="1"/>
    <x v="1"/>
    <x v="10"/>
    <x v="1"/>
    <s v="DOC20"/>
    <x v="0"/>
    <x v="10"/>
    <s v="02/08/2018 19:38"/>
    <s v="01/08/2018 10:26"/>
    <s v="02/08/2018 19:35"/>
    <s v="S7071"/>
    <n v="51.772500000000001"/>
    <n v="1221"/>
    <n v="0"/>
    <n v="90000"/>
    <x v="10"/>
    <n v="18795"/>
    <n v="132900.45000000001"/>
    <s v="PKG23"/>
  </r>
  <r>
    <x v="0"/>
    <x v="1"/>
    <x v="1"/>
    <x v="11"/>
    <x v="3"/>
    <s v="DOC2"/>
    <x v="4"/>
    <x v="11"/>
    <s v="02/08/2018 20:12"/>
    <s v="01/08/2018 11:11"/>
    <s v="02/08/2018 20:12"/>
    <s v="S1787"/>
    <n v="984.47159999999997"/>
    <n v="1665.8999999999999"/>
    <n v="0"/>
    <n v="68625"/>
    <x v="11"/>
    <n v="90000"/>
    <n v="0"/>
    <s v="PKG4"/>
  </r>
  <r>
    <x v="0"/>
    <x v="1"/>
    <x v="1"/>
    <x v="12"/>
    <x v="1"/>
    <s v="DOC33"/>
    <x v="2"/>
    <x v="12"/>
    <s v="01/08/2018 20:10"/>
    <s v="01/08/2018 11:35"/>
    <s v="01/08/2018 20:07"/>
    <s v="S7071"/>
    <n v="154.59359999999998"/>
    <n v="0"/>
    <n v="16815"/>
    <n v="2625"/>
    <x v="12"/>
    <n v="0"/>
    <n v="85163.557499999995"/>
    <s v="PKG31"/>
  </r>
  <r>
    <x v="0"/>
    <x v="0"/>
    <x v="0"/>
    <x v="13"/>
    <x v="0"/>
    <s v="DOC32"/>
    <x v="2"/>
    <x v="13"/>
    <s v="01/08/2018 19:44"/>
    <s v="01/08/2018 11:44"/>
    <s v="01/08/2018 19:43"/>
    <s v="S0643"/>
    <n v="138.11339999999998"/>
    <n v="975.44999999999993"/>
    <n v="2658.75"/>
    <n v="684.375"/>
    <x v="13"/>
    <n v="8011.5"/>
    <n v="122547.82500000001"/>
    <m/>
  </r>
  <r>
    <x v="0"/>
    <x v="0"/>
    <x v="0"/>
    <x v="14"/>
    <x v="0"/>
    <s v="DOC19"/>
    <x v="0"/>
    <x v="14"/>
    <s v="02/08/2018 17:26"/>
    <s v="01/08/2018 12:16"/>
    <s v="02/08/2018 17:24"/>
    <s v="S2438"/>
    <n v="0"/>
    <n v="41266.5"/>
    <n v="0"/>
    <n v="3750"/>
    <x v="1"/>
    <n v="0"/>
    <n v="135016.5"/>
    <m/>
  </r>
  <r>
    <x v="0"/>
    <x v="0"/>
    <x v="0"/>
    <x v="15"/>
    <x v="0"/>
    <s v="DOC30"/>
    <x v="5"/>
    <x v="15"/>
    <s v="01/08/2018 19:46"/>
    <s v="01/08/2018 12:50"/>
    <s v="01/08/2018 19:45"/>
    <s v="S0643"/>
    <n v="85.679999999999993"/>
    <n v="0"/>
    <n v="7443.75"/>
    <n v="215.625"/>
    <x v="14"/>
    <n v="621"/>
    <n v="18671.13"/>
    <m/>
  </r>
  <r>
    <x v="0"/>
    <x v="0"/>
    <x v="0"/>
    <x v="16"/>
    <x v="0"/>
    <s v="DOC2"/>
    <x v="4"/>
    <x v="10"/>
    <s v="02/08/2018 19:57"/>
    <s v="02/08/2018 11:16"/>
    <s v="02/08/2018 19:56"/>
    <s v="S1271"/>
    <n v="240.81960000000001"/>
    <n v="0"/>
    <n v="10740"/>
    <n v="30375"/>
    <x v="15"/>
    <n v="75516"/>
    <n v="0.29999999998835847"/>
    <s v="PKG3"/>
  </r>
  <r>
    <x v="1"/>
    <x v="1"/>
    <x v="1"/>
    <x v="17"/>
    <x v="4"/>
    <s v="DOC13"/>
    <x v="6"/>
    <x v="16"/>
    <s v="02/08/2018 13:41"/>
    <s v="04/07/2018 09:24"/>
    <s v="02/08/2018 13:33"/>
    <s v="S2438"/>
    <n v="57.12"/>
    <n v="92.887499999999989"/>
    <n v="63.75"/>
    <n v="4425"/>
    <x v="16"/>
    <n v="7500"/>
    <n v="0"/>
    <s v="PKG8"/>
  </r>
  <r>
    <x v="1"/>
    <x v="1"/>
    <x v="1"/>
    <x v="18"/>
    <x v="4"/>
    <s v="DOC13"/>
    <x v="6"/>
    <x v="17"/>
    <s v="01/08/2018 20:50"/>
    <s v="07/07/2018 10:13"/>
    <s v="01/08/2018 20:44"/>
    <s v="S2438"/>
    <n v="43.3125"/>
    <n v="5.25"/>
    <n v="7751.25"/>
    <n v="17688.75"/>
    <x v="17"/>
    <n v="150000"/>
    <n v="0"/>
    <s v="PKG8"/>
  </r>
  <r>
    <x v="1"/>
    <x v="1"/>
    <x v="1"/>
    <x v="19"/>
    <x v="4"/>
    <s v="DOC13"/>
    <x v="6"/>
    <x v="18"/>
    <s v="02/08/2018 13:32"/>
    <s v="09/07/2018 10:45"/>
    <s v="02/08/2018 13:23"/>
    <s v="S2438"/>
    <n v="54.599999999999994"/>
    <n v="0"/>
    <n v="926.25"/>
    <n v="1263.75"/>
    <x v="18"/>
    <n v="26250"/>
    <n v="0"/>
    <s v="PKG8"/>
  </r>
  <r>
    <x v="1"/>
    <x v="1"/>
    <x v="1"/>
    <x v="20"/>
    <x v="4"/>
    <s v="DOC13"/>
    <x v="6"/>
    <x v="19"/>
    <s v="02/08/2018 13:21"/>
    <s v="11/07/2018 09:50"/>
    <s v="02/08/2018 13:07"/>
    <s v="S2438"/>
    <n v="264.7176"/>
    <n v="99"/>
    <n v="191.25"/>
    <n v="2613.75"/>
    <x v="19"/>
    <n v="30000"/>
    <n v="0"/>
    <s v="PKG8"/>
  </r>
  <r>
    <x v="0"/>
    <x v="1"/>
    <x v="1"/>
    <x v="21"/>
    <x v="5"/>
    <s v="DOC17"/>
    <x v="7"/>
    <x v="20"/>
    <s v="02/08/2018 21:01"/>
    <s v="14/07/2018 16:57"/>
    <s v="01/08/2018 20:58"/>
    <s v="S1787"/>
    <n v="0"/>
    <n v="82533"/>
    <n v="0"/>
    <n v="135000"/>
    <x v="20"/>
    <n v="0"/>
    <n v="225033"/>
    <s v="PKG10"/>
  </r>
  <r>
    <x v="0"/>
    <x v="0"/>
    <x v="0"/>
    <x v="22"/>
    <x v="0"/>
    <s v="DOC9"/>
    <x v="8"/>
    <x v="21"/>
    <s v="01/08/2018 20:55"/>
    <s v="15/07/2018 18:44"/>
    <s v="01/08/2018 20:52"/>
    <s v="S2438"/>
    <n v="0"/>
    <n v="24.674999999999997"/>
    <n v="0"/>
    <n v="1125"/>
    <x v="16"/>
    <n v="7500"/>
    <n v="0"/>
    <m/>
  </r>
  <r>
    <x v="0"/>
    <x v="1"/>
    <x v="1"/>
    <x v="23"/>
    <x v="6"/>
    <s v="DOC18"/>
    <x v="7"/>
    <x v="22"/>
    <s v="02/08/2018 20:04"/>
    <s v="21/07/2018 10:34"/>
    <s v="02/08/2018 19:59"/>
    <s v="S6197"/>
    <n v="0"/>
    <n v="0"/>
    <n v="0"/>
    <n v="433.125"/>
    <x v="21"/>
    <n v="433.5"/>
    <n v="-0.375"/>
    <m/>
  </r>
  <r>
    <x v="0"/>
    <x v="1"/>
    <x v="1"/>
    <x v="24"/>
    <x v="7"/>
    <s v="DOC16"/>
    <x v="9"/>
    <x v="23"/>
    <s v="01/08/2018 19:39"/>
    <s v="22/07/2018 18:41"/>
    <s v="01/08/2018 19:38"/>
    <s v="S6197"/>
    <n v="0"/>
    <n v="0"/>
    <n v="0"/>
    <n v="658.125"/>
    <x v="22"/>
    <n v="658.5"/>
    <n v="-0.375"/>
    <s v="PKG9"/>
  </r>
  <r>
    <x v="0"/>
    <x v="1"/>
    <x v="1"/>
    <x v="25"/>
    <x v="1"/>
    <s v="DOC24"/>
    <x v="0"/>
    <x v="24"/>
    <s v="01/08/2018 12:15"/>
    <s v="24/07/2018 21:37"/>
    <s v="01/08/2018 12:12"/>
    <s v="S7071"/>
    <n v="1871.9759999999999"/>
    <n v="0"/>
    <n v="43117.5"/>
    <n v="5700"/>
    <x v="23"/>
    <n v="3432.75"/>
    <n v="108650.64749999999"/>
    <s v="PKG16"/>
  </r>
  <r>
    <x v="0"/>
    <x v="1"/>
    <x v="1"/>
    <x v="26"/>
    <x v="5"/>
    <s v="DOC34"/>
    <x v="3"/>
    <x v="25"/>
    <s v="01/08/2018 20:33"/>
    <s v="25/07/2018 13:16"/>
    <s v="01/08/2018 20:20"/>
    <s v="S1787"/>
    <n v="956.28967499999999"/>
    <n v="0"/>
    <n v="22272.75"/>
    <n v="1599"/>
    <x v="24"/>
    <n v="0"/>
    <n v="270290.28749999998"/>
    <s v="PKG34"/>
  </r>
  <r>
    <x v="0"/>
    <x v="1"/>
    <x v="1"/>
    <x v="27"/>
    <x v="6"/>
    <s v="DOC9"/>
    <x v="8"/>
    <x v="26"/>
    <s v="01/08/2018 19:31"/>
    <s v="25/07/2018 21:09"/>
    <s v="01/08/2018 19:30"/>
    <s v="S6197"/>
    <n v="111.13560000000001"/>
    <n v="0"/>
    <n v="49980"/>
    <n v="10632.75"/>
    <x v="25"/>
    <n v="252000"/>
    <n v="0"/>
    <m/>
  </r>
  <r>
    <x v="0"/>
    <x v="1"/>
    <x v="1"/>
    <x v="28"/>
    <x v="5"/>
    <s v="DOC7"/>
    <x v="10"/>
    <x v="27"/>
    <s v="02/08/2018 16:23"/>
    <s v="25/07/2018 21:52"/>
    <s v="02/08/2018 16:21"/>
    <s v="S1787"/>
    <n v="0"/>
    <n v="36"/>
    <n v="0"/>
    <n v="1125"/>
    <x v="26"/>
    <n v="6000"/>
    <n v="0"/>
    <m/>
  </r>
  <r>
    <x v="0"/>
    <x v="1"/>
    <x v="1"/>
    <x v="29"/>
    <x v="5"/>
    <s v="DOC17"/>
    <x v="7"/>
    <x v="28"/>
    <s v="01/08/2018 20:08"/>
    <s v="26/07/2018 12:11"/>
    <s v="01/08/2018 20:03"/>
    <s v="S1787"/>
    <n v="0"/>
    <n v="0"/>
    <n v="0"/>
    <n v="1381.875"/>
    <x v="27"/>
    <n v="1382.25"/>
    <n v="-0.375"/>
    <m/>
  </r>
  <r>
    <x v="0"/>
    <x v="0"/>
    <x v="0"/>
    <x v="30"/>
    <x v="0"/>
    <s v="DOC5"/>
    <x v="11"/>
    <x v="29"/>
    <s v="01/08/2018 15:22"/>
    <s v="26/07/2018 13:13"/>
    <s v="01/08/2018 15:20"/>
    <s v="S2438"/>
    <n v="0"/>
    <n v="0"/>
    <n v="0"/>
    <n v="9750"/>
    <x v="28"/>
    <n v="9750"/>
    <n v="0"/>
    <m/>
  </r>
  <r>
    <x v="0"/>
    <x v="1"/>
    <x v="1"/>
    <x v="31"/>
    <x v="4"/>
    <s v="DOC1"/>
    <x v="12"/>
    <x v="30"/>
    <s v="01/08/2018 21:18"/>
    <s v="26/07/2018 15:55"/>
    <s v="01/08/2018 21:16"/>
    <s v="S2438"/>
    <n v="0"/>
    <n v="0"/>
    <n v="0"/>
    <n v="9375"/>
    <x v="7"/>
    <n v="0"/>
    <n v="9375"/>
    <s v="PKG1"/>
  </r>
  <r>
    <x v="0"/>
    <x v="1"/>
    <x v="0"/>
    <x v="32"/>
    <x v="0"/>
    <s v="DOC18"/>
    <x v="7"/>
    <x v="31"/>
    <s v="01/08/2018 14:06"/>
    <s v="27/07/2018 11:05"/>
    <s v="01/08/2018 14:04"/>
    <s v="S1787"/>
    <n v="114.24"/>
    <n v="0"/>
    <n v="3846.75"/>
    <n v="802.5"/>
    <x v="29"/>
    <n v="0"/>
    <n v="21965.872500000001"/>
    <m/>
  </r>
  <r>
    <x v="0"/>
    <x v="1"/>
    <x v="1"/>
    <x v="32"/>
    <x v="8"/>
    <s v="DOC18"/>
    <x v="7"/>
    <x v="31"/>
    <s v="01/08/2018 14:05"/>
    <s v="27/07/2018 11:05"/>
    <s v="01/08/2018 14:04"/>
    <s v="S1787"/>
    <n v="0"/>
    <n v="0"/>
    <n v="0"/>
    <n v="506.25"/>
    <x v="30"/>
    <n v="506.25"/>
    <n v="0"/>
    <m/>
  </r>
  <r>
    <x v="0"/>
    <x v="1"/>
    <x v="0"/>
    <x v="33"/>
    <x v="9"/>
    <s v="DOC7"/>
    <x v="10"/>
    <x v="3"/>
    <s v="02/08/2018 14:31"/>
    <s v="27/07/2018 11:12"/>
    <s v="01/08/2018 17:29"/>
    <s v="S0643"/>
    <n v="48.513150000000003"/>
    <n v="3717.75"/>
    <n v="0"/>
    <n v="4800"/>
    <x v="31"/>
    <n v="60725.25"/>
    <n v="0.24749999999767169"/>
    <m/>
  </r>
  <r>
    <x v="0"/>
    <x v="1"/>
    <x v="1"/>
    <x v="34"/>
    <x v="10"/>
    <s v="DOC6"/>
    <x v="13"/>
    <x v="32"/>
    <s v="01/08/2018 19:44"/>
    <s v="27/07/2018 12:26"/>
    <s v="01/08/2018 19:42"/>
    <s v="S1248"/>
    <n v="57.12"/>
    <n v="0"/>
    <n v="4623.75"/>
    <n v="9000"/>
    <x v="32"/>
    <n v="33750"/>
    <n v="0"/>
    <s v="PKG7"/>
  </r>
  <r>
    <x v="0"/>
    <x v="1"/>
    <x v="1"/>
    <x v="35"/>
    <x v="1"/>
    <s v="DOC4"/>
    <x v="4"/>
    <x v="33"/>
    <s v="02/08/2018 17:06"/>
    <s v="27/07/2018 15:14"/>
    <s v="02/08/2018 17:04"/>
    <s v="S7071"/>
    <n v="28.56"/>
    <n v="86.625"/>
    <n v="0"/>
    <n v="66000"/>
    <x v="33"/>
    <n v="90028.5"/>
    <n v="-0.367500000007567"/>
    <s v="PKG6"/>
  </r>
  <r>
    <x v="0"/>
    <x v="1"/>
    <x v="1"/>
    <x v="36"/>
    <x v="11"/>
    <s v="DOC8"/>
    <x v="8"/>
    <x v="34"/>
    <s v="02/08/2018 19:26"/>
    <s v="27/07/2018 17:23"/>
    <s v="02/08/2018 19:25"/>
    <s v="S6197"/>
    <n v="68.733900000000006"/>
    <n v="7.5"/>
    <n v="0"/>
    <n v="300"/>
    <x v="34"/>
    <n v="75000"/>
    <n v="0"/>
    <m/>
  </r>
  <r>
    <x v="0"/>
    <x v="0"/>
    <x v="0"/>
    <x v="37"/>
    <x v="0"/>
    <s v="DOC31"/>
    <x v="1"/>
    <x v="11"/>
    <s v="02/08/2018 20:57"/>
    <s v="27/07/2018 18:13"/>
    <s v="02/08/2018 20:50"/>
    <s v="S2438"/>
    <n v="3.0576000000000003"/>
    <n v="1813.5"/>
    <n v="1001.25"/>
    <n v="75"/>
    <x v="35"/>
    <n v="7989"/>
    <n v="84006.854999999996"/>
    <m/>
  </r>
  <r>
    <x v="1"/>
    <x v="1"/>
    <x v="1"/>
    <x v="38"/>
    <x v="4"/>
    <s v="DOC13"/>
    <x v="6"/>
    <x v="24"/>
    <s v="01/08/2018 20:11"/>
    <s v="28/06/2018 12:19"/>
    <s v="01/08/2018 20:09"/>
    <s v="S2438"/>
    <n v="324.01619999999997"/>
    <n v="0"/>
    <n v="5928.75"/>
    <n v="11917.5"/>
    <x v="36"/>
    <n v="71250"/>
    <n v="0"/>
    <s v="PKG8"/>
  </r>
  <r>
    <x v="0"/>
    <x v="1"/>
    <x v="1"/>
    <x v="39"/>
    <x v="1"/>
    <s v="DOC24"/>
    <x v="0"/>
    <x v="16"/>
    <s v="02/08/2018 13:03"/>
    <s v="28/07/2018 05:52"/>
    <s v="02/08/2018 13:01"/>
    <s v="S7071"/>
    <n v="0"/>
    <n v="0"/>
    <n v="13128.75"/>
    <n v="7111.125"/>
    <x v="37"/>
    <n v="0"/>
    <n v="25749.375"/>
    <s v="PKG23"/>
  </r>
  <r>
    <x v="0"/>
    <x v="1"/>
    <x v="1"/>
    <x v="40"/>
    <x v="1"/>
    <s v="DOC27"/>
    <x v="0"/>
    <x v="8"/>
    <s v="01/08/2018 16:13"/>
    <s v="28/07/2018 07:17"/>
    <s v="01/08/2018 16:12"/>
    <s v="S6875"/>
    <n v="427.34999999999997"/>
    <n v="216.75"/>
    <n v="24720"/>
    <n v="50250"/>
    <x v="38"/>
    <n v="142500"/>
    <n v="487500.29249999998"/>
    <s v="PKG18"/>
  </r>
  <r>
    <x v="0"/>
    <x v="0"/>
    <x v="0"/>
    <x v="41"/>
    <x v="0"/>
    <s v="DOC7"/>
    <x v="10"/>
    <x v="27"/>
    <s v="02/08/2018 16:00"/>
    <s v="28/07/2018 12:13"/>
    <s v="02/08/2018 15:59"/>
    <s v="S1271"/>
    <n v="1.3440000000000001"/>
    <n v="0"/>
    <n v="5823.75"/>
    <n v="648.75"/>
    <x v="39"/>
    <n v="37338.75"/>
    <n v="8.2500000004074536E-2"/>
    <m/>
  </r>
  <r>
    <x v="0"/>
    <x v="1"/>
    <x v="1"/>
    <x v="42"/>
    <x v="12"/>
    <s v="DOC8"/>
    <x v="8"/>
    <x v="35"/>
    <s v="01/08/2018 18:52"/>
    <s v="28/07/2018 13:41"/>
    <s v="01/08/2018 18:50"/>
    <s v="S6197"/>
    <n v="0"/>
    <n v="0"/>
    <n v="0"/>
    <n v="315000"/>
    <x v="40"/>
    <n v="309750"/>
    <n v="0"/>
    <m/>
  </r>
  <r>
    <x v="0"/>
    <x v="1"/>
    <x v="1"/>
    <x v="43"/>
    <x v="1"/>
    <s v="DOC26"/>
    <x v="0"/>
    <x v="36"/>
    <s v="02/08/2018 17:02"/>
    <s v="28/07/2018 16:24"/>
    <s v="02/08/2018 17:01"/>
    <s v="S7071"/>
    <n v="0"/>
    <n v="41266.5"/>
    <n v="0"/>
    <n v="68250"/>
    <x v="41"/>
    <n v="0"/>
    <n v="113221.5"/>
    <m/>
  </r>
  <r>
    <x v="0"/>
    <x v="0"/>
    <x v="0"/>
    <x v="44"/>
    <x v="0"/>
    <s v="DOC17"/>
    <x v="7"/>
    <x v="37"/>
    <s v="01/08/2018 18:15"/>
    <s v="28/07/2018 17:05"/>
    <s v="01/08/2018 18:14"/>
    <s v="S0643"/>
    <n v="0"/>
    <n v="0"/>
    <n v="0"/>
    <n v="73.5"/>
    <x v="42"/>
    <n v="73.5"/>
    <n v="0"/>
    <m/>
  </r>
  <r>
    <x v="0"/>
    <x v="1"/>
    <x v="0"/>
    <x v="45"/>
    <x v="0"/>
    <s v="DOC33"/>
    <x v="2"/>
    <x v="22"/>
    <s v="02/08/2018 20:10"/>
    <s v="28/07/2018 20:44"/>
    <s v="02/08/2018 20:07"/>
    <s v="S1787"/>
    <n v="159.83257499999999"/>
    <n v="0"/>
    <n v="689.25"/>
    <n v="2430"/>
    <x v="43"/>
    <n v="0"/>
    <n v="11504.647500000001"/>
    <m/>
  </r>
  <r>
    <x v="0"/>
    <x v="1"/>
    <x v="1"/>
    <x v="45"/>
    <x v="13"/>
    <s v="DOC33"/>
    <x v="2"/>
    <x v="38"/>
    <s v="02/08/2018 20:10"/>
    <s v="28/07/2018 20:44"/>
    <s v="02/08/2018 20:07"/>
    <s v="S1787"/>
    <n v="1.3008"/>
    <n v="0"/>
    <n v="1526.25"/>
    <n v="12937.5"/>
    <x v="44"/>
    <n v="11268"/>
    <n v="72468.112499999988"/>
    <m/>
  </r>
  <r>
    <x v="0"/>
    <x v="1"/>
    <x v="1"/>
    <x v="46"/>
    <x v="11"/>
    <s v="DOC20"/>
    <x v="0"/>
    <x v="39"/>
    <s v="01/08/2018 18:36"/>
    <s v="29/07/2018 12:52"/>
    <s v="01/08/2018 18:31"/>
    <s v="S6197"/>
    <n v="6.6374999999999993"/>
    <n v="5.25"/>
    <n v="0"/>
    <n v="3937.5"/>
    <x v="45"/>
    <n v="2575.5"/>
    <n v="32659.86"/>
    <s v="PKG20"/>
  </r>
  <r>
    <x v="0"/>
    <x v="1"/>
    <x v="1"/>
    <x v="47"/>
    <x v="14"/>
    <s v="DOC10"/>
    <x v="8"/>
    <x v="40"/>
    <s v="01/08/2018 20:14"/>
    <s v="29/07/2018 13:22"/>
    <s v="01/08/2018 20:11"/>
    <s v="S6197"/>
    <n v="174.678"/>
    <n v="1516.5"/>
    <n v="2760"/>
    <n v="46269.75"/>
    <x v="46"/>
    <n v="93750"/>
    <n v="0.22500000000582077"/>
    <m/>
  </r>
  <r>
    <x v="0"/>
    <x v="1"/>
    <x v="1"/>
    <x v="48"/>
    <x v="15"/>
    <s v="DOC20"/>
    <x v="0"/>
    <x v="7"/>
    <s v="01/08/2018 18:33"/>
    <s v="29/07/2018 19:40"/>
    <s v="01/08/2018 18:32"/>
    <s v="S1787"/>
    <n v="46.410000000000004"/>
    <n v="1121.25"/>
    <n v="0"/>
    <n v="90000"/>
    <x v="47"/>
    <n v="33924"/>
    <n v="119777.92499999999"/>
    <s v="PKG17"/>
  </r>
  <r>
    <x v="0"/>
    <x v="1"/>
    <x v="1"/>
    <x v="49"/>
    <x v="16"/>
    <s v="DOC20"/>
    <x v="0"/>
    <x v="41"/>
    <s v="02/08/2018 19:05"/>
    <s v="29/07/2018 21:47"/>
    <s v="02/08/2018 19:03"/>
    <s v="S6197"/>
    <n v="56.699999999999996"/>
    <n v="0"/>
    <n v="10756.125"/>
    <n v="2025"/>
    <x v="48"/>
    <n v="0"/>
    <n v="19896.675000000003"/>
    <s v="PKG25"/>
  </r>
  <r>
    <x v="0"/>
    <x v="0"/>
    <x v="0"/>
    <x v="50"/>
    <x v="0"/>
    <s v="DOC3"/>
    <x v="4"/>
    <x v="42"/>
    <s v="01/08/2018 17:30"/>
    <s v="30/07/2018 03:41"/>
    <s v="01/08/2018 17:28"/>
    <s v="S2438"/>
    <n v="0"/>
    <n v="0"/>
    <n v="0"/>
    <n v="9375"/>
    <x v="7"/>
    <n v="0"/>
    <n v="9375"/>
    <s v="PKG4"/>
  </r>
  <r>
    <x v="0"/>
    <x v="1"/>
    <x v="1"/>
    <x v="51"/>
    <x v="17"/>
    <s v="DOC21"/>
    <x v="0"/>
    <x v="43"/>
    <s v="01/08/2018 21:16"/>
    <s v="30/07/2018 06:37"/>
    <s v="01/08/2018 21:14"/>
    <s v="S6197"/>
    <n v="114.24"/>
    <n v="0"/>
    <n v="10061.25"/>
    <n v="3000"/>
    <x v="49"/>
    <n v="8073"/>
    <n v="24512.827499999999"/>
    <s v="PKG21"/>
  </r>
  <r>
    <x v="0"/>
    <x v="1"/>
    <x v="1"/>
    <x v="52"/>
    <x v="18"/>
    <s v="DOC26"/>
    <x v="0"/>
    <x v="44"/>
    <s v="01/08/2018 20:33"/>
    <s v="30/07/2018 06:46"/>
    <s v="01/08/2018 20:32"/>
    <s v="S1248"/>
    <n v="0"/>
    <n v="0"/>
    <n v="0"/>
    <n v="10875"/>
    <x v="50"/>
    <n v="0"/>
    <n v="10875"/>
    <s v="PKG22"/>
  </r>
  <r>
    <x v="0"/>
    <x v="1"/>
    <x v="1"/>
    <x v="53"/>
    <x v="1"/>
    <s v="DOC26"/>
    <x v="0"/>
    <x v="45"/>
    <s v="02/08/2018 18:05"/>
    <s v="30/07/2018 07:01"/>
    <s v="02/08/2018 18:03"/>
    <s v="S7071"/>
    <n v="0"/>
    <n v="41266.5"/>
    <n v="0"/>
    <n v="90000"/>
    <x v="51"/>
    <n v="9000"/>
    <n v="122266.5"/>
    <s v="PKG16"/>
  </r>
  <r>
    <x v="0"/>
    <x v="1"/>
    <x v="1"/>
    <x v="54"/>
    <x v="1"/>
    <s v="DOC26"/>
    <x v="0"/>
    <x v="46"/>
    <s v="01/08/2018 18:23"/>
    <s v="30/07/2018 07:09"/>
    <s v="01/08/2018 18:21"/>
    <s v="S7071"/>
    <n v="12.8352"/>
    <n v="0"/>
    <n v="9232.5"/>
    <n v="3750"/>
    <x v="52"/>
    <n v="0"/>
    <n v="133381.38"/>
    <s v="PKG19"/>
  </r>
  <r>
    <x v="0"/>
    <x v="0"/>
    <x v="0"/>
    <x v="55"/>
    <x v="0"/>
    <s v="DOC21"/>
    <x v="0"/>
    <x v="28"/>
    <s v="01/08/2018 19:51"/>
    <s v="30/07/2018 07:18"/>
    <s v="01/08/2018 19:48"/>
    <s v="S2438"/>
    <n v="0"/>
    <n v="41266.5"/>
    <n v="0"/>
    <n v="90000"/>
    <x v="1"/>
    <n v="0"/>
    <n v="135016.5"/>
    <s v="PKG12"/>
  </r>
  <r>
    <x v="0"/>
    <x v="0"/>
    <x v="0"/>
    <x v="56"/>
    <x v="0"/>
    <s v="DOC21"/>
    <x v="0"/>
    <x v="47"/>
    <s v="01/08/2018 19:59"/>
    <s v="30/07/2018 07:39"/>
    <s v="01/08/2018 19:57"/>
    <s v="S2438"/>
    <n v="0"/>
    <n v="0"/>
    <n v="0"/>
    <n v="10875"/>
    <x v="50"/>
    <n v="0"/>
    <n v="10875"/>
    <s v="PKG13"/>
  </r>
  <r>
    <x v="0"/>
    <x v="1"/>
    <x v="1"/>
    <x v="57"/>
    <x v="6"/>
    <s v="DOC31"/>
    <x v="1"/>
    <x v="5"/>
    <s v="01/08/2018 20:08"/>
    <s v="30/07/2018 08:44"/>
    <s v="01/08/2018 20:07"/>
    <s v="S6197"/>
    <n v="0"/>
    <n v="0"/>
    <n v="0"/>
    <n v="17718.75"/>
    <x v="53"/>
    <n v="0"/>
    <n v="97361.25"/>
    <s v="PKG29"/>
  </r>
  <r>
    <x v="0"/>
    <x v="1"/>
    <x v="1"/>
    <x v="58"/>
    <x v="17"/>
    <s v="DOC21"/>
    <x v="0"/>
    <x v="48"/>
    <s v="01/08/2018 20:38"/>
    <s v="30/07/2018 09:06"/>
    <s v="01/08/2018 20:35"/>
    <s v="S6197"/>
    <n v="0"/>
    <n v="0"/>
    <n v="0"/>
    <n v="9562.5"/>
    <x v="54"/>
    <n v="0"/>
    <n v="9562.5"/>
    <s v="PKG21"/>
  </r>
  <r>
    <x v="0"/>
    <x v="1"/>
    <x v="1"/>
    <x v="59"/>
    <x v="1"/>
    <s v="DOC26"/>
    <x v="0"/>
    <x v="14"/>
    <s v="02/08/2018 17:33"/>
    <s v="30/07/2018 09:46"/>
    <s v="02/08/2018 17:29"/>
    <s v="S7071"/>
    <n v="28.56"/>
    <n v="0"/>
    <n v="1779.75"/>
    <n v="8927.25"/>
    <x v="55"/>
    <n v="0"/>
    <n v="19792.695"/>
    <s v="PKG16"/>
  </r>
  <r>
    <x v="0"/>
    <x v="1"/>
    <x v="1"/>
    <x v="60"/>
    <x v="19"/>
    <s v="DOC21"/>
    <x v="0"/>
    <x v="37"/>
    <s v="01/08/2018 20:00"/>
    <s v="30/07/2018 10:20"/>
    <s v="01/08/2018 19:57"/>
    <s v="S6197"/>
    <n v="307.35000000000002"/>
    <n v="0"/>
    <n v="9955.5"/>
    <n v="4252.5"/>
    <x v="56"/>
    <n v="0"/>
    <n v="73646.684999999998"/>
    <s v="PKG21"/>
  </r>
  <r>
    <x v="0"/>
    <x v="1"/>
    <x v="1"/>
    <x v="61"/>
    <x v="1"/>
    <s v="DOC26"/>
    <x v="0"/>
    <x v="49"/>
    <s v="01/08/2018 18:26"/>
    <s v="30/07/2018 11:38"/>
    <s v="01/08/2018 18:24"/>
    <s v="S7071"/>
    <n v="85.679999999999993"/>
    <n v="0"/>
    <n v="4305"/>
    <n v="5478.75"/>
    <x v="57"/>
    <n v="2550.75"/>
    <n v="14581.4925"/>
    <s v="PKG18"/>
  </r>
  <r>
    <x v="0"/>
    <x v="1"/>
    <x v="1"/>
    <x v="62"/>
    <x v="20"/>
    <s v="DOC31"/>
    <x v="1"/>
    <x v="50"/>
    <s v="01/08/2018 20:15"/>
    <s v="30/07/2018 11:53"/>
    <s v="01/08/2018 20:12"/>
    <s v="S1248"/>
    <n v="0"/>
    <n v="0"/>
    <n v="0"/>
    <n v="52500"/>
    <x v="58"/>
    <n v="0"/>
    <n v="142500"/>
    <m/>
  </r>
  <r>
    <x v="0"/>
    <x v="0"/>
    <x v="0"/>
    <x v="63"/>
    <x v="0"/>
    <s v="DOC8"/>
    <x v="8"/>
    <x v="35"/>
    <s v="01/08/2018 17:17"/>
    <s v="30/07/2018 12:47"/>
    <s v="01/08/2018 17:16"/>
    <s v="S2438"/>
    <n v="0"/>
    <n v="0"/>
    <n v="0"/>
    <n v="163500"/>
    <x v="59"/>
    <n v="159750"/>
    <n v="0"/>
    <m/>
  </r>
  <r>
    <x v="0"/>
    <x v="0"/>
    <x v="0"/>
    <x v="64"/>
    <x v="0"/>
    <s v="DOC2"/>
    <x v="4"/>
    <x v="51"/>
    <s v="01/08/2018 18:04"/>
    <s v="30/07/2018 13:35"/>
    <s v="01/08/2018 18:03"/>
    <s v="S0643"/>
    <n v="0"/>
    <n v="0"/>
    <n v="0"/>
    <n v="15562.5"/>
    <x v="60"/>
    <n v="15562.5"/>
    <n v="0"/>
    <m/>
  </r>
  <r>
    <x v="0"/>
    <x v="1"/>
    <x v="0"/>
    <x v="65"/>
    <x v="0"/>
    <s v="DOC23"/>
    <x v="0"/>
    <x v="33"/>
    <s v="02/08/2018 16:58"/>
    <s v="30/07/2018 13:56"/>
    <s v="02/08/2018 16:47"/>
    <s v="S1787"/>
    <n v="30082.5"/>
    <n v="0"/>
    <n v="0"/>
    <n v="5081.25"/>
    <x v="61"/>
    <n v="3459"/>
    <n v="74164.049999999988"/>
    <s v="PKG15"/>
  </r>
  <r>
    <x v="0"/>
    <x v="1"/>
    <x v="1"/>
    <x v="65"/>
    <x v="8"/>
    <s v="DOC23"/>
    <x v="0"/>
    <x v="52"/>
    <s v="02/08/2018 16:58"/>
    <s v="30/07/2018 13:56"/>
    <s v="02/08/2018 16:47"/>
    <s v="S1787"/>
    <n v="28.56"/>
    <n v="0"/>
    <n v="2568.75"/>
    <n v="1927.5"/>
    <x v="62"/>
    <n v="0"/>
    <n v="6322.3575000000001"/>
    <s v="PKG15"/>
  </r>
  <r>
    <x v="0"/>
    <x v="0"/>
    <x v="0"/>
    <x v="66"/>
    <x v="0"/>
    <s v="DOC22"/>
    <x v="0"/>
    <x v="34"/>
    <s v="02/08/2018 19:55"/>
    <s v="30/07/2018 14:13"/>
    <s v="02/08/2018 19:53"/>
    <s v="S1271"/>
    <n v="0"/>
    <n v="41266.5"/>
    <n v="0"/>
    <n v="3750"/>
    <x v="1"/>
    <n v="0"/>
    <n v="135016.5"/>
    <m/>
  </r>
  <r>
    <x v="0"/>
    <x v="1"/>
    <x v="1"/>
    <x v="67"/>
    <x v="1"/>
    <s v="DOC25"/>
    <x v="0"/>
    <x v="0"/>
    <s v="02/08/2018 13:37"/>
    <s v="30/07/2018 14:16"/>
    <s v="02/08/2018 13:36"/>
    <s v="S7071"/>
    <n v="150.02587500000001"/>
    <n v="71.25"/>
    <n v="3348"/>
    <n v="1515.375"/>
    <x v="63"/>
    <n v="0"/>
    <n v="41813.962499999994"/>
    <s v="PKG24"/>
  </r>
  <r>
    <x v="0"/>
    <x v="1"/>
    <x v="0"/>
    <x v="68"/>
    <x v="0"/>
    <s v="DOC30"/>
    <x v="5"/>
    <x v="38"/>
    <s v="02/08/2018 20:13"/>
    <s v="30/07/2018 15:35"/>
    <s v="02/08/2018 20:09"/>
    <s v="S1248"/>
    <n v="0"/>
    <n v="1275"/>
    <n v="0"/>
    <n v="53625"/>
    <x v="64"/>
    <n v="0"/>
    <n v="63012"/>
    <s v="PKG26"/>
  </r>
  <r>
    <x v="0"/>
    <x v="1"/>
    <x v="1"/>
    <x v="68"/>
    <x v="8"/>
    <s v="DOC30"/>
    <x v="5"/>
    <x v="53"/>
    <s v="02/08/2018 20:13"/>
    <s v="30/07/2018 15:35"/>
    <s v="02/08/2018 20:09"/>
    <s v="S1248"/>
    <n v="0"/>
    <n v="1327.5"/>
    <n v="0"/>
    <n v="44625"/>
    <x v="65"/>
    <n v="0"/>
    <n v="46233.75"/>
    <s v="PKG26"/>
  </r>
  <r>
    <x v="0"/>
    <x v="1"/>
    <x v="1"/>
    <x v="69"/>
    <x v="20"/>
    <s v="DOC18"/>
    <x v="7"/>
    <x v="54"/>
    <s v="02/08/2018 21:22"/>
    <s v="30/07/2018 16:07"/>
    <s v="02/08/2018 21:20"/>
    <s v="S1787"/>
    <n v="0"/>
    <n v="246"/>
    <n v="0"/>
    <n v="12750"/>
    <x v="66"/>
    <n v="0"/>
    <n v="12996"/>
    <s v="PKG11"/>
  </r>
  <r>
    <x v="0"/>
    <x v="0"/>
    <x v="0"/>
    <x v="70"/>
    <x v="0"/>
    <s v="DOC31"/>
    <x v="1"/>
    <x v="52"/>
    <s v="02/08/2018 16:36"/>
    <s v="30/07/2018 18:51"/>
    <s v="02/08/2018 16:34"/>
    <s v="S0643"/>
    <n v="3293.7062999999998"/>
    <n v="0"/>
    <n v="8475"/>
    <n v="404.25"/>
    <x v="67"/>
    <n v="0"/>
    <n v="73413.705000000002"/>
    <m/>
  </r>
  <r>
    <x v="0"/>
    <x v="1"/>
    <x v="1"/>
    <x v="71"/>
    <x v="17"/>
    <s v="DOC3"/>
    <x v="4"/>
    <x v="51"/>
    <s v="01/08/2018 19:49"/>
    <s v="30/07/2018 19:24"/>
    <s v="01/08/2018 19:47"/>
    <s v="S6197"/>
    <n v="152.7756"/>
    <n v="576.58500000000004"/>
    <n v="0"/>
    <n v="558.75"/>
    <x v="68"/>
    <n v="24456"/>
    <n v="0.27000000000043656"/>
    <m/>
  </r>
  <r>
    <x v="0"/>
    <x v="0"/>
    <x v="0"/>
    <x v="72"/>
    <x v="0"/>
    <s v="DOC6"/>
    <x v="13"/>
    <x v="46"/>
    <s v="01/08/2018 15:59"/>
    <s v="30/07/2018 19:39"/>
    <s v="01/08/2018 15:56"/>
    <s v="S2438"/>
    <n v="280.14"/>
    <n v="39.75"/>
    <n v="0"/>
    <n v="3150"/>
    <x v="19"/>
    <n v="30000"/>
    <n v="0"/>
    <m/>
  </r>
  <r>
    <x v="0"/>
    <x v="0"/>
    <x v="0"/>
    <x v="73"/>
    <x v="0"/>
    <s v="DOC31"/>
    <x v="1"/>
    <x v="6"/>
    <s v="02/08/2018 14:51"/>
    <s v="30/07/2018 19:47"/>
    <s v="02/08/2018 14:50"/>
    <s v="S0643"/>
    <n v="0"/>
    <n v="45000"/>
    <n v="0"/>
    <n v="52500"/>
    <x v="69"/>
    <n v="0"/>
    <n v="97500"/>
    <s v="PKG4"/>
  </r>
  <r>
    <x v="0"/>
    <x v="1"/>
    <x v="1"/>
    <x v="74"/>
    <x v="14"/>
    <s v="DOC7"/>
    <x v="10"/>
    <x v="19"/>
    <s v="01/08/2018 16:45"/>
    <s v="30/07/2018 21:29"/>
    <s v="01/08/2018 16:30"/>
    <s v="S1732"/>
    <n v="140.3304"/>
    <n v="0"/>
    <n v="6318.75"/>
    <n v="2400"/>
    <x v="70"/>
    <n v="46500"/>
    <n v="0"/>
    <m/>
  </r>
  <r>
    <x v="0"/>
    <x v="0"/>
    <x v="0"/>
    <x v="75"/>
    <x v="0"/>
    <s v="DOC31"/>
    <x v="1"/>
    <x v="55"/>
    <s v="01/08/2018 18:09"/>
    <s v="30/07/2018 22:14"/>
    <s v="01/08/2018 18:08"/>
    <s v="S0643"/>
    <n v="0"/>
    <n v="0"/>
    <n v="0"/>
    <n v="57000"/>
    <x v="71"/>
    <n v="0"/>
    <n v="57000"/>
    <m/>
  </r>
  <r>
    <x v="0"/>
    <x v="1"/>
    <x v="1"/>
    <x v="76"/>
    <x v="4"/>
    <s v="DOC4"/>
    <x v="4"/>
    <x v="56"/>
    <s v="01/08/2018 21:33"/>
    <s v="30/07/2018 22:42"/>
    <s v="01/08/2018 21:22"/>
    <s v="S2438"/>
    <n v="0"/>
    <n v="24.674999999999997"/>
    <n v="0"/>
    <n v="1125"/>
    <x v="72"/>
    <n v="7502.25"/>
    <n v="0.35999999999967258"/>
    <s v="PKG5"/>
  </r>
  <r>
    <x v="0"/>
    <x v="0"/>
    <x v="0"/>
    <x v="77"/>
    <x v="0"/>
    <s v="DOC1"/>
    <x v="12"/>
    <x v="57"/>
    <s v="02/08/2018 14:26"/>
    <s v="31/07/2018 03:09"/>
    <s v="02/08/2018 14:24"/>
    <s v="S0643"/>
    <n v="0"/>
    <n v="0"/>
    <n v="0"/>
    <n v="9375"/>
    <x v="7"/>
    <n v="0"/>
    <n v="9375"/>
    <m/>
  </r>
  <r>
    <x v="0"/>
    <x v="1"/>
    <x v="1"/>
    <x v="78"/>
    <x v="12"/>
    <s v="DOC11"/>
    <x v="14"/>
    <x v="57"/>
    <s v="02/08/2018 13:04"/>
    <s v="31/07/2018 06:24"/>
    <s v="02/08/2018 13:03"/>
    <s v="S1732"/>
    <n v="320.167125"/>
    <n v="7.5"/>
    <n v="1372.5"/>
    <n v="558.75"/>
    <x v="34"/>
    <n v="75000"/>
    <n v="0"/>
    <m/>
  </r>
  <r>
    <x v="0"/>
    <x v="0"/>
    <x v="0"/>
    <x v="79"/>
    <x v="0"/>
    <s v="DOC11"/>
    <x v="14"/>
    <x v="18"/>
    <s v="02/08/2018 12:10"/>
    <s v="31/07/2018 06:38"/>
    <s v="02/08/2018 12:09"/>
    <s v="S0643"/>
    <n v="57.161999999999992"/>
    <n v="0"/>
    <n v="2613.75"/>
    <n v="8077.5"/>
    <x v="73"/>
    <n v="41250"/>
    <n v="0"/>
    <m/>
  </r>
  <r>
    <x v="0"/>
    <x v="0"/>
    <x v="0"/>
    <x v="80"/>
    <x v="0"/>
    <s v="DOC19"/>
    <x v="0"/>
    <x v="4"/>
    <s v="01/08/2018 15:43"/>
    <s v="31/07/2018 06:47"/>
    <s v="01/08/2018 15:42"/>
    <s v="S0643"/>
    <n v="367.38967500000001"/>
    <n v="0"/>
    <n v="2021.25"/>
    <n v="6577.5"/>
    <x v="74"/>
    <n v="0"/>
    <n v="23576.864999999998"/>
    <m/>
  </r>
  <r>
    <x v="0"/>
    <x v="0"/>
    <x v="0"/>
    <x v="81"/>
    <x v="0"/>
    <s v="DOC12"/>
    <x v="15"/>
    <x v="49"/>
    <s v="01/08/2018 16:09"/>
    <s v="31/07/2018 07:01"/>
    <s v="01/08/2018 16:02"/>
    <s v="S2438"/>
    <n v="252.64679999999998"/>
    <n v="99"/>
    <n v="712.5"/>
    <n v="6187.5"/>
    <x v="75"/>
    <n v="142500"/>
    <n v="-0.22499999997671694"/>
    <m/>
  </r>
  <r>
    <x v="0"/>
    <x v="1"/>
    <x v="1"/>
    <x v="82"/>
    <x v="1"/>
    <s v="DOC29"/>
    <x v="5"/>
    <x v="58"/>
    <s v="02/08/2018 18:26"/>
    <s v="31/07/2018 07:14"/>
    <s v="02/08/2018 18:24"/>
    <s v="S7071"/>
    <n v="24.595199999999998"/>
    <n v="2044.0274999999999"/>
    <n v="2606.25"/>
    <n v="16267.5"/>
    <x v="76"/>
    <n v="1569.75"/>
    <n v="99601.537499999991"/>
    <s v="PKG27"/>
  </r>
  <r>
    <x v="0"/>
    <x v="1"/>
    <x v="1"/>
    <x v="83"/>
    <x v="1"/>
    <s v="DOC31"/>
    <x v="1"/>
    <x v="42"/>
    <s v="01/08/2018 18:59"/>
    <s v="31/07/2018 07:25"/>
    <s v="01/08/2018 18:56"/>
    <s v="S7071"/>
    <n v="267.13747499999999"/>
    <n v="0"/>
    <n v="11364.75"/>
    <n v="6655.5"/>
    <x v="77"/>
    <n v="0"/>
    <n v="58380.959999999999"/>
    <s v="PKG28"/>
  </r>
  <r>
    <x v="0"/>
    <x v="0"/>
    <x v="0"/>
    <x v="84"/>
    <x v="0"/>
    <s v="DOC20"/>
    <x v="0"/>
    <x v="23"/>
    <s v="01/08/2018 17:56"/>
    <s v="31/07/2018 07:49"/>
    <s v="01/08/2018 17:54"/>
    <s v="S0643"/>
    <n v="0"/>
    <n v="0"/>
    <n v="1976.25"/>
    <n v="46500"/>
    <x v="78"/>
    <n v="0"/>
    <n v="138364.875"/>
    <m/>
  </r>
  <r>
    <x v="0"/>
    <x v="1"/>
    <x v="1"/>
    <x v="85"/>
    <x v="18"/>
    <s v="DOC25"/>
    <x v="0"/>
    <x v="17"/>
    <s v="01/08/2018 12:50"/>
    <s v="31/07/2018 08:02"/>
    <s v="01/08/2018 12:49"/>
    <s v="S1787"/>
    <n v="0"/>
    <n v="0"/>
    <n v="0"/>
    <n v="10875"/>
    <x v="50"/>
    <n v="0"/>
    <n v="10875"/>
    <s v="PKG17"/>
  </r>
  <r>
    <x v="0"/>
    <x v="0"/>
    <x v="0"/>
    <x v="86"/>
    <x v="0"/>
    <s v="DOC15"/>
    <x v="9"/>
    <x v="32"/>
    <s v="01/08/2018 17:58"/>
    <s v="31/07/2018 11:11"/>
    <s v="01/08/2018 17:57"/>
    <s v="S0643"/>
    <n v="0"/>
    <n v="0"/>
    <n v="0"/>
    <n v="9750"/>
    <x v="28"/>
    <n v="9750"/>
    <n v="0"/>
    <m/>
  </r>
  <r>
    <x v="0"/>
    <x v="1"/>
    <x v="1"/>
    <x v="87"/>
    <x v="17"/>
    <s v="DOC28"/>
    <x v="16"/>
    <x v="13"/>
    <s v="01/08/2018 20:04"/>
    <s v="31/07/2018 11:39"/>
    <s v="01/08/2018 20:02"/>
    <s v="S6197"/>
    <n v="0"/>
    <n v="0"/>
    <n v="0"/>
    <n v="86884.5"/>
    <x v="79"/>
    <n v="0"/>
    <n v="86884.5"/>
    <m/>
  </r>
  <r>
    <x v="0"/>
    <x v="0"/>
    <x v="0"/>
    <x v="88"/>
    <x v="0"/>
    <s v="DOC33"/>
    <x v="2"/>
    <x v="1"/>
    <s v="02/08/2018 18:22"/>
    <s v="31/07/2018 11:52"/>
    <s v="02/08/2018 18:20"/>
    <s v="S2438"/>
    <n v="0"/>
    <n v="0"/>
    <n v="0"/>
    <n v="55500"/>
    <x v="80"/>
    <n v="0"/>
    <n v="55500"/>
    <m/>
  </r>
  <r>
    <x v="0"/>
    <x v="1"/>
    <x v="1"/>
    <x v="89"/>
    <x v="20"/>
    <s v="DOC5"/>
    <x v="11"/>
    <x v="59"/>
    <s v="01/08/2018 20:14"/>
    <s v="31/07/2018 11:55"/>
    <s v="01/08/2018 20:11"/>
    <s v="S1787"/>
    <n v="57.12"/>
    <n v="0"/>
    <n v="15015"/>
    <n v="375"/>
    <x v="19"/>
    <n v="30000"/>
    <n v="0"/>
    <m/>
  </r>
  <r>
    <x v="0"/>
    <x v="1"/>
    <x v="1"/>
    <x v="90"/>
    <x v="20"/>
    <s v="DOC5"/>
    <x v="11"/>
    <x v="60"/>
    <s v="01/08/2018 20:44"/>
    <s v="31/07/2018 12:01"/>
    <s v="01/08/2018 20:42"/>
    <s v="S1248"/>
    <n v="136.9308"/>
    <n v="0"/>
    <n v="4601.25"/>
    <n v="1875"/>
    <x v="81"/>
    <n v="62667"/>
    <n v="9.750000000349246E-2"/>
    <m/>
  </r>
  <r>
    <x v="0"/>
    <x v="1"/>
    <x v="1"/>
    <x v="91"/>
    <x v="8"/>
    <s v="DOC27"/>
    <x v="0"/>
    <x v="61"/>
    <s v="01/08/2018 20:19"/>
    <s v="31/07/2018 12:43"/>
    <s v="01/08/2018 20:16"/>
    <s v="S1787"/>
    <n v="44.099999999999994"/>
    <n v="99"/>
    <n v="0"/>
    <n v="3000"/>
    <x v="82"/>
    <n v="0"/>
    <n v="22460.017499999998"/>
    <m/>
  </r>
  <r>
    <x v="0"/>
    <x v="0"/>
    <x v="0"/>
    <x v="92"/>
    <x v="0"/>
    <s v="DOC14"/>
    <x v="6"/>
    <x v="45"/>
    <s v="02/08/2018 18:05"/>
    <s v="31/07/2018 13:14"/>
    <s v="02/08/2018 18:04"/>
    <s v="S1271"/>
    <n v="56.699999999999996"/>
    <n v="112.125"/>
    <n v="900"/>
    <n v="3712.5"/>
    <x v="83"/>
    <n v="135000"/>
    <n v="0"/>
    <m/>
  </r>
  <r>
    <x v="0"/>
    <x v="1"/>
    <x v="1"/>
    <x v="93"/>
    <x v="8"/>
    <s v="DOC2"/>
    <x v="4"/>
    <x v="2"/>
    <s v="01/08/2018 18:09"/>
    <s v="31/07/2018 14:25"/>
    <s v="01/08/2018 18:05"/>
    <s v="S1248"/>
    <n v="0"/>
    <n v="0"/>
    <n v="0"/>
    <n v="375"/>
    <x v="84"/>
    <n v="375"/>
    <n v="0"/>
    <s v="PKG4"/>
  </r>
  <r>
    <x v="0"/>
    <x v="0"/>
    <x v="0"/>
    <x v="94"/>
    <x v="0"/>
    <s v="DOC2"/>
    <x v="4"/>
    <x v="17"/>
    <s v="01/08/2018 13:21"/>
    <s v="31/07/2018 15:12"/>
    <s v="01/08/2018 13:18"/>
    <s v="S2438"/>
    <n v="0"/>
    <n v="0"/>
    <n v="0"/>
    <n v="9375"/>
    <x v="7"/>
    <n v="0"/>
    <n v="9375"/>
    <s v="PKG2"/>
  </r>
  <r>
    <x v="0"/>
    <x v="1"/>
    <x v="0"/>
    <x v="95"/>
    <x v="0"/>
    <s v="DOC23"/>
    <x v="0"/>
    <x v="9"/>
    <s v="01/08/2018 20:09"/>
    <s v="31/07/2018 16:30"/>
    <s v="01/08/2018 19:50"/>
    <s v="S1248"/>
    <n v="0"/>
    <n v="35594.25"/>
    <n v="0"/>
    <n v="16107.75"/>
    <x v="85"/>
    <n v="0"/>
    <n v="51702"/>
    <s v="PKG14"/>
  </r>
  <r>
    <x v="0"/>
    <x v="1"/>
    <x v="1"/>
    <x v="95"/>
    <x v="8"/>
    <s v="DOC23"/>
    <x v="0"/>
    <x v="47"/>
    <s v="01/08/2018 20:09"/>
    <s v="31/07/2018 16:30"/>
    <s v="01/08/2018 19:50"/>
    <s v="S1248"/>
    <n v="0"/>
    <n v="0"/>
    <n v="0"/>
    <n v="30375"/>
    <x v="86"/>
    <n v="0"/>
    <n v="30375"/>
    <s v="PKG14"/>
  </r>
  <r>
    <x v="0"/>
    <x v="0"/>
    <x v="0"/>
    <x v="96"/>
    <x v="0"/>
    <s v="DOC15"/>
    <x v="9"/>
    <x v="16"/>
    <s v="02/08/2018 12:37"/>
    <s v="31/07/2018 17:52"/>
    <s v="02/08/2018 12:36"/>
    <s v="S1271"/>
    <n v="161.28"/>
    <n v="0"/>
    <n v="18543.75"/>
    <n v="1601.25"/>
    <x v="87"/>
    <n v="79278"/>
    <n v="0"/>
    <m/>
  </r>
  <r>
    <x v="0"/>
    <x v="1"/>
    <x v="1"/>
    <x v="97"/>
    <x v="5"/>
    <s v="DOC7"/>
    <x v="10"/>
    <x v="62"/>
    <s v="02/08/2018 19:52"/>
    <s v="31/07/2018 18:28"/>
    <s v="02/08/2018 19:51"/>
    <s v="S1787"/>
    <n v="93.24"/>
    <n v="67.41"/>
    <n v="6832.5"/>
    <n v="900"/>
    <x v="88"/>
    <n v="11250"/>
    <n v="0"/>
    <m/>
  </r>
  <r>
    <x v="0"/>
    <x v="1"/>
    <x v="1"/>
    <x v="98"/>
    <x v="7"/>
    <s v="DOC31"/>
    <x v="1"/>
    <x v="63"/>
    <s v="02/08/2018 20:13"/>
    <s v="31/07/2018 21:06"/>
    <s v="02/08/2018 20:12"/>
    <s v="S6197"/>
    <n v="0"/>
    <n v="0"/>
    <n v="0"/>
    <n v="62625"/>
    <x v="89"/>
    <n v="0"/>
    <n v="62625"/>
    <m/>
  </r>
</pivotCacheRecords>
</file>

<file path=xl/pivotCache/pivotCacheRecords3.xml><?xml version="1.0" encoding="utf-8"?>
<pivotCacheRecords xmlns="http://schemas.openxmlformats.org/spreadsheetml/2006/main" xmlns:r="http://schemas.openxmlformats.org/officeDocument/2006/relationships" count="104">
  <r>
    <x v="0"/>
    <s v="GENERAL"/>
    <s v="CASH"/>
    <x v="0"/>
    <s v="SPON1"/>
    <s v="DOC20"/>
    <x v="0"/>
    <s v="20005"/>
    <s v="02/08/2018 14:30"/>
    <s v="01/08/2018 07:21"/>
    <d v="2018-08-01T00:00:00"/>
    <s v="02/08/2018 14:27"/>
    <d v="2018-08-02T00:00:00"/>
    <x v="0"/>
    <s v="S0643"/>
    <n v="78.457499999999996"/>
    <n v="0"/>
    <n v="1496.25"/>
    <n v="6000"/>
    <n v="8501.3024999999998"/>
    <n v="0"/>
    <n v="8501.3024999999998"/>
    <m/>
  </r>
  <r>
    <x v="0"/>
    <s v="SPONSOR"/>
    <s v="CREDIT"/>
    <x v="1"/>
    <s v="SPON5"/>
    <s v="DOC31"/>
    <x v="1"/>
    <s v="20014"/>
    <s v="02/08/2018 18:23"/>
    <s v="01/08/2018 07:41"/>
    <d v="2018-08-01T00:00:00"/>
    <s v="02/08/2018 18:21"/>
    <d v="2018-08-02T00:00:00"/>
    <x v="0"/>
    <s v="S7071"/>
    <n v="0"/>
    <n v="41266.5"/>
    <n v="0"/>
    <n v="3750"/>
    <n v="135016.5"/>
    <n v="0"/>
    <n v="135016.5"/>
    <s v="PKG30"/>
  </r>
  <r>
    <x v="0"/>
    <s v="GENERAL"/>
    <s v="CASH"/>
    <x v="2"/>
    <s v="SPON1"/>
    <s v="DOC32"/>
    <x v="2"/>
    <s v="10007"/>
    <s v="01/08/2018 15:45"/>
    <s v="01/08/2018 08:57"/>
    <d v="2018-08-01T00:00:00"/>
    <s v="01/08/2018 15:44"/>
    <d v="2018-08-01T00:00:00"/>
    <x v="1"/>
    <s v="S0643"/>
    <n v="0"/>
    <n v="29838.75"/>
    <n v="0"/>
    <n v="106875"/>
    <n v="136713.75"/>
    <n v="0"/>
    <n v="136713.75"/>
    <m/>
  </r>
  <r>
    <x v="0"/>
    <s v="SPONSOR"/>
    <s v="CREDIT"/>
    <x v="3"/>
    <s v="SPON5"/>
    <s v="DOC32"/>
    <x v="2"/>
    <s v="20006"/>
    <s v="02/08/2018 14:07"/>
    <s v="01/08/2018 09:06"/>
    <d v="2018-08-01T00:00:00"/>
    <s v="02/08/2018 14:06"/>
    <d v="2018-08-02T00:00:00"/>
    <x v="0"/>
    <s v="S7071"/>
    <n v="42.286499999999997"/>
    <n v="5207.9775"/>
    <n v="1451.25"/>
    <n v="300"/>
    <n v="105035.43"/>
    <n v="0"/>
    <n v="105035.43"/>
    <s v="PKG33"/>
  </r>
  <r>
    <x v="0"/>
    <s v="SPONSOR"/>
    <s v="CREDIT"/>
    <x v="4"/>
    <s v="SPON5"/>
    <s v="DOC32"/>
    <x v="2"/>
    <s v="10006"/>
    <s v="01/08/2018 17:29"/>
    <s v="01/08/2018 09:23"/>
    <d v="2018-08-01T00:00:00"/>
    <s v="01/08/2018 17:28"/>
    <d v="2018-08-01T00:00:00"/>
    <x v="1"/>
    <s v="S6875"/>
    <n v="29984.693850000003"/>
    <n v="0"/>
    <n v="44625"/>
    <n v="9135"/>
    <n v="701249.22750000004"/>
    <n v="551250"/>
    <n v="149999.22750000004"/>
    <s v="PKG31"/>
  </r>
  <r>
    <x v="0"/>
    <s v="GENERAL"/>
    <s v="CASH"/>
    <x v="5"/>
    <s v="SPON1"/>
    <s v="DOC32"/>
    <x v="2"/>
    <s v="10023"/>
    <s v="01/08/2018 19:58"/>
    <s v="01/08/2018 09:31"/>
    <d v="2018-08-01T00:00:00"/>
    <s v="01/08/2018 19:56"/>
    <d v="2018-08-01T00:00:00"/>
    <x v="1"/>
    <s v="S0643"/>
    <n v="85.679999999999993"/>
    <n v="0"/>
    <n v="48956.25"/>
    <n v="258.75"/>
    <n v="115557.6225"/>
    <n v="12750"/>
    <n v="102807.6225"/>
    <m/>
  </r>
  <r>
    <x v="0"/>
    <s v="SPONSOR"/>
    <s v="CREDIT"/>
    <x v="6"/>
    <s v="SPON5"/>
    <s v="DOC34"/>
    <x v="3"/>
    <s v="20007"/>
    <s v="02/08/2018 14:59"/>
    <s v="01/08/2018 09:42"/>
    <d v="2018-08-01T00:00:00"/>
    <s v="02/08/2018 14:56"/>
    <d v="2018-08-02T00:00:00"/>
    <x v="0"/>
    <s v="S7071"/>
    <n v="8.19"/>
    <n v="0"/>
    <n v="24451.875"/>
    <n v="21789"/>
    <n v="82963.237499999988"/>
    <n v="0"/>
    <n v="82963.237499999988"/>
    <s v="PKG35"/>
  </r>
  <r>
    <x v="0"/>
    <s v="GENERAL"/>
    <s v="CASH"/>
    <x v="7"/>
    <s v="SPON1"/>
    <s v="DOC2"/>
    <x v="4"/>
    <s v="10010"/>
    <s v="01/08/2018 16:43"/>
    <s v="01/08/2018 10:06"/>
    <d v="2018-08-01T00:00:00"/>
    <s v="01/08/2018 16:42"/>
    <d v="2018-08-01T00:00:00"/>
    <x v="1"/>
    <s v="S2438"/>
    <n v="0"/>
    <n v="0"/>
    <n v="0"/>
    <n v="9375"/>
    <n v="9375"/>
    <n v="0"/>
    <n v="9375"/>
    <s v="PKG3"/>
  </r>
  <r>
    <x v="0"/>
    <s v="GENERAL"/>
    <s v="CASH"/>
    <x v="8"/>
    <s v="SPON1"/>
    <s v="DOC29"/>
    <x v="5"/>
    <s v="10005"/>
    <s v="01/08/2018 15:29"/>
    <s v="01/08/2018 10:14"/>
    <d v="2018-08-01T00:00:00"/>
    <s v="01/08/2018 15:29"/>
    <d v="2018-08-01T00:00:00"/>
    <x v="1"/>
    <s v="S0643"/>
    <n v="0"/>
    <n v="0"/>
    <n v="0"/>
    <n v="45882.75"/>
    <n v="45882.75"/>
    <n v="0"/>
    <n v="45882.75"/>
    <m/>
  </r>
  <r>
    <x v="0"/>
    <s v="SPONSOR"/>
    <s v="CREDIT"/>
    <x v="9"/>
    <s v="SPON20"/>
    <s v="DOC32"/>
    <x v="2"/>
    <s v="10026"/>
    <s v="01/08/2018 20:11"/>
    <s v="01/08/2018 10:19"/>
    <d v="2018-08-01T00:00:00"/>
    <s v="01/08/2018 20:09"/>
    <d v="2018-08-01T00:00:00"/>
    <x v="1"/>
    <s v="S6197"/>
    <n v="205.63229999999999"/>
    <n v="0"/>
    <n v="0"/>
    <n v="187.5"/>
    <n v="11045.782499999999"/>
    <n v="0"/>
    <n v="11045.782499999999"/>
    <s v="PKG32"/>
  </r>
  <r>
    <x v="0"/>
    <s v="SPONSOR"/>
    <s v="CREDIT"/>
    <x v="10"/>
    <s v="SPON5"/>
    <s v="DOC20"/>
    <x v="0"/>
    <s v="20018"/>
    <s v="02/08/2018 19:38"/>
    <s v="01/08/2018 10:26"/>
    <d v="2018-08-01T00:00:00"/>
    <s v="02/08/2018 19:35"/>
    <d v="2018-08-02T00:00:00"/>
    <x v="0"/>
    <s v="S7071"/>
    <n v="51.772500000000001"/>
    <n v="1221"/>
    <n v="0"/>
    <n v="90000"/>
    <n v="151695.45000000001"/>
    <n v="18795"/>
    <n v="132900.45000000001"/>
    <s v="PKG23"/>
  </r>
  <r>
    <x v="0"/>
    <s v="SPONSOR"/>
    <s v="CREDIT"/>
    <x v="11"/>
    <s v="SPON6"/>
    <s v="DOC2"/>
    <x v="4"/>
    <s v="20022"/>
    <s v="02/08/2018 20:12"/>
    <s v="01/08/2018 11:11"/>
    <d v="2018-08-01T00:00:00"/>
    <s v="02/08/2018 20:12"/>
    <d v="2018-08-02T00:00:00"/>
    <x v="0"/>
    <s v="S1787"/>
    <n v="984.47159999999997"/>
    <n v="1665.8999999999999"/>
    <n v="0"/>
    <n v="68625"/>
    <n v="90000"/>
    <n v="90000"/>
    <n v="0"/>
    <s v="PKG4"/>
  </r>
  <r>
    <x v="0"/>
    <s v="SPONSOR"/>
    <s v="CREDIT"/>
    <x v="12"/>
    <s v="SPON5"/>
    <s v="DOC33"/>
    <x v="2"/>
    <s v="10025"/>
    <s v="01/08/2018 20:10"/>
    <s v="01/08/2018 11:35"/>
    <d v="2018-08-01T00:00:00"/>
    <s v="01/08/2018 20:07"/>
    <d v="2018-08-01T00:00:00"/>
    <x v="1"/>
    <s v="S7071"/>
    <n v="154.59359999999998"/>
    <n v="0"/>
    <n v="16815"/>
    <n v="2625"/>
    <n v="85163.557499999995"/>
    <n v="0"/>
    <n v="85163.557499999995"/>
    <s v="PKG31"/>
  </r>
  <r>
    <x v="0"/>
    <s v="GENERAL"/>
    <s v="CASH"/>
    <x v="13"/>
    <s v="SPON1"/>
    <s v="DOC32"/>
    <x v="2"/>
    <s v="10020"/>
    <s v="01/08/2018 19:44"/>
    <s v="01/08/2018 11:44"/>
    <d v="2018-08-01T00:00:00"/>
    <s v="01/08/2018 19:43"/>
    <d v="2018-08-01T00:00:00"/>
    <x v="1"/>
    <s v="S0643"/>
    <n v="138.11339999999998"/>
    <n v="975.44999999999993"/>
    <n v="2658.75"/>
    <n v="684.375"/>
    <n v="130559.32500000001"/>
    <n v="8011.5"/>
    <n v="122547.82500000001"/>
    <m/>
  </r>
  <r>
    <x v="0"/>
    <s v="GENERAL"/>
    <s v="CASH"/>
    <x v="14"/>
    <s v="SPON1"/>
    <s v="DOC19"/>
    <x v="0"/>
    <s v="20012"/>
    <s v="02/08/2018 17:26"/>
    <s v="01/08/2018 12:16"/>
    <d v="2018-08-01T00:00:00"/>
    <s v="02/08/2018 17:24"/>
    <d v="2018-08-02T00:00:00"/>
    <x v="0"/>
    <s v="S2438"/>
    <n v="0"/>
    <n v="41266.5"/>
    <n v="0"/>
    <n v="3750"/>
    <n v="135016.5"/>
    <n v="0"/>
    <n v="135016.5"/>
    <m/>
  </r>
  <r>
    <x v="0"/>
    <s v="GENERAL"/>
    <s v="CASH"/>
    <x v="15"/>
    <s v="SPON1"/>
    <s v="DOC30"/>
    <x v="5"/>
    <s v="10021"/>
    <s v="01/08/2018 19:46"/>
    <s v="01/08/2018 12:50"/>
    <d v="2018-08-01T00:00:00"/>
    <s v="01/08/2018 19:45"/>
    <d v="2018-08-01T00:00:00"/>
    <x v="1"/>
    <s v="S0643"/>
    <n v="85.679999999999993"/>
    <n v="0"/>
    <n v="7443.75"/>
    <n v="215.625"/>
    <n v="19292.13"/>
    <n v="621"/>
    <n v="18671.13"/>
    <m/>
  </r>
  <r>
    <x v="0"/>
    <s v="GENERAL"/>
    <s v="CASH"/>
    <x v="16"/>
    <s v="SPON1"/>
    <s v="DOC2"/>
    <x v="4"/>
    <s v="20018"/>
    <s v="02/08/2018 19:57"/>
    <s v="02/08/2018 11:16"/>
    <d v="2018-08-02T00:00:00"/>
    <s v="02/08/2018 19:56"/>
    <d v="2018-08-02T00:00:00"/>
    <x v="1"/>
    <s v="S1271"/>
    <n v="240.81960000000001"/>
    <n v="0"/>
    <n v="10740"/>
    <n v="30375"/>
    <n v="75516.299999999988"/>
    <n v="75516"/>
    <n v="0.29999999998835847"/>
    <s v="PKG3"/>
  </r>
  <r>
    <x v="1"/>
    <s v="SPONSOR"/>
    <s v="CREDIT"/>
    <x v="17"/>
    <s v="SPON2"/>
    <s v="DOC13"/>
    <x v="6"/>
    <s v="20003"/>
    <s v="02/08/2018 13:41"/>
    <s v="04/07/2018 09:24"/>
    <d v="2018-07-04T00:00:00"/>
    <s v="02/08/2018 13:33"/>
    <d v="2018-08-02T00:00:00"/>
    <x v="2"/>
    <s v="S2438"/>
    <n v="57.12"/>
    <n v="92.887499999999989"/>
    <n v="63.75"/>
    <n v="4425"/>
    <n v="7500"/>
    <n v="7500"/>
    <n v="0"/>
    <s v="PKG8"/>
  </r>
  <r>
    <x v="1"/>
    <s v="SPONSOR"/>
    <s v="CREDIT"/>
    <x v="18"/>
    <s v="SPON2"/>
    <s v="DOC13"/>
    <x v="6"/>
    <s v="10002"/>
    <s v="01/08/2018 20:50"/>
    <s v="07/07/2018 10:13"/>
    <d v="2018-07-07T00:00:00"/>
    <s v="01/08/2018 20:44"/>
    <d v="2018-08-01T00:00:00"/>
    <x v="3"/>
    <s v="S2438"/>
    <n v="43.3125"/>
    <n v="5.25"/>
    <n v="7751.25"/>
    <n v="17688.75"/>
    <n v="150000"/>
    <n v="150000"/>
    <n v="0"/>
    <s v="PKG8"/>
  </r>
  <r>
    <x v="1"/>
    <s v="SPONSOR"/>
    <s v="CREDIT"/>
    <x v="19"/>
    <s v="SPON2"/>
    <s v="DOC13"/>
    <x v="6"/>
    <s v="20002"/>
    <s v="02/08/2018 13:32"/>
    <s v="09/07/2018 10:45"/>
    <d v="2018-07-09T00:00:00"/>
    <s v="02/08/2018 13:23"/>
    <d v="2018-08-02T00:00:00"/>
    <x v="4"/>
    <s v="S2438"/>
    <n v="54.599999999999994"/>
    <n v="0"/>
    <n v="926.25"/>
    <n v="1263.75"/>
    <n v="26250"/>
    <n v="26250"/>
    <n v="0"/>
    <s v="PKG8"/>
  </r>
  <r>
    <x v="1"/>
    <s v="SPONSOR"/>
    <s v="CREDIT"/>
    <x v="20"/>
    <s v="SPON2"/>
    <s v="DOC13"/>
    <x v="6"/>
    <s v="20001"/>
    <s v="02/08/2018 13:21"/>
    <s v="11/07/2018 09:50"/>
    <d v="2018-07-11T00:00:00"/>
    <s v="02/08/2018 13:07"/>
    <d v="2018-08-02T00:00:00"/>
    <x v="5"/>
    <s v="S2438"/>
    <n v="264.7176"/>
    <n v="99"/>
    <n v="191.25"/>
    <n v="2613.75"/>
    <n v="30000"/>
    <n v="30000"/>
    <n v="0"/>
    <s v="PKG8"/>
  </r>
  <r>
    <x v="0"/>
    <s v="SPONSOR"/>
    <s v="CREDIT"/>
    <x v="21"/>
    <s v="SPON11"/>
    <s v="DOC17"/>
    <x v="7"/>
    <s v="20026"/>
    <s v="02/08/2018 21:01"/>
    <s v="14/07/2018 16:57"/>
    <d v="2018-07-14T00:00:00"/>
    <s v="01/08/2018 20:58"/>
    <d v="2018-08-01T00:00:00"/>
    <x v="6"/>
    <s v="S1787"/>
    <n v="0"/>
    <n v="82533"/>
    <n v="0"/>
    <n v="135000"/>
    <n v="225033"/>
    <n v="0"/>
    <n v="225033"/>
    <s v="PKG10"/>
  </r>
  <r>
    <x v="0"/>
    <s v="GENERAL"/>
    <s v="CASH"/>
    <x v="22"/>
    <s v="SPON1"/>
    <s v="DOC9"/>
    <x v="8"/>
    <s v="10030"/>
    <s v="01/08/2018 20:55"/>
    <s v="15/07/2018 18:44"/>
    <d v="2018-07-15T00:00:00"/>
    <s v="01/08/2018 20:52"/>
    <d v="2018-08-01T00:00:00"/>
    <x v="7"/>
    <s v="S2438"/>
    <n v="0"/>
    <n v="24.674999999999997"/>
    <n v="0"/>
    <n v="1125"/>
    <n v="7500"/>
    <n v="7500"/>
    <n v="0"/>
    <m/>
  </r>
  <r>
    <x v="0"/>
    <s v="SPONSOR"/>
    <s v="CREDIT"/>
    <x v="23"/>
    <s v="SPON13"/>
    <s v="DOC18"/>
    <x v="7"/>
    <s v="20020"/>
    <s v="02/08/2018 20:04"/>
    <s v="21/07/2018 10:34"/>
    <d v="2018-07-21T00:00:00"/>
    <s v="02/08/2018 19:59"/>
    <d v="2018-08-02T00:00:00"/>
    <x v="8"/>
    <s v="S6197"/>
    <n v="0"/>
    <n v="0"/>
    <n v="0"/>
    <n v="433.125"/>
    <n v="433.125"/>
    <n v="433.5"/>
    <n v="-0.375"/>
    <m/>
  </r>
  <r>
    <x v="0"/>
    <s v="SPONSOR"/>
    <s v="CREDIT"/>
    <x v="24"/>
    <s v="SPON15"/>
    <s v="DOC16"/>
    <x v="9"/>
    <s v="10015"/>
    <s v="01/08/2018 19:39"/>
    <s v="22/07/2018 18:41"/>
    <d v="2018-07-22T00:00:00"/>
    <s v="01/08/2018 19:38"/>
    <d v="2018-08-01T00:00:00"/>
    <x v="9"/>
    <s v="S6197"/>
    <n v="0"/>
    <n v="0"/>
    <n v="0"/>
    <n v="658.125"/>
    <n v="658.125"/>
    <n v="658.5"/>
    <n v="-0.375"/>
    <s v="PKG9"/>
  </r>
  <r>
    <x v="0"/>
    <s v="SPONSOR"/>
    <s v="CREDIT"/>
    <x v="25"/>
    <s v="SPON5"/>
    <s v="DOC24"/>
    <x v="0"/>
    <s v="10001"/>
    <s v="01/08/2018 12:15"/>
    <s v="24/07/2018 21:37"/>
    <d v="2018-07-24T00:00:00"/>
    <s v="01/08/2018 12:12"/>
    <d v="2018-08-01T00:00:00"/>
    <x v="10"/>
    <s v="S7071"/>
    <n v="1871.9759999999999"/>
    <n v="0"/>
    <n v="43117.5"/>
    <n v="5700"/>
    <n v="112083.39749999999"/>
    <n v="3432.75"/>
    <n v="108650.64749999999"/>
    <s v="PKG16"/>
  </r>
  <r>
    <x v="0"/>
    <s v="SPONSOR"/>
    <s v="CREDIT"/>
    <x v="26"/>
    <s v="SPON11"/>
    <s v="DOC34"/>
    <x v="3"/>
    <s v="10033"/>
    <s v="01/08/2018 20:33"/>
    <s v="25/07/2018 13:16"/>
    <d v="2018-07-25T00:00:00"/>
    <s v="01/08/2018 20:20"/>
    <d v="2018-08-01T00:00:00"/>
    <x v="11"/>
    <s v="S1787"/>
    <n v="956.28967499999999"/>
    <n v="0"/>
    <n v="22272.75"/>
    <n v="1599"/>
    <n v="270290.28749999998"/>
    <n v="0"/>
    <n v="270290.28749999998"/>
    <s v="PKG34"/>
  </r>
  <r>
    <x v="0"/>
    <s v="SPONSOR"/>
    <s v="CREDIT"/>
    <x v="27"/>
    <s v="SPON13"/>
    <s v="DOC9"/>
    <x v="8"/>
    <s v="10014"/>
    <s v="01/08/2018 19:31"/>
    <s v="25/07/2018 21:09"/>
    <d v="2018-07-25T00:00:00"/>
    <s v="01/08/2018 19:30"/>
    <d v="2018-08-01T00:00:00"/>
    <x v="11"/>
    <s v="S6197"/>
    <n v="111.13560000000001"/>
    <n v="0"/>
    <n v="49980"/>
    <n v="10632.75"/>
    <n v="252000"/>
    <n v="252000"/>
    <n v="0"/>
    <m/>
  </r>
  <r>
    <x v="0"/>
    <s v="SPONSOR"/>
    <s v="CREDIT"/>
    <x v="28"/>
    <s v="SPON11"/>
    <s v="DOC7"/>
    <x v="10"/>
    <s v="20008"/>
    <s v="02/08/2018 16:23"/>
    <s v="25/07/2018 21:52"/>
    <d v="2018-07-25T00:00:00"/>
    <s v="02/08/2018 16:21"/>
    <d v="2018-08-02T00:00:00"/>
    <x v="10"/>
    <s v="S1787"/>
    <n v="0"/>
    <n v="36"/>
    <n v="0"/>
    <n v="1125"/>
    <n v="6000"/>
    <n v="6000"/>
    <n v="0"/>
    <m/>
  </r>
  <r>
    <x v="0"/>
    <s v="SPONSOR"/>
    <s v="CREDIT"/>
    <x v="29"/>
    <s v="SPON11"/>
    <s v="DOC17"/>
    <x v="7"/>
    <s v="10022"/>
    <s v="01/08/2018 20:08"/>
    <s v="26/07/2018 12:11"/>
    <d v="2018-07-26T00:00:00"/>
    <s v="01/08/2018 20:03"/>
    <d v="2018-08-01T00:00:00"/>
    <x v="12"/>
    <s v="S1787"/>
    <n v="0"/>
    <n v="0"/>
    <n v="0"/>
    <n v="1381.875"/>
    <n v="1381.875"/>
    <n v="1382.25"/>
    <n v="-0.375"/>
    <m/>
  </r>
  <r>
    <x v="0"/>
    <s v="GENERAL"/>
    <s v="CASH"/>
    <x v="30"/>
    <s v="SPON1"/>
    <s v="DOC5"/>
    <x v="11"/>
    <s v="10004"/>
    <s v="01/08/2018 15:22"/>
    <s v="26/07/2018 13:13"/>
    <d v="2018-07-26T00:00:00"/>
    <s v="01/08/2018 15:20"/>
    <d v="2018-08-01T00:00:00"/>
    <x v="12"/>
    <s v="S2438"/>
    <n v="0"/>
    <n v="0"/>
    <n v="0"/>
    <n v="9750"/>
    <n v="9750"/>
    <n v="9750"/>
    <n v="0"/>
    <m/>
  </r>
  <r>
    <x v="0"/>
    <s v="SPONSOR"/>
    <s v="CREDIT"/>
    <x v="31"/>
    <s v="SPON2"/>
    <s v="DOC1"/>
    <x v="12"/>
    <s v="10037"/>
    <s v="01/08/2018 21:18"/>
    <s v="26/07/2018 15:55"/>
    <d v="2018-07-26T00:00:00"/>
    <s v="01/08/2018 21:16"/>
    <d v="2018-08-01T00:00:00"/>
    <x v="12"/>
    <s v="S2438"/>
    <n v="0"/>
    <n v="0"/>
    <n v="0"/>
    <n v="9375"/>
    <n v="9375"/>
    <n v="0"/>
    <n v="9375"/>
    <s v="PKG1"/>
  </r>
  <r>
    <x v="0"/>
    <s v="SPONSOR"/>
    <s v="CASH"/>
    <x v="32"/>
    <s v="SPON1"/>
    <s v="DOC18"/>
    <x v="7"/>
    <s v="10003"/>
    <s v="01/08/2018 14:06"/>
    <s v="27/07/2018 11:05"/>
    <d v="2018-07-27T00:00:00"/>
    <s v="01/08/2018 14:04"/>
    <d v="2018-08-01T00:00:00"/>
    <x v="13"/>
    <s v="S1787"/>
    <n v="114.24"/>
    <n v="0"/>
    <n v="3846.75"/>
    <n v="802.5"/>
    <n v="21965.872500000001"/>
    <n v="0"/>
    <n v="21965.872500000001"/>
    <m/>
  </r>
  <r>
    <x v="0"/>
    <s v="SPONSOR"/>
    <s v="CREDIT"/>
    <x v="32"/>
    <s v="SPON3"/>
    <s v="DOC18"/>
    <x v="7"/>
    <s v="10003"/>
    <s v="01/08/2018 14:05"/>
    <s v="27/07/2018 11:05"/>
    <d v="2018-07-27T00:00:00"/>
    <s v="01/08/2018 14:04"/>
    <d v="2018-08-01T00:00:00"/>
    <x v="13"/>
    <s v="S1787"/>
    <n v="0"/>
    <n v="0"/>
    <n v="0"/>
    <n v="506.25"/>
    <n v="506.25"/>
    <n v="506.25"/>
    <n v="0"/>
    <m/>
  </r>
  <r>
    <x v="0"/>
    <s v="SPONSOR"/>
    <s v="CASH"/>
    <x v="33"/>
    <s v="SPON9"/>
    <s v="DOC7"/>
    <x v="10"/>
    <s v="20006"/>
    <s v="02/08/2018 14:31"/>
    <s v="27/07/2018 11:12"/>
    <d v="2018-07-27T00:00:00"/>
    <s v="01/08/2018 17:29"/>
    <d v="2018-08-01T00:00:00"/>
    <x v="13"/>
    <s v="S0643"/>
    <n v="48.513150000000003"/>
    <n v="3717.75"/>
    <n v="0"/>
    <n v="4800"/>
    <n v="60725.497499999998"/>
    <n v="60725.25"/>
    <n v="0.24749999999767169"/>
    <m/>
  </r>
  <r>
    <x v="0"/>
    <s v="SPONSOR"/>
    <s v="CREDIT"/>
    <x v="34"/>
    <s v="SPON8"/>
    <s v="DOC6"/>
    <x v="13"/>
    <s v="10016"/>
    <s v="01/08/2018 19:44"/>
    <s v="27/07/2018 12:26"/>
    <d v="2018-07-27T00:00:00"/>
    <s v="01/08/2018 19:42"/>
    <d v="2018-08-01T00:00:00"/>
    <x v="13"/>
    <s v="S1248"/>
    <n v="57.12"/>
    <n v="0"/>
    <n v="4623.75"/>
    <n v="9000"/>
    <n v="33750"/>
    <n v="33750"/>
    <n v="0"/>
    <s v="PKG7"/>
  </r>
  <r>
    <x v="0"/>
    <s v="SPONSOR"/>
    <s v="CREDIT"/>
    <x v="35"/>
    <s v="SPON5"/>
    <s v="DOC4"/>
    <x v="4"/>
    <s v="20011"/>
    <s v="02/08/2018 17:06"/>
    <s v="27/07/2018 15:14"/>
    <d v="2018-07-27T00:00:00"/>
    <s v="02/08/2018 17:04"/>
    <d v="2018-08-02T00:00:00"/>
    <x v="12"/>
    <s v="S7071"/>
    <n v="28.56"/>
    <n v="86.625"/>
    <n v="0"/>
    <n v="66000"/>
    <n v="90028.132499999992"/>
    <n v="90028.5"/>
    <n v="-0.367500000007567"/>
    <s v="PKG6"/>
  </r>
  <r>
    <x v="0"/>
    <s v="SPONSOR"/>
    <s v="CREDIT"/>
    <x v="36"/>
    <s v="SPON14"/>
    <s v="DOC8"/>
    <x v="8"/>
    <s v="20017"/>
    <s v="02/08/2018 19:26"/>
    <s v="27/07/2018 17:23"/>
    <d v="2018-07-27T00:00:00"/>
    <s v="02/08/2018 19:25"/>
    <d v="2018-08-02T00:00:00"/>
    <x v="12"/>
    <s v="S6197"/>
    <n v="68.733900000000006"/>
    <n v="7.5"/>
    <n v="0"/>
    <n v="300"/>
    <n v="75000"/>
    <n v="75000"/>
    <n v="0"/>
    <m/>
  </r>
  <r>
    <x v="0"/>
    <s v="GENERAL"/>
    <s v="CASH"/>
    <x v="37"/>
    <s v="SPON1"/>
    <s v="DOC31"/>
    <x v="1"/>
    <s v="20022"/>
    <s v="02/08/2018 20:57"/>
    <s v="27/07/2018 18:13"/>
    <d v="2018-07-27T00:00:00"/>
    <s v="02/08/2018 20:50"/>
    <d v="2018-08-02T00:00:00"/>
    <x v="12"/>
    <s v="S2438"/>
    <n v="3.0576000000000003"/>
    <n v="1813.5"/>
    <n v="1001.25"/>
    <n v="75"/>
    <n v="91995.854999999996"/>
    <n v="7989"/>
    <n v="84006.854999999996"/>
    <m/>
  </r>
  <r>
    <x v="1"/>
    <s v="SPONSOR"/>
    <s v="CREDIT"/>
    <x v="38"/>
    <s v="SPON2"/>
    <s v="DOC13"/>
    <x v="6"/>
    <s v="10001"/>
    <s v="01/08/2018 20:11"/>
    <s v="28/06/2018 12:19"/>
    <d v="2018-06-28T00:00:00"/>
    <s v="01/08/2018 20:09"/>
    <d v="2018-08-01T00:00:00"/>
    <x v="14"/>
    <s v="S2438"/>
    <n v="324.01619999999997"/>
    <n v="0"/>
    <n v="5928.75"/>
    <n v="11917.5"/>
    <n v="71250"/>
    <n v="71250"/>
    <n v="0"/>
    <s v="PKG8"/>
  </r>
  <r>
    <x v="0"/>
    <s v="SPONSOR"/>
    <s v="CREDIT"/>
    <x v="39"/>
    <s v="SPON5"/>
    <s v="DOC24"/>
    <x v="0"/>
    <s v="20003"/>
    <s v="02/08/2018 13:03"/>
    <s v="28/07/2018 05:52"/>
    <d v="2018-07-28T00:00:00"/>
    <s v="02/08/2018 13:01"/>
    <d v="2018-08-02T00:00:00"/>
    <x v="13"/>
    <s v="S7071"/>
    <n v="0"/>
    <n v="0"/>
    <n v="13128.75"/>
    <n v="7111.125"/>
    <n v="25749.375"/>
    <n v="0"/>
    <n v="25749.375"/>
    <s v="PKG23"/>
  </r>
  <r>
    <x v="0"/>
    <s v="SPONSOR"/>
    <s v="CREDIT"/>
    <x v="40"/>
    <s v="SPON5"/>
    <s v="DOC27"/>
    <x v="0"/>
    <s v="10005"/>
    <s v="01/08/2018 16:13"/>
    <s v="28/07/2018 07:17"/>
    <d v="2018-07-28T00:00:00"/>
    <s v="01/08/2018 16:12"/>
    <d v="2018-08-01T00:00:00"/>
    <x v="15"/>
    <s v="S6875"/>
    <n v="427.34999999999997"/>
    <n v="216.75"/>
    <n v="24720"/>
    <n v="50250"/>
    <n v="630000.29249999998"/>
    <n v="142500"/>
    <n v="487500.29249999998"/>
    <s v="PKG18"/>
  </r>
  <r>
    <x v="0"/>
    <s v="GENERAL"/>
    <s v="CASH"/>
    <x v="41"/>
    <s v="SPON1"/>
    <s v="DOC7"/>
    <x v="10"/>
    <s v="20008"/>
    <s v="02/08/2018 16:00"/>
    <s v="28/07/2018 12:13"/>
    <d v="2018-07-28T00:00:00"/>
    <s v="02/08/2018 15:59"/>
    <d v="2018-08-02T00:00:00"/>
    <x v="13"/>
    <s v="S1271"/>
    <n v="1.3440000000000001"/>
    <n v="0"/>
    <n v="5823.75"/>
    <n v="648.75"/>
    <n v="37338.832500000004"/>
    <n v="37338.75"/>
    <n v="8.2500000004074536E-2"/>
    <m/>
  </r>
  <r>
    <x v="0"/>
    <s v="SPONSOR"/>
    <s v="CREDIT"/>
    <x v="42"/>
    <s v="SPON12"/>
    <s v="DOC8"/>
    <x v="8"/>
    <s v="10012"/>
    <s v="01/08/2018 18:52"/>
    <s v="28/07/2018 13:41"/>
    <d v="2018-07-28T00:00:00"/>
    <s v="01/08/2018 18:50"/>
    <d v="2018-08-01T00:00:00"/>
    <x v="15"/>
    <s v="S6197"/>
    <n v="0"/>
    <n v="0"/>
    <n v="0"/>
    <n v="315000"/>
    <n v="309750"/>
    <n v="309750"/>
    <n v="0"/>
    <m/>
  </r>
  <r>
    <x v="0"/>
    <s v="SPONSOR"/>
    <s v="CREDIT"/>
    <x v="43"/>
    <s v="SPON5"/>
    <s v="DOC26"/>
    <x v="0"/>
    <s v="20010"/>
    <s v="02/08/2018 17:02"/>
    <s v="28/07/2018 16:24"/>
    <d v="2018-07-28T00:00:00"/>
    <s v="02/08/2018 17:01"/>
    <d v="2018-08-02T00:00:00"/>
    <x v="13"/>
    <s v="S7071"/>
    <n v="0"/>
    <n v="41266.5"/>
    <n v="0"/>
    <n v="68250"/>
    <n v="113221.5"/>
    <n v="0"/>
    <n v="113221.5"/>
    <m/>
  </r>
  <r>
    <x v="0"/>
    <s v="GENERAL"/>
    <s v="CASH"/>
    <x v="44"/>
    <s v="SPON1"/>
    <s v="DOC17"/>
    <x v="7"/>
    <s v="10019"/>
    <s v="01/08/2018 18:15"/>
    <s v="28/07/2018 17:05"/>
    <d v="2018-07-28T00:00:00"/>
    <s v="01/08/2018 18:14"/>
    <d v="2018-08-01T00:00:00"/>
    <x v="15"/>
    <s v="S0643"/>
    <n v="0"/>
    <n v="0"/>
    <n v="0"/>
    <n v="73.5"/>
    <n v="73.5"/>
    <n v="73.5"/>
    <n v="0"/>
    <m/>
  </r>
  <r>
    <x v="0"/>
    <s v="SPONSOR"/>
    <s v="CASH"/>
    <x v="45"/>
    <s v="SPON1"/>
    <s v="DOC33"/>
    <x v="2"/>
    <s v="20020"/>
    <s v="02/08/2018 20:10"/>
    <s v="28/07/2018 20:44"/>
    <d v="2018-07-28T00:00:00"/>
    <s v="02/08/2018 20:07"/>
    <d v="2018-08-02T00:00:00"/>
    <x v="13"/>
    <s v="S1787"/>
    <n v="159.83257499999999"/>
    <n v="0"/>
    <n v="689.25"/>
    <n v="2430"/>
    <n v="11504.647500000001"/>
    <n v="0"/>
    <n v="11504.647500000001"/>
    <m/>
  </r>
  <r>
    <x v="0"/>
    <s v="SPONSOR"/>
    <s v="CREDIT"/>
    <x v="45"/>
    <s v="SPON21"/>
    <s v="DOC33"/>
    <x v="2"/>
    <s v="20021"/>
    <s v="02/08/2018 20:10"/>
    <s v="28/07/2018 20:44"/>
    <d v="2018-07-28T00:00:00"/>
    <s v="02/08/2018 20:07"/>
    <d v="2018-08-02T00:00:00"/>
    <x v="13"/>
    <s v="S1787"/>
    <n v="1.3008"/>
    <n v="0"/>
    <n v="1526.25"/>
    <n v="12937.5"/>
    <n v="83736.112499999988"/>
    <n v="11268"/>
    <n v="72468.112499999988"/>
    <m/>
  </r>
  <r>
    <x v="0"/>
    <s v="SPONSOR"/>
    <s v="CREDIT"/>
    <x v="46"/>
    <s v="SPON14"/>
    <s v="DOC20"/>
    <x v="0"/>
    <s v="10011"/>
    <s v="01/08/2018 18:36"/>
    <s v="29/07/2018 12:52"/>
    <d v="2018-07-29T00:00:00"/>
    <s v="01/08/2018 18:31"/>
    <d v="2018-08-01T00:00:00"/>
    <x v="16"/>
    <s v="S6197"/>
    <n v="6.6374999999999993"/>
    <n v="5.25"/>
    <n v="0"/>
    <n v="3937.5"/>
    <n v="35235.360000000001"/>
    <n v="2575.5"/>
    <n v="32659.86"/>
    <s v="PKG20"/>
  </r>
  <r>
    <x v="0"/>
    <s v="SPONSOR"/>
    <s v="CREDIT"/>
    <x v="47"/>
    <s v="SPON10"/>
    <s v="DOC10"/>
    <x v="8"/>
    <s v="10027"/>
    <s v="01/08/2018 20:14"/>
    <s v="29/07/2018 13:22"/>
    <d v="2018-07-29T00:00:00"/>
    <s v="01/08/2018 20:11"/>
    <d v="2018-08-01T00:00:00"/>
    <x v="16"/>
    <s v="S6197"/>
    <n v="174.678"/>
    <n v="1516.5"/>
    <n v="2760"/>
    <n v="46269.75"/>
    <n v="93750.225000000006"/>
    <n v="93750"/>
    <n v="0.22500000000582077"/>
    <m/>
  </r>
  <r>
    <x v="0"/>
    <s v="SPONSOR"/>
    <s v="CREDIT"/>
    <x v="48"/>
    <s v="SPON17"/>
    <s v="DOC20"/>
    <x v="0"/>
    <s v="10010"/>
    <s v="01/08/2018 18:33"/>
    <s v="29/07/2018 19:40"/>
    <d v="2018-07-29T00:00:00"/>
    <s v="01/08/2018 18:32"/>
    <d v="2018-08-01T00:00:00"/>
    <x v="16"/>
    <s v="S1787"/>
    <n v="46.410000000000004"/>
    <n v="1121.25"/>
    <n v="0"/>
    <n v="90000"/>
    <n v="153701.92499999999"/>
    <n v="33924"/>
    <n v="119777.92499999999"/>
    <s v="PKG17"/>
  </r>
  <r>
    <x v="0"/>
    <s v="SPONSOR"/>
    <s v="CREDIT"/>
    <x v="49"/>
    <s v="SPON19"/>
    <s v="DOC20"/>
    <x v="0"/>
    <s v="20016"/>
    <s v="02/08/2018 19:05"/>
    <s v="29/07/2018 21:47"/>
    <d v="2018-07-29T00:00:00"/>
    <s v="02/08/2018 19:03"/>
    <d v="2018-08-02T00:00:00"/>
    <x v="15"/>
    <s v="S6197"/>
    <n v="56.699999999999996"/>
    <n v="0"/>
    <n v="10756.125"/>
    <n v="2025"/>
    <n v="19896.675000000003"/>
    <n v="0"/>
    <n v="19896.675000000003"/>
    <s v="PKG25"/>
  </r>
  <r>
    <x v="0"/>
    <s v="GENERAL"/>
    <s v="CASH"/>
    <x v="50"/>
    <s v="SPON1"/>
    <s v="DOC3"/>
    <x v="4"/>
    <s v="10013"/>
    <s v="01/08/2018 17:30"/>
    <s v="30/07/2018 03:41"/>
    <d v="2018-07-30T00:00:00"/>
    <s v="01/08/2018 17:28"/>
    <d v="2018-08-01T00:00:00"/>
    <x v="17"/>
    <s v="S2438"/>
    <n v="0"/>
    <n v="0"/>
    <n v="0"/>
    <n v="9375"/>
    <n v="9375"/>
    <n v="0"/>
    <n v="9375"/>
    <s v="PKG4"/>
  </r>
  <r>
    <x v="0"/>
    <s v="SPONSOR"/>
    <s v="CREDIT"/>
    <x v="51"/>
    <s v="SPON4"/>
    <s v="DOC21"/>
    <x v="0"/>
    <s v="10036"/>
    <s v="01/08/2018 21:16"/>
    <s v="30/07/2018 06:37"/>
    <d v="2018-07-30T00:00:00"/>
    <s v="01/08/2018 21:14"/>
    <d v="2018-08-01T00:00:00"/>
    <x v="17"/>
    <s v="S6197"/>
    <n v="114.24"/>
    <n v="0"/>
    <n v="10061.25"/>
    <n v="3000"/>
    <n v="32585.827499999999"/>
    <n v="8073"/>
    <n v="24512.827499999999"/>
    <s v="PKG21"/>
  </r>
  <r>
    <x v="0"/>
    <s v="SPONSOR"/>
    <s v="CREDIT"/>
    <x v="52"/>
    <s v="SPON16"/>
    <s v="DOC26"/>
    <x v="0"/>
    <s v="10032"/>
    <s v="01/08/2018 20:33"/>
    <s v="30/07/2018 06:46"/>
    <d v="2018-07-30T00:00:00"/>
    <s v="01/08/2018 20:32"/>
    <d v="2018-08-01T00:00:00"/>
    <x v="17"/>
    <s v="S1248"/>
    <n v="0"/>
    <n v="0"/>
    <n v="0"/>
    <n v="10875"/>
    <n v="10875"/>
    <n v="0"/>
    <n v="10875"/>
    <s v="PKG22"/>
  </r>
  <r>
    <x v="0"/>
    <s v="SPONSOR"/>
    <s v="CREDIT"/>
    <x v="53"/>
    <s v="SPON5"/>
    <s v="DOC26"/>
    <x v="0"/>
    <s v="20013"/>
    <s v="02/08/2018 18:05"/>
    <s v="30/07/2018 07:01"/>
    <d v="2018-07-30T00:00:00"/>
    <s v="02/08/2018 18:03"/>
    <d v="2018-08-02T00:00:00"/>
    <x v="16"/>
    <s v="S7071"/>
    <n v="0"/>
    <n v="41266.5"/>
    <n v="0"/>
    <n v="90000"/>
    <n v="131266.5"/>
    <n v="9000"/>
    <n v="122266.5"/>
    <s v="PKG16"/>
  </r>
  <r>
    <x v="0"/>
    <s v="SPONSOR"/>
    <s v="CREDIT"/>
    <x v="54"/>
    <s v="SPON5"/>
    <s v="DOC26"/>
    <x v="0"/>
    <s v="10008"/>
    <s v="01/08/2018 18:23"/>
    <s v="30/07/2018 07:09"/>
    <d v="2018-07-30T00:00:00"/>
    <s v="01/08/2018 18:21"/>
    <d v="2018-08-01T00:00:00"/>
    <x v="17"/>
    <s v="S7071"/>
    <n v="12.8352"/>
    <n v="0"/>
    <n v="9232.5"/>
    <n v="3750"/>
    <n v="133381.38"/>
    <n v="0"/>
    <n v="133381.38"/>
    <s v="PKG19"/>
  </r>
  <r>
    <x v="0"/>
    <s v="GENERAL"/>
    <s v="CASH"/>
    <x v="55"/>
    <s v="SPON1"/>
    <s v="DOC21"/>
    <x v="0"/>
    <s v="10022"/>
    <s v="01/08/2018 19:51"/>
    <s v="30/07/2018 07:18"/>
    <d v="2018-07-30T00:00:00"/>
    <s v="01/08/2018 19:48"/>
    <d v="2018-08-01T00:00:00"/>
    <x v="17"/>
    <s v="S2438"/>
    <n v="0"/>
    <n v="41266.5"/>
    <n v="0"/>
    <n v="90000"/>
    <n v="135016.5"/>
    <n v="0"/>
    <n v="135016.5"/>
    <s v="PKG12"/>
  </r>
  <r>
    <x v="0"/>
    <s v="GENERAL"/>
    <s v="CASH"/>
    <x v="56"/>
    <s v="SPON1"/>
    <s v="DOC21"/>
    <x v="0"/>
    <s v="10024"/>
    <s v="01/08/2018 19:59"/>
    <s v="30/07/2018 07:39"/>
    <d v="2018-07-30T00:00:00"/>
    <s v="01/08/2018 19:57"/>
    <d v="2018-08-01T00:00:00"/>
    <x v="17"/>
    <s v="S2438"/>
    <n v="0"/>
    <n v="0"/>
    <n v="0"/>
    <n v="10875"/>
    <n v="10875"/>
    <n v="0"/>
    <n v="10875"/>
    <s v="PKG13"/>
  </r>
  <r>
    <x v="0"/>
    <s v="SPONSOR"/>
    <s v="CREDIT"/>
    <x v="57"/>
    <s v="SPON13"/>
    <s v="DOC31"/>
    <x v="1"/>
    <s v="10023"/>
    <s v="01/08/2018 20:08"/>
    <s v="30/07/2018 08:44"/>
    <d v="2018-07-30T00:00:00"/>
    <s v="01/08/2018 20:07"/>
    <d v="2018-08-01T00:00:00"/>
    <x v="17"/>
    <s v="S6197"/>
    <n v="0"/>
    <n v="0"/>
    <n v="0"/>
    <n v="17718.75"/>
    <n v="97361.25"/>
    <n v="0"/>
    <n v="97361.25"/>
    <s v="PKG29"/>
  </r>
  <r>
    <x v="0"/>
    <s v="SPONSOR"/>
    <s v="CREDIT"/>
    <x v="58"/>
    <s v="SPON4"/>
    <s v="DOC21"/>
    <x v="0"/>
    <s v="10034"/>
    <s v="01/08/2018 20:38"/>
    <s v="30/07/2018 09:06"/>
    <d v="2018-07-30T00:00:00"/>
    <s v="01/08/2018 20:35"/>
    <d v="2018-08-01T00:00:00"/>
    <x v="17"/>
    <s v="S6197"/>
    <n v="0"/>
    <n v="0"/>
    <n v="0"/>
    <n v="9562.5"/>
    <n v="9562.5"/>
    <n v="0"/>
    <n v="9562.5"/>
    <s v="PKG21"/>
  </r>
  <r>
    <x v="0"/>
    <s v="SPONSOR"/>
    <s v="CREDIT"/>
    <x v="59"/>
    <s v="SPON5"/>
    <s v="DOC26"/>
    <x v="0"/>
    <s v="20012"/>
    <s v="02/08/2018 17:33"/>
    <s v="30/07/2018 09:46"/>
    <d v="2018-07-30T00:00:00"/>
    <s v="02/08/2018 17:29"/>
    <d v="2018-08-02T00:00:00"/>
    <x v="16"/>
    <s v="S7071"/>
    <n v="28.56"/>
    <n v="0"/>
    <n v="1779.75"/>
    <n v="8927.25"/>
    <n v="19792.695"/>
    <n v="0"/>
    <n v="19792.695"/>
    <s v="PKG16"/>
  </r>
  <r>
    <x v="0"/>
    <s v="SPONSOR"/>
    <s v="CREDIT"/>
    <x v="60"/>
    <s v="SPON18"/>
    <s v="DOC21"/>
    <x v="0"/>
    <s v="10019"/>
    <s v="01/08/2018 20:00"/>
    <s v="30/07/2018 10:20"/>
    <d v="2018-07-30T00:00:00"/>
    <s v="01/08/2018 19:57"/>
    <d v="2018-08-01T00:00:00"/>
    <x v="17"/>
    <s v="S6197"/>
    <n v="307.35000000000002"/>
    <n v="0"/>
    <n v="9955.5"/>
    <n v="4252.5"/>
    <n v="73646.684999999998"/>
    <n v="0"/>
    <n v="73646.684999999998"/>
    <s v="PKG21"/>
  </r>
  <r>
    <x v="0"/>
    <s v="SPONSOR"/>
    <s v="CREDIT"/>
    <x v="61"/>
    <s v="SPON5"/>
    <s v="DOC26"/>
    <x v="0"/>
    <s v="10009"/>
    <s v="01/08/2018 18:26"/>
    <s v="30/07/2018 11:38"/>
    <d v="2018-07-30T00:00:00"/>
    <s v="01/08/2018 18:24"/>
    <d v="2018-08-01T00:00:00"/>
    <x v="17"/>
    <s v="S7071"/>
    <n v="85.679999999999993"/>
    <n v="0"/>
    <n v="4305"/>
    <n v="5478.75"/>
    <n v="17132.2425"/>
    <n v="2550.75"/>
    <n v="14581.4925"/>
    <s v="PKG18"/>
  </r>
  <r>
    <x v="0"/>
    <s v="SPONSOR"/>
    <s v="CREDIT"/>
    <x v="62"/>
    <s v="SPON7"/>
    <s v="DOC31"/>
    <x v="1"/>
    <s v="10029"/>
    <s v="01/08/2018 20:15"/>
    <s v="30/07/2018 11:53"/>
    <d v="2018-07-30T00:00:00"/>
    <s v="01/08/2018 20:12"/>
    <d v="2018-08-01T00:00:00"/>
    <x v="17"/>
    <s v="S1248"/>
    <n v="0"/>
    <n v="0"/>
    <n v="0"/>
    <n v="52500"/>
    <n v="142500"/>
    <n v="0"/>
    <n v="142500"/>
    <m/>
  </r>
  <r>
    <x v="0"/>
    <s v="GENERAL"/>
    <s v="CASH"/>
    <x v="63"/>
    <s v="SPON1"/>
    <s v="DOC8"/>
    <x v="8"/>
    <s v="10012"/>
    <s v="01/08/2018 17:17"/>
    <s v="30/07/2018 12:47"/>
    <d v="2018-07-30T00:00:00"/>
    <s v="01/08/2018 17:16"/>
    <d v="2018-08-01T00:00:00"/>
    <x v="17"/>
    <s v="S2438"/>
    <n v="0"/>
    <n v="0"/>
    <n v="0"/>
    <n v="163500"/>
    <n v="159750"/>
    <n v="159750"/>
    <n v="0"/>
    <m/>
  </r>
  <r>
    <x v="0"/>
    <s v="GENERAL"/>
    <s v="CASH"/>
    <x v="64"/>
    <s v="SPON1"/>
    <s v="DOC2"/>
    <x v="4"/>
    <s v="10017"/>
    <s v="01/08/2018 18:04"/>
    <s v="30/07/2018 13:35"/>
    <d v="2018-07-30T00:00:00"/>
    <s v="01/08/2018 18:03"/>
    <d v="2018-08-01T00:00:00"/>
    <x v="17"/>
    <s v="S0643"/>
    <n v="0"/>
    <n v="0"/>
    <n v="0"/>
    <n v="15562.5"/>
    <n v="15562.5"/>
    <n v="15562.5"/>
    <n v="0"/>
    <m/>
  </r>
  <r>
    <x v="0"/>
    <s v="SPONSOR"/>
    <s v="CASH"/>
    <x v="65"/>
    <s v="SPON1"/>
    <s v="DOC23"/>
    <x v="0"/>
    <s v="20011"/>
    <s v="02/08/2018 16:58"/>
    <s v="30/07/2018 13:56"/>
    <d v="2018-07-30T00:00:00"/>
    <s v="02/08/2018 16:47"/>
    <d v="2018-08-02T00:00:00"/>
    <x v="16"/>
    <s v="S1787"/>
    <n v="30082.5"/>
    <n v="0"/>
    <n v="0"/>
    <n v="5081.25"/>
    <n v="77623.049999999988"/>
    <n v="3459"/>
    <n v="74164.049999999988"/>
    <s v="PKG15"/>
  </r>
  <r>
    <x v="0"/>
    <s v="SPONSOR"/>
    <s v="CREDIT"/>
    <x v="65"/>
    <s v="SPON3"/>
    <s v="DOC23"/>
    <x v="0"/>
    <s v="20009"/>
    <s v="02/08/2018 16:58"/>
    <s v="30/07/2018 13:56"/>
    <d v="2018-07-30T00:00:00"/>
    <s v="02/08/2018 16:47"/>
    <d v="2018-08-02T00:00:00"/>
    <x v="16"/>
    <s v="S1787"/>
    <n v="28.56"/>
    <n v="0"/>
    <n v="2568.75"/>
    <n v="1927.5"/>
    <n v="6322.3575000000001"/>
    <n v="0"/>
    <n v="6322.3575000000001"/>
    <s v="PKG15"/>
  </r>
  <r>
    <x v="0"/>
    <s v="GENERAL"/>
    <s v="CASH"/>
    <x v="66"/>
    <s v="SPON1"/>
    <s v="DOC22"/>
    <x v="0"/>
    <s v="20017"/>
    <s v="02/08/2018 19:55"/>
    <s v="30/07/2018 14:13"/>
    <d v="2018-07-30T00:00:00"/>
    <s v="02/08/2018 19:53"/>
    <d v="2018-08-02T00:00:00"/>
    <x v="16"/>
    <s v="S1271"/>
    <n v="0"/>
    <n v="41266.5"/>
    <n v="0"/>
    <n v="3750"/>
    <n v="135016.5"/>
    <n v="0"/>
    <n v="135016.5"/>
    <m/>
  </r>
  <r>
    <x v="0"/>
    <s v="SPONSOR"/>
    <s v="CREDIT"/>
    <x v="67"/>
    <s v="SPON5"/>
    <s v="DOC25"/>
    <x v="0"/>
    <s v="20005"/>
    <s v="02/08/2018 13:37"/>
    <s v="30/07/2018 14:16"/>
    <d v="2018-07-30T00:00:00"/>
    <s v="02/08/2018 13:36"/>
    <d v="2018-08-02T00:00:00"/>
    <x v="16"/>
    <s v="S7071"/>
    <n v="150.02587500000001"/>
    <n v="71.25"/>
    <n v="3348"/>
    <n v="1515.375"/>
    <n v="41813.962499999994"/>
    <n v="0"/>
    <n v="41813.962499999994"/>
    <s v="PKG24"/>
  </r>
  <r>
    <x v="0"/>
    <s v="SPONSOR"/>
    <s v="CASH"/>
    <x v="68"/>
    <s v="SPON1"/>
    <s v="DOC30"/>
    <x v="5"/>
    <s v="20021"/>
    <s v="02/08/2018 20:13"/>
    <s v="30/07/2018 15:35"/>
    <d v="2018-07-30T00:00:00"/>
    <s v="02/08/2018 20:09"/>
    <d v="2018-08-02T00:00:00"/>
    <x v="16"/>
    <s v="S1248"/>
    <n v="0"/>
    <n v="1275"/>
    <n v="0"/>
    <n v="53625"/>
    <n v="63012"/>
    <n v="0"/>
    <n v="63012"/>
    <s v="PKG26"/>
  </r>
  <r>
    <x v="0"/>
    <s v="SPONSOR"/>
    <s v="CREDIT"/>
    <x v="68"/>
    <s v="SPON3"/>
    <s v="DOC30"/>
    <x v="5"/>
    <s v="20023"/>
    <s v="02/08/2018 20:13"/>
    <s v="30/07/2018 15:35"/>
    <d v="2018-07-30T00:00:00"/>
    <s v="02/08/2018 20:09"/>
    <d v="2018-08-02T00:00:00"/>
    <x v="16"/>
    <s v="S1248"/>
    <n v="0"/>
    <n v="1327.5"/>
    <n v="0"/>
    <n v="44625"/>
    <n v="46233.75"/>
    <n v="0"/>
    <n v="46233.75"/>
    <s v="PKG26"/>
  </r>
  <r>
    <x v="0"/>
    <s v="SPONSOR"/>
    <s v="CREDIT"/>
    <x v="69"/>
    <s v="SPON7"/>
    <s v="DOC18"/>
    <x v="7"/>
    <s v="20027"/>
    <s v="02/08/2018 21:22"/>
    <s v="30/07/2018 16:07"/>
    <d v="2018-07-30T00:00:00"/>
    <s v="02/08/2018 21:20"/>
    <d v="2018-08-02T00:00:00"/>
    <x v="16"/>
    <s v="S1787"/>
    <n v="0"/>
    <n v="246"/>
    <n v="0"/>
    <n v="12750"/>
    <n v="12996"/>
    <n v="0"/>
    <n v="12996"/>
    <s v="PKG11"/>
  </r>
  <r>
    <x v="0"/>
    <s v="GENERAL"/>
    <s v="CASH"/>
    <x v="70"/>
    <s v="SPON1"/>
    <s v="DOC31"/>
    <x v="1"/>
    <s v="20009"/>
    <s v="02/08/2018 16:36"/>
    <s v="30/07/2018 18:51"/>
    <d v="2018-07-30T00:00:00"/>
    <s v="02/08/2018 16:34"/>
    <d v="2018-08-02T00:00:00"/>
    <x v="16"/>
    <s v="S0643"/>
    <n v="3293.7062999999998"/>
    <n v="0"/>
    <n v="8475"/>
    <n v="404.25"/>
    <n v="73413.705000000002"/>
    <n v="0"/>
    <n v="73413.705000000002"/>
    <m/>
  </r>
  <r>
    <x v="0"/>
    <s v="SPONSOR"/>
    <s v="CREDIT"/>
    <x v="71"/>
    <s v="SPON4"/>
    <s v="DOC3"/>
    <x v="4"/>
    <s v="10017"/>
    <s v="01/08/2018 19:49"/>
    <s v="30/07/2018 19:24"/>
    <d v="2018-07-30T00:00:00"/>
    <s v="01/08/2018 19:47"/>
    <d v="2018-08-01T00:00:00"/>
    <x v="17"/>
    <s v="S6197"/>
    <n v="152.7756"/>
    <n v="576.58500000000004"/>
    <n v="0"/>
    <n v="558.75"/>
    <n v="24456.27"/>
    <n v="24456"/>
    <n v="0.27000000000043656"/>
    <m/>
  </r>
  <r>
    <x v="0"/>
    <s v="GENERAL"/>
    <s v="CASH"/>
    <x v="72"/>
    <s v="SPON1"/>
    <s v="DOC6"/>
    <x v="13"/>
    <s v="10008"/>
    <s v="01/08/2018 15:59"/>
    <s v="30/07/2018 19:39"/>
    <d v="2018-07-30T00:00:00"/>
    <s v="01/08/2018 15:56"/>
    <d v="2018-08-01T00:00:00"/>
    <x v="17"/>
    <s v="S2438"/>
    <n v="280.14"/>
    <n v="39.75"/>
    <n v="0"/>
    <n v="3150"/>
    <n v="30000"/>
    <n v="30000"/>
    <n v="0"/>
    <m/>
  </r>
  <r>
    <x v="0"/>
    <s v="GENERAL"/>
    <s v="CASH"/>
    <x v="73"/>
    <s v="SPON1"/>
    <s v="DOC31"/>
    <x v="1"/>
    <s v="20007"/>
    <s v="02/08/2018 14:51"/>
    <s v="30/07/2018 19:47"/>
    <d v="2018-07-30T00:00:00"/>
    <s v="02/08/2018 14:50"/>
    <d v="2018-08-02T00:00:00"/>
    <x v="16"/>
    <s v="S0643"/>
    <n v="0"/>
    <n v="45000"/>
    <n v="0"/>
    <n v="52500"/>
    <n v="97500"/>
    <n v="0"/>
    <n v="97500"/>
    <s v="PKG4"/>
  </r>
  <r>
    <x v="0"/>
    <s v="SPONSOR"/>
    <s v="CREDIT"/>
    <x v="74"/>
    <s v="SPON10"/>
    <s v="DOC7"/>
    <x v="10"/>
    <s v="20001"/>
    <s v="01/08/2018 16:45"/>
    <s v="30/07/2018 21:29"/>
    <d v="2018-07-30T00:00:00"/>
    <s v="01/08/2018 16:30"/>
    <d v="2018-08-01T00:00:00"/>
    <x v="17"/>
    <s v="S1732"/>
    <n v="140.3304"/>
    <n v="0"/>
    <n v="6318.75"/>
    <n v="2400"/>
    <n v="46500"/>
    <n v="46500"/>
    <n v="0"/>
    <m/>
  </r>
  <r>
    <x v="0"/>
    <s v="GENERAL"/>
    <s v="CASH"/>
    <x v="75"/>
    <s v="SPON1"/>
    <s v="DOC31"/>
    <x v="1"/>
    <s v="10018"/>
    <s v="01/08/2018 18:09"/>
    <s v="30/07/2018 22:14"/>
    <d v="2018-07-30T00:00:00"/>
    <s v="01/08/2018 18:08"/>
    <d v="2018-08-01T00:00:00"/>
    <x v="17"/>
    <s v="S0643"/>
    <n v="0"/>
    <n v="0"/>
    <n v="0"/>
    <n v="57000"/>
    <n v="57000"/>
    <n v="0"/>
    <n v="57000"/>
    <m/>
  </r>
  <r>
    <x v="0"/>
    <s v="SPONSOR"/>
    <s v="CREDIT"/>
    <x v="76"/>
    <s v="SPON2"/>
    <s v="DOC4"/>
    <x v="4"/>
    <s v="10038"/>
    <s v="01/08/2018 21:33"/>
    <s v="30/07/2018 22:42"/>
    <d v="2018-07-30T00:00:00"/>
    <s v="01/08/2018 21:22"/>
    <d v="2018-08-01T00:00:00"/>
    <x v="17"/>
    <s v="S2438"/>
    <n v="0"/>
    <n v="24.674999999999997"/>
    <n v="0"/>
    <n v="1125"/>
    <n v="7502.61"/>
    <n v="7502.25"/>
    <n v="0.35999999999967258"/>
    <s v="PKG5"/>
  </r>
  <r>
    <x v="0"/>
    <s v="GENERAL"/>
    <s v="CASH"/>
    <x v="77"/>
    <s v="SPON1"/>
    <s v="DOC1"/>
    <x v="12"/>
    <s v="20004"/>
    <s v="02/08/2018 14:26"/>
    <s v="31/07/2018 03:09"/>
    <d v="2018-07-31T00:00:00"/>
    <s v="02/08/2018 14:24"/>
    <d v="2018-08-02T00:00:00"/>
    <x v="17"/>
    <s v="S0643"/>
    <n v="0"/>
    <n v="0"/>
    <n v="0"/>
    <n v="9375"/>
    <n v="9375"/>
    <n v="0"/>
    <n v="9375"/>
    <m/>
  </r>
  <r>
    <x v="0"/>
    <s v="SPONSOR"/>
    <s v="CREDIT"/>
    <x v="78"/>
    <s v="SPON12"/>
    <s v="DOC11"/>
    <x v="14"/>
    <s v="20004"/>
    <s v="02/08/2018 13:04"/>
    <s v="31/07/2018 06:24"/>
    <d v="2018-07-31T00:00:00"/>
    <s v="02/08/2018 13:03"/>
    <d v="2018-08-02T00:00:00"/>
    <x v="17"/>
    <s v="S1732"/>
    <n v="320.167125"/>
    <n v="7.5"/>
    <n v="1372.5"/>
    <n v="558.75"/>
    <n v="75000"/>
    <n v="75000"/>
    <n v="0"/>
    <m/>
  </r>
  <r>
    <x v="0"/>
    <s v="GENERAL"/>
    <s v="CASH"/>
    <x v="79"/>
    <s v="SPON1"/>
    <s v="DOC11"/>
    <x v="14"/>
    <s v="20002"/>
    <s v="02/08/2018 12:10"/>
    <s v="31/07/2018 06:38"/>
    <d v="2018-07-31T00:00:00"/>
    <s v="02/08/2018 12:09"/>
    <d v="2018-08-02T00:00:00"/>
    <x v="17"/>
    <s v="S0643"/>
    <n v="57.161999999999992"/>
    <n v="0"/>
    <n v="2613.75"/>
    <n v="8077.5"/>
    <n v="41250"/>
    <n v="41250"/>
    <n v="0"/>
    <m/>
  </r>
  <r>
    <x v="0"/>
    <s v="GENERAL"/>
    <s v="CASH"/>
    <x v="80"/>
    <s v="SPON1"/>
    <s v="DOC19"/>
    <x v="0"/>
    <s v="10006"/>
    <s v="01/08/2018 15:43"/>
    <s v="31/07/2018 06:47"/>
    <d v="2018-07-31T00:00:00"/>
    <s v="01/08/2018 15:42"/>
    <d v="2018-08-01T00:00:00"/>
    <x v="0"/>
    <s v="S0643"/>
    <n v="367.38967500000001"/>
    <n v="0"/>
    <n v="2021.25"/>
    <n v="6577.5"/>
    <n v="23576.864999999998"/>
    <n v="0"/>
    <n v="23576.864999999998"/>
    <m/>
  </r>
  <r>
    <x v="0"/>
    <s v="GENERAL"/>
    <s v="CASH"/>
    <x v="81"/>
    <s v="SPON1"/>
    <s v="DOC12"/>
    <x v="15"/>
    <s v="10009"/>
    <s v="01/08/2018 16:09"/>
    <s v="31/07/2018 07:01"/>
    <d v="2018-07-31T00:00:00"/>
    <s v="01/08/2018 16:02"/>
    <d v="2018-08-01T00:00:00"/>
    <x v="0"/>
    <s v="S2438"/>
    <n v="252.64679999999998"/>
    <n v="99"/>
    <n v="712.5"/>
    <n v="6187.5"/>
    <n v="142499.77500000002"/>
    <n v="142500"/>
    <n v="-0.22499999997671694"/>
    <m/>
  </r>
  <r>
    <x v="0"/>
    <s v="SPONSOR"/>
    <s v="CREDIT"/>
    <x v="82"/>
    <s v="SPON5"/>
    <s v="DOC29"/>
    <x v="5"/>
    <s v="20015"/>
    <s v="02/08/2018 18:26"/>
    <s v="31/07/2018 07:14"/>
    <d v="2018-07-31T00:00:00"/>
    <s v="02/08/2018 18:24"/>
    <d v="2018-08-02T00:00:00"/>
    <x v="17"/>
    <s v="S7071"/>
    <n v="24.595199999999998"/>
    <n v="2044.0274999999999"/>
    <n v="2606.25"/>
    <n v="16267.5"/>
    <n v="101171.28749999999"/>
    <n v="1569.75"/>
    <n v="99601.537499999991"/>
    <s v="PKG27"/>
  </r>
  <r>
    <x v="0"/>
    <s v="SPONSOR"/>
    <s v="CREDIT"/>
    <x v="83"/>
    <s v="SPON5"/>
    <s v="DOC31"/>
    <x v="1"/>
    <s v="10013"/>
    <s v="01/08/2018 18:59"/>
    <s v="31/07/2018 07:25"/>
    <d v="2018-07-31T00:00:00"/>
    <s v="01/08/2018 18:56"/>
    <d v="2018-08-01T00:00:00"/>
    <x v="0"/>
    <s v="S7071"/>
    <n v="267.13747499999999"/>
    <n v="0"/>
    <n v="11364.75"/>
    <n v="6655.5"/>
    <n v="58380.959999999999"/>
    <n v="0"/>
    <n v="58380.959999999999"/>
    <s v="PKG28"/>
  </r>
  <r>
    <x v="0"/>
    <s v="GENERAL"/>
    <s v="CASH"/>
    <x v="84"/>
    <s v="SPON1"/>
    <s v="DOC20"/>
    <x v="0"/>
    <s v="10015"/>
    <s v="01/08/2018 17:56"/>
    <s v="31/07/2018 07:49"/>
    <d v="2018-07-31T00:00:00"/>
    <s v="01/08/2018 17:54"/>
    <d v="2018-08-01T00:00:00"/>
    <x v="0"/>
    <s v="S0643"/>
    <n v="0"/>
    <n v="0"/>
    <n v="1976.25"/>
    <n v="46500"/>
    <n v="138364.875"/>
    <n v="0"/>
    <n v="138364.875"/>
    <m/>
  </r>
  <r>
    <x v="0"/>
    <s v="SPONSOR"/>
    <s v="CREDIT"/>
    <x v="85"/>
    <s v="SPON16"/>
    <s v="DOC25"/>
    <x v="0"/>
    <s v="10002"/>
    <s v="01/08/2018 12:50"/>
    <s v="31/07/2018 08:02"/>
    <d v="2018-07-31T00:00:00"/>
    <s v="01/08/2018 12:49"/>
    <d v="2018-08-01T00:00:00"/>
    <x v="0"/>
    <s v="S1787"/>
    <n v="0"/>
    <n v="0"/>
    <n v="0"/>
    <n v="10875"/>
    <n v="10875"/>
    <n v="0"/>
    <n v="10875"/>
    <s v="PKG17"/>
  </r>
  <r>
    <x v="0"/>
    <s v="GENERAL"/>
    <s v="CASH"/>
    <x v="86"/>
    <s v="SPON1"/>
    <s v="DOC15"/>
    <x v="9"/>
    <s v="10016"/>
    <s v="01/08/2018 17:58"/>
    <s v="31/07/2018 11:11"/>
    <d v="2018-07-31T00:00:00"/>
    <s v="01/08/2018 17:57"/>
    <d v="2018-08-01T00:00:00"/>
    <x v="0"/>
    <s v="S0643"/>
    <n v="0"/>
    <n v="0"/>
    <n v="0"/>
    <n v="9750"/>
    <n v="9750"/>
    <n v="9750"/>
    <n v="0"/>
    <m/>
  </r>
  <r>
    <x v="0"/>
    <s v="SPONSOR"/>
    <s v="CREDIT"/>
    <x v="87"/>
    <s v="SPON4"/>
    <s v="DOC28"/>
    <x v="16"/>
    <s v="10020"/>
    <s v="01/08/2018 20:04"/>
    <s v="31/07/2018 11:39"/>
    <d v="2018-07-31T00:00:00"/>
    <s v="01/08/2018 20:02"/>
    <d v="2018-08-01T00:00:00"/>
    <x v="0"/>
    <s v="S6197"/>
    <n v="0"/>
    <n v="0"/>
    <n v="0"/>
    <n v="86884.5"/>
    <n v="86884.5"/>
    <n v="0"/>
    <n v="86884.5"/>
    <m/>
  </r>
  <r>
    <x v="0"/>
    <s v="GENERAL"/>
    <s v="CASH"/>
    <x v="88"/>
    <s v="SPON1"/>
    <s v="DOC33"/>
    <x v="2"/>
    <s v="20014"/>
    <s v="02/08/2018 18:22"/>
    <s v="31/07/2018 11:52"/>
    <d v="2018-07-31T00:00:00"/>
    <s v="02/08/2018 18:20"/>
    <d v="2018-08-02T00:00:00"/>
    <x v="17"/>
    <s v="S2438"/>
    <n v="0"/>
    <n v="0"/>
    <n v="0"/>
    <n v="55500"/>
    <n v="55500"/>
    <n v="0"/>
    <n v="55500"/>
    <m/>
  </r>
  <r>
    <x v="0"/>
    <s v="SPONSOR"/>
    <s v="CREDIT"/>
    <x v="89"/>
    <s v="SPON7"/>
    <s v="DOC5"/>
    <x v="11"/>
    <s v="10028"/>
    <s v="01/08/2018 20:14"/>
    <s v="31/07/2018 11:55"/>
    <d v="2018-07-31T00:00:00"/>
    <s v="01/08/2018 20:11"/>
    <d v="2018-08-01T00:00:00"/>
    <x v="0"/>
    <s v="S1787"/>
    <n v="57.12"/>
    <n v="0"/>
    <n v="15015"/>
    <n v="375"/>
    <n v="30000"/>
    <n v="30000"/>
    <n v="0"/>
    <m/>
  </r>
  <r>
    <x v="0"/>
    <s v="SPONSOR"/>
    <s v="CREDIT"/>
    <x v="90"/>
    <s v="SPON7"/>
    <s v="DOC5"/>
    <x v="11"/>
    <s v="10035"/>
    <s v="01/08/2018 20:44"/>
    <s v="31/07/2018 12:01"/>
    <d v="2018-07-31T00:00:00"/>
    <s v="01/08/2018 20:42"/>
    <d v="2018-08-01T00:00:00"/>
    <x v="0"/>
    <s v="S1248"/>
    <n v="136.9308"/>
    <n v="0"/>
    <n v="4601.25"/>
    <n v="1875"/>
    <n v="62667.097500000003"/>
    <n v="62667"/>
    <n v="9.750000000349246E-2"/>
    <m/>
  </r>
  <r>
    <x v="0"/>
    <s v="SPONSOR"/>
    <s v="CREDIT"/>
    <x v="91"/>
    <s v="SPON3"/>
    <s v="DOC27"/>
    <x v="0"/>
    <s v="10031"/>
    <s v="01/08/2018 20:19"/>
    <s v="31/07/2018 12:43"/>
    <d v="2018-07-31T00:00:00"/>
    <s v="01/08/2018 20:16"/>
    <d v="2018-08-01T00:00:00"/>
    <x v="0"/>
    <s v="S1787"/>
    <n v="44.099999999999994"/>
    <n v="99"/>
    <n v="0"/>
    <n v="3000"/>
    <n v="22460.017499999998"/>
    <n v="0"/>
    <n v="22460.017499999998"/>
    <m/>
  </r>
  <r>
    <x v="0"/>
    <s v="GENERAL"/>
    <s v="CASH"/>
    <x v="92"/>
    <s v="SPON1"/>
    <s v="DOC14"/>
    <x v="6"/>
    <s v="20013"/>
    <s v="02/08/2018 18:05"/>
    <s v="31/07/2018 13:14"/>
    <d v="2018-07-31T00:00:00"/>
    <s v="02/08/2018 18:04"/>
    <d v="2018-08-02T00:00:00"/>
    <x v="17"/>
    <s v="S1271"/>
    <n v="56.699999999999996"/>
    <n v="112.125"/>
    <n v="900"/>
    <n v="3712.5"/>
    <n v="135000"/>
    <n v="135000"/>
    <n v="0"/>
    <m/>
  </r>
  <r>
    <x v="0"/>
    <s v="SPONSOR"/>
    <s v="CREDIT"/>
    <x v="93"/>
    <s v="SPON3"/>
    <s v="DOC2"/>
    <x v="4"/>
    <s v="10007"/>
    <s v="01/08/2018 18:09"/>
    <s v="31/07/2018 14:25"/>
    <d v="2018-07-31T00:00:00"/>
    <s v="01/08/2018 18:05"/>
    <d v="2018-08-01T00:00:00"/>
    <x v="0"/>
    <s v="S1248"/>
    <n v="0"/>
    <n v="0"/>
    <n v="0"/>
    <n v="375"/>
    <n v="375"/>
    <n v="375"/>
    <n v="0"/>
    <s v="PKG4"/>
  </r>
  <r>
    <x v="0"/>
    <s v="GENERAL"/>
    <s v="CASH"/>
    <x v="94"/>
    <s v="SPON1"/>
    <s v="DOC2"/>
    <x v="4"/>
    <s v="10002"/>
    <s v="01/08/2018 13:21"/>
    <s v="31/07/2018 15:12"/>
    <d v="2018-07-31T00:00:00"/>
    <s v="01/08/2018 13:18"/>
    <d v="2018-08-01T00:00:00"/>
    <x v="0"/>
    <s v="S2438"/>
    <n v="0"/>
    <n v="0"/>
    <n v="0"/>
    <n v="9375"/>
    <n v="9375"/>
    <n v="0"/>
    <n v="9375"/>
    <s v="PKG2"/>
  </r>
  <r>
    <x v="0"/>
    <s v="SPONSOR"/>
    <s v="CASH"/>
    <x v="95"/>
    <s v="SPON1"/>
    <s v="DOC23"/>
    <x v="0"/>
    <s v="10026"/>
    <s v="01/08/2018 20:09"/>
    <s v="31/07/2018 16:30"/>
    <d v="2018-07-31T00:00:00"/>
    <s v="01/08/2018 19:50"/>
    <d v="2018-08-01T00:00:00"/>
    <x v="0"/>
    <s v="S1248"/>
    <n v="0"/>
    <n v="35594.25"/>
    <n v="0"/>
    <n v="16107.75"/>
    <n v="51702"/>
    <n v="0"/>
    <n v="51702"/>
    <s v="PKG14"/>
  </r>
  <r>
    <x v="0"/>
    <s v="SPONSOR"/>
    <s v="CREDIT"/>
    <x v="95"/>
    <s v="SPON3"/>
    <s v="DOC23"/>
    <x v="0"/>
    <s v="10024"/>
    <s v="01/08/2018 20:09"/>
    <s v="31/07/2018 16:30"/>
    <d v="2018-07-31T00:00:00"/>
    <s v="01/08/2018 19:50"/>
    <d v="2018-08-01T00:00:00"/>
    <x v="0"/>
    <s v="S1248"/>
    <n v="0"/>
    <n v="0"/>
    <n v="0"/>
    <n v="30375"/>
    <n v="30375"/>
    <n v="0"/>
    <n v="30375"/>
    <s v="PKG14"/>
  </r>
  <r>
    <x v="0"/>
    <s v="GENERAL"/>
    <s v="CASH"/>
    <x v="96"/>
    <s v="SPON1"/>
    <s v="DOC15"/>
    <x v="9"/>
    <s v="20003"/>
    <s v="02/08/2018 12:37"/>
    <s v="31/07/2018 17:52"/>
    <d v="2018-07-31T00:00:00"/>
    <s v="02/08/2018 12:36"/>
    <d v="2018-08-02T00:00:00"/>
    <x v="17"/>
    <s v="S1271"/>
    <n v="161.28"/>
    <n v="0"/>
    <n v="18543.75"/>
    <n v="1601.25"/>
    <n v="79278"/>
    <n v="79278"/>
    <n v="0"/>
    <m/>
  </r>
  <r>
    <x v="0"/>
    <s v="SPONSOR"/>
    <s v="CREDIT"/>
    <x v="97"/>
    <s v="SPON11"/>
    <s v="DOC7"/>
    <x v="10"/>
    <s v="20019"/>
    <s v="02/08/2018 19:52"/>
    <s v="31/07/2018 18:28"/>
    <d v="2018-07-31T00:00:00"/>
    <s v="02/08/2018 19:51"/>
    <d v="2018-08-02T00:00:00"/>
    <x v="17"/>
    <s v="S1787"/>
    <n v="93.24"/>
    <n v="67.41"/>
    <n v="6832.5"/>
    <n v="900"/>
    <n v="11250"/>
    <n v="11250"/>
    <n v="0"/>
    <m/>
  </r>
  <r>
    <x v="0"/>
    <s v="SPONSOR"/>
    <s v="CREDIT"/>
    <x v="98"/>
    <s v="SPON15"/>
    <s v="DOC31"/>
    <x v="1"/>
    <s v="20024"/>
    <s v="02/08/2018 20:13"/>
    <s v="31/07/2018 21:06"/>
    <d v="2018-07-31T00:00:00"/>
    <s v="02/08/2018 20:12"/>
    <d v="2018-08-02T00:00:00"/>
    <x v="17"/>
    <s v="S6197"/>
    <n v="0"/>
    <n v="0"/>
    <n v="0"/>
    <n v="62625"/>
    <n v="62625"/>
    <n v="0"/>
    <n v="62625"/>
    <m/>
  </r>
</pivotCacheRecords>
</file>

<file path=xl/pivotCache/pivotCacheRecords4.xml><?xml version="1.0" encoding="utf-8"?>
<pivotCacheRecords xmlns="http://schemas.openxmlformats.org/spreadsheetml/2006/main" xmlns:r="http://schemas.openxmlformats.org/officeDocument/2006/relationships" count="104">
  <r>
    <x v="0"/>
    <x v="0"/>
    <x v="0"/>
  </r>
  <r>
    <x v="1"/>
    <x v="1"/>
    <x v="1"/>
  </r>
  <r>
    <x v="0"/>
    <x v="2"/>
    <x v="1"/>
  </r>
  <r>
    <x v="1"/>
    <x v="3"/>
    <x v="1"/>
  </r>
  <r>
    <x v="1"/>
    <x v="4"/>
    <x v="1"/>
  </r>
  <r>
    <x v="0"/>
    <x v="5"/>
    <x v="1"/>
  </r>
  <r>
    <x v="1"/>
    <x v="6"/>
    <x v="2"/>
  </r>
  <r>
    <x v="0"/>
    <x v="7"/>
    <x v="0"/>
  </r>
  <r>
    <x v="0"/>
    <x v="8"/>
    <x v="2"/>
  </r>
  <r>
    <x v="1"/>
    <x v="9"/>
    <x v="2"/>
  </r>
  <r>
    <x v="1"/>
    <x v="10"/>
    <x v="1"/>
  </r>
  <r>
    <x v="1"/>
    <x v="11"/>
    <x v="2"/>
  </r>
  <r>
    <x v="1"/>
    <x v="12"/>
    <x v="2"/>
  </r>
  <r>
    <x v="0"/>
    <x v="13"/>
    <x v="1"/>
  </r>
  <r>
    <x v="0"/>
    <x v="1"/>
    <x v="1"/>
  </r>
  <r>
    <x v="0"/>
    <x v="14"/>
    <x v="2"/>
  </r>
  <r>
    <x v="0"/>
    <x v="15"/>
    <x v="2"/>
  </r>
  <r>
    <x v="1"/>
    <x v="16"/>
    <x v="0"/>
  </r>
  <r>
    <x v="1"/>
    <x v="17"/>
    <x v="1"/>
  </r>
  <r>
    <x v="1"/>
    <x v="18"/>
    <x v="2"/>
  </r>
  <r>
    <x v="1"/>
    <x v="19"/>
    <x v="2"/>
  </r>
  <r>
    <x v="1"/>
    <x v="20"/>
    <x v="1"/>
  </r>
  <r>
    <x v="0"/>
    <x v="16"/>
    <x v="0"/>
  </r>
  <r>
    <x v="1"/>
    <x v="21"/>
    <x v="0"/>
  </r>
  <r>
    <x v="1"/>
    <x v="22"/>
    <x v="0"/>
  </r>
  <r>
    <x v="1"/>
    <x v="23"/>
    <x v="1"/>
  </r>
  <r>
    <x v="1"/>
    <x v="24"/>
    <x v="1"/>
  </r>
  <r>
    <x v="1"/>
    <x v="25"/>
    <x v="1"/>
  </r>
  <r>
    <x v="1"/>
    <x v="26"/>
    <x v="0"/>
  </r>
  <r>
    <x v="1"/>
    <x v="27"/>
    <x v="0"/>
  </r>
  <r>
    <x v="0"/>
    <x v="28"/>
    <x v="0"/>
  </r>
  <r>
    <x v="1"/>
    <x v="7"/>
    <x v="0"/>
  </r>
  <r>
    <x v="0"/>
    <x v="29"/>
    <x v="2"/>
  </r>
  <r>
    <x v="1"/>
    <x v="30"/>
    <x v="0"/>
  </r>
  <r>
    <x v="0"/>
    <x v="31"/>
    <x v="2"/>
  </r>
  <r>
    <x v="1"/>
    <x v="32"/>
    <x v="2"/>
  </r>
  <r>
    <x v="1"/>
    <x v="33"/>
    <x v="2"/>
  </r>
  <r>
    <x v="1"/>
    <x v="34"/>
    <x v="2"/>
  </r>
  <r>
    <x v="0"/>
    <x v="35"/>
    <x v="2"/>
  </r>
  <r>
    <x v="1"/>
    <x v="36"/>
    <x v="2"/>
  </r>
  <r>
    <x v="1"/>
    <x v="37"/>
    <x v="2"/>
  </r>
  <r>
    <x v="1"/>
    <x v="38"/>
    <x v="1"/>
  </r>
  <r>
    <x v="0"/>
    <x v="39"/>
    <x v="2"/>
  </r>
  <r>
    <x v="1"/>
    <x v="40"/>
    <x v="1"/>
  </r>
  <r>
    <x v="1"/>
    <x v="41"/>
    <x v="1"/>
  </r>
  <r>
    <x v="0"/>
    <x v="42"/>
    <x v="0"/>
  </r>
  <r>
    <x v="0"/>
    <x v="43"/>
    <x v="2"/>
  </r>
  <r>
    <x v="1"/>
    <x v="44"/>
    <x v="2"/>
  </r>
  <r>
    <x v="1"/>
    <x v="45"/>
    <x v="2"/>
  </r>
  <r>
    <x v="1"/>
    <x v="46"/>
    <x v="2"/>
  </r>
  <r>
    <x v="1"/>
    <x v="47"/>
    <x v="1"/>
  </r>
  <r>
    <x v="1"/>
    <x v="48"/>
    <x v="2"/>
  </r>
  <r>
    <x v="0"/>
    <x v="7"/>
    <x v="0"/>
  </r>
  <r>
    <x v="1"/>
    <x v="49"/>
    <x v="2"/>
  </r>
  <r>
    <x v="1"/>
    <x v="50"/>
    <x v="2"/>
  </r>
  <r>
    <x v="1"/>
    <x v="51"/>
    <x v="1"/>
  </r>
  <r>
    <x v="1"/>
    <x v="52"/>
    <x v="1"/>
  </r>
  <r>
    <x v="0"/>
    <x v="1"/>
    <x v="1"/>
  </r>
  <r>
    <x v="0"/>
    <x v="50"/>
    <x v="2"/>
  </r>
  <r>
    <x v="1"/>
    <x v="53"/>
    <x v="2"/>
  </r>
  <r>
    <x v="1"/>
    <x v="54"/>
    <x v="0"/>
  </r>
  <r>
    <x v="1"/>
    <x v="55"/>
    <x v="2"/>
  </r>
  <r>
    <x v="1"/>
    <x v="56"/>
    <x v="2"/>
  </r>
  <r>
    <x v="1"/>
    <x v="57"/>
    <x v="2"/>
  </r>
  <r>
    <x v="1"/>
    <x v="58"/>
    <x v="1"/>
  </r>
  <r>
    <x v="0"/>
    <x v="59"/>
    <x v="1"/>
  </r>
  <r>
    <x v="0"/>
    <x v="60"/>
    <x v="2"/>
  </r>
  <r>
    <x v="0"/>
    <x v="61"/>
    <x v="2"/>
  </r>
  <r>
    <x v="1"/>
    <x v="62"/>
    <x v="0"/>
  </r>
  <r>
    <x v="0"/>
    <x v="1"/>
    <x v="1"/>
  </r>
  <r>
    <x v="1"/>
    <x v="63"/>
    <x v="2"/>
  </r>
  <r>
    <x v="0"/>
    <x v="64"/>
    <x v="2"/>
  </r>
  <r>
    <x v="1"/>
    <x v="65"/>
    <x v="2"/>
  </r>
  <r>
    <x v="1"/>
    <x v="66"/>
    <x v="2"/>
  </r>
  <r>
    <x v="0"/>
    <x v="67"/>
    <x v="2"/>
  </r>
  <r>
    <x v="1"/>
    <x v="68"/>
    <x v="2"/>
  </r>
  <r>
    <x v="0"/>
    <x v="19"/>
    <x v="2"/>
  </r>
  <r>
    <x v="0"/>
    <x v="69"/>
    <x v="2"/>
  </r>
  <r>
    <x v="1"/>
    <x v="70"/>
    <x v="2"/>
  </r>
  <r>
    <x v="0"/>
    <x v="71"/>
    <x v="2"/>
  </r>
  <r>
    <x v="1"/>
    <x v="72"/>
    <x v="0"/>
  </r>
  <r>
    <x v="0"/>
    <x v="7"/>
    <x v="0"/>
  </r>
  <r>
    <x v="1"/>
    <x v="34"/>
    <x v="2"/>
  </r>
  <r>
    <x v="0"/>
    <x v="73"/>
    <x v="2"/>
  </r>
  <r>
    <x v="0"/>
    <x v="74"/>
    <x v="2"/>
  </r>
  <r>
    <x v="0"/>
    <x v="75"/>
    <x v="1"/>
  </r>
  <r>
    <x v="1"/>
    <x v="76"/>
    <x v="1"/>
  </r>
  <r>
    <x v="1"/>
    <x v="77"/>
    <x v="2"/>
  </r>
  <r>
    <x v="0"/>
    <x v="78"/>
    <x v="1"/>
  </r>
  <r>
    <x v="1"/>
    <x v="50"/>
    <x v="2"/>
  </r>
  <r>
    <x v="0"/>
    <x v="28"/>
    <x v="0"/>
  </r>
  <r>
    <x v="1"/>
    <x v="79"/>
    <x v="2"/>
  </r>
  <r>
    <x v="0"/>
    <x v="80"/>
    <x v="2"/>
  </r>
  <r>
    <x v="1"/>
    <x v="19"/>
    <x v="2"/>
  </r>
  <r>
    <x v="1"/>
    <x v="81"/>
    <x v="2"/>
  </r>
  <r>
    <x v="1"/>
    <x v="82"/>
    <x v="2"/>
  </r>
  <r>
    <x v="0"/>
    <x v="83"/>
    <x v="1"/>
  </r>
  <r>
    <x v="1"/>
    <x v="84"/>
    <x v="0"/>
  </r>
  <r>
    <x v="0"/>
    <x v="7"/>
    <x v="0"/>
  </r>
  <r>
    <x v="0"/>
    <x v="85"/>
    <x v="2"/>
  </r>
  <r>
    <x v="1"/>
    <x v="86"/>
    <x v="2"/>
  </r>
  <r>
    <x v="0"/>
    <x v="87"/>
    <x v="2"/>
  </r>
  <r>
    <x v="1"/>
    <x v="88"/>
    <x v="2"/>
  </r>
  <r>
    <x v="1"/>
    <x v="89"/>
    <x v="2"/>
  </r>
</pivotCacheRecords>
</file>

<file path=xl/pivotCache/pivotCacheRecords5.xml><?xml version="1.0" encoding="utf-8"?>
<pivotCacheRecords xmlns="http://schemas.openxmlformats.org/spreadsheetml/2006/main" xmlns:r="http://schemas.openxmlformats.org/officeDocument/2006/relationships" count="104">
  <r>
    <s v="3157"/>
    <s v="CASH"/>
    <x v="0"/>
    <x v="0"/>
    <m/>
  </r>
  <r>
    <s v="3160"/>
    <s v="CREDIT"/>
    <x v="1"/>
    <x v="1"/>
    <m/>
  </r>
  <r>
    <s v="3165"/>
    <s v="CASH"/>
    <x v="2"/>
    <x v="1"/>
    <m/>
  </r>
  <r>
    <s v="3167"/>
    <s v="CREDIT"/>
    <x v="3"/>
    <x v="1"/>
    <m/>
  </r>
  <r>
    <s v="3169"/>
    <s v="CREDIT"/>
    <x v="4"/>
    <x v="1"/>
    <m/>
  </r>
  <r>
    <s v="3170"/>
    <s v="CASH"/>
    <x v="5"/>
    <x v="1"/>
    <m/>
  </r>
  <r>
    <s v="3172"/>
    <s v="CREDIT"/>
    <x v="6"/>
    <x v="2"/>
    <m/>
  </r>
  <r>
    <s v="3173"/>
    <s v="CASH"/>
    <x v="7"/>
    <x v="0"/>
    <m/>
  </r>
  <r>
    <s v="3174"/>
    <s v="CASH"/>
    <x v="8"/>
    <x v="2"/>
    <m/>
  </r>
  <r>
    <s v="3175"/>
    <s v="CREDIT"/>
    <x v="9"/>
    <x v="2"/>
    <m/>
  </r>
  <r>
    <s v="3176"/>
    <s v="CREDIT"/>
    <x v="10"/>
    <x v="1"/>
    <m/>
  </r>
  <r>
    <s v="3183"/>
    <s v="CREDIT"/>
    <x v="11"/>
    <x v="2"/>
    <m/>
  </r>
  <r>
    <s v="3184"/>
    <s v="CREDIT"/>
    <x v="12"/>
    <x v="2"/>
    <m/>
  </r>
  <r>
    <s v="3185"/>
    <s v="CASH"/>
    <x v="13"/>
    <x v="1"/>
    <m/>
  </r>
  <r>
    <s v="3187"/>
    <s v="CASH"/>
    <x v="1"/>
    <x v="1"/>
    <m/>
  </r>
  <r>
    <s v="3190"/>
    <s v="CASH"/>
    <x v="14"/>
    <x v="2"/>
    <m/>
  </r>
  <r>
    <s v="3250"/>
    <s v="CASH"/>
    <x v="15"/>
    <x v="2"/>
    <m/>
  </r>
  <r>
    <s v="1294"/>
    <s v="CREDIT"/>
    <x v="16"/>
    <x v="0"/>
    <m/>
  </r>
  <r>
    <s v="1508"/>
    <s v="CREDIT"/>
    <x v="17"/>
    <x v="1"/>
    <m/>
  </r>
  <r>
    <s v="1612"/>
    <s v="CREDIT"/>
    <x v="18"/>
    <x v="2"/>
    <m/>
  </r>
  <r>
    <s v="1744"/>
    <s v="CREDIT"/>
    <x v="19"/>
    <x v="2"/>
    <m/>
  </r>
  <r>
    <s v="1982"/>
    <s v="CREDIT"/>
    <x v="20"/>
    <x v="1"/>
    <m/>
  </r>
  <r>
    <s v="2011"/>
    <s v="CASH"/>
    <x v="16"/>
    <x v="0"/>
    <m/>
  </r>
  <r>
    <s v="2432"/>
    <s v="CREDIT"/>
    <x v="21"/>
    <x v="0"/>
    <m/>
  </r>
  <r>
    <s v="2493"/>
    <s v="CREDIT"/>
    <x v="22"/>
    <x v="0"/>
    <m/>
  </r>
  <r>
    <s v="2677"/>
    <s v="CREDIT"/>
    <x v="23"/>
    <x v="1"/>
    <m/>
  </r>
  <r>
    <s v="2730"/>
    <s v="CREDIT"/>
    <x v="24"/>
    <x v="1"/>
    <m/>
  </r>
  <r>
    <s v="2755"/>
    <s v="CREDIT"/>
    <x v="25"/>
    <x v="1"/>
    <m/>
  </r>
  <r>
    <s v="2759"/>
    <s v="CREDIT"/>
    <x v="26"/>
    <x v="0"/>
    <m/>
  </r>
  <r>
    <s v="2807"/>
    <s v="CREDIT"/>
    <x v="27"/>
    <x v="0"/>
    <m/>
  </r>
  <r>
    <s v="2813"/>
    <s v="CASH"/>
    <x v="28"/>
    <x v="0"/>
    <m/>
  </r>
  <r>
    <s v="2826"/>
    <s v="CREDIT"/>
    <x v="7"/>
    <x v="0"/>
    <m/>
  </r>
  <r>
    <s v="2876"/>
    <s v="CASH"/>
    <x v="29"/>
    <x v="2"/>
    <m/>
  </r>
  <r>
    <s v="2876"/>
    <s v="CREDIT"/>
    <x v="30"/>
    <x v="0"/>
    <m/>
  </r>
  <r>
    <s v="2877"/>
    <s v="CASH"/>
    <x v="31"/>
    <x v="2"/>
    <m/>
  </r>
  <r>
    <s v="2883"/>
    <s v="CREDIT"/>
    <x v="32"/>
    <x v="2"/>
    <m/>
  </r>
  <r>
    <s v="2892"/>
    <s v="CREDIT"/>
    <x v="33"/>
    <x v="2"/>
    <m/>
  </r>
  <r>
    <s v="2897"/>
    <s v="CREDIT"/>
    <x v="34"/>
    <x v="2"/>
    <m/>
  </r>
  <r>
    <s v="2900"/>
    <s v="CASH"/>
    <x v="35"/>
    <x v="2"/>
    <m/>
  </r>
  <r>
    <s v="0973"/>
    <s v="CREDIT"/>
    <x v="36"/>
    <x v="2"/>
    <m/>
  </r>
  <r>
    <s v="2918"/>
    <s v="CREDIT"/>
    <x v="37"/>
    <x v="2"/>
    <m/>
  </r>
  <r>
    <s v="2921"/>
    <s v="CREDIT"/>
    <x v="38"/>
    <x v="1"/>
    <m/>
  </r>
  <r>
    <s v="2937"/>
    <s v="CASH"/>
    <x v="39"/>
    <x v="2"/>
    <m/>
  </r>
  <r>
    <s v="2941"/>
    <s v="CREDIT"/>
    <x v="40"/>
    <x v="1"/>
    <m/>
  </r>
  <r>
    <s v="2948"/>
    <s v="CREDIT"/>
    <x v="41"/>
    <x v="1"/>
    <m/>
  </r>
  <r>
    <s v="2953"/>
    <s v="CASH"/>
    <x v="42"/>
    <x v="0"/>
    <m/>
  </r>
  <r>
    <s v="2962"/>
    <s v="CASH"/>
    <x v="43"/>
    <x v="2"/>
    <m/>
  </r>
  <r>
    <s v="2962"/>
    <s v="CREDIT"/>
    <x v="44"/>
    <x v="2"/>
    <m/>
  </r>
  <r>
    <s v="2969"/>
    <s v="CREDIT"/>
    <x v="45"/>
    <x v="2"/>
    <m/>
  </r>
  <r>
    <s v="2970"/>
    <s v="CREDIT"/>
    <x v="46"/>
    <x v="2"/>
    <m/>
  </r>
  <r>
    <s v="2978"/>
    <s v="CREDIT"/>
    <x v="47"/>
    <x v="1"/>
    <m/>
  </r>
  <r>
    <s v="2979"/>
    <s v="CREDIT"/>
    <x v="48"/>
    <x v="2"/>
    <m/>
  </r>
  <r>
    <s v="2986"/>
    <s v="CASH"/>
    <x v="7"/>
    <x v="0"/>
    <m/>
  </r>
  <r>
    <s v="2988"/>
    <s v="CREDIT"/>
    <x v="49"/>
    <x v="2"/>
    <m/>
  </r>
  <r>
    <s v="2989"/>
    <s v="CREDIT"/>
    <x v="50"/>
    <x v="2"/>
    <m/>
  </r>
  <r>
    <s v="2991"/>
    <s v="CREDIT"/>
    <x v="51"/>
    <x v="1"/>
    <m/>
  </r>
  <r>
    <s v="2992"/>
    <s v="CREDIT"/>
    <x v="52"/>
    <x v="1"/>
    <m/>
  </r>
  <r>
    <s v="2993"/>
    <s v="CASH"/>
    <x v="1"/>
    <x v="1"/>
    <m/>
  </r>
  <r>
    <s v="2995"/>
    <s v="CASH"/>
    <x v="50"/>
    <x v="2"/>
    <m/>
  </r>
  <r>
    <s v="3000"/>
    <s v="CREDIT"/>
    <x v="53"/>
    <x v="2"/>
    <m/>
  </r>
  <r>
    <s v="3001"/>
    <s v="CREDIT"/>
    <x v="54"/>
    <x v="0"/>
    <m/>
  </r>
  <r>
    <s v="3006"/>
    <s v="CREDIT"/>
    <x v="55"/>
    <x v="2"/>
    <m/>
  </r>
  <r>
    <s v="3009"/>
    <s v="CREDIT"/>
    <x v="56"/>
    <x v="2"/>
    <m/>
  </r>
  <r>
    <s v="3015"/>
    <s v="CREDIT"/>
    <x v="57"/>
    <x v="2"/>
    <m/>
  </r>
  <r>
    <s v="3018"/>
    <s v="CREDIT"/>
    <x v="58"/>
    <x v="1"/>
    <m/>
  </r>
  <r>
    <s v="3027"/>
    <s v="CASH"/>
    <x v="59"/>
    <x v="1"/>
    <m/>
  </r>
  <r>
    <s v="3037"/>
    <s v="CASH"/>
    <x v="60"/>
    <x v="2"/>
    <m/>
  </r>
  <r>
    <s v="3039"/>
    <s v="CASH"/>
    <x v="61"/>
    <x v="2"/>
    <m/>
  </r>
  <r>
    <s v="3039"/>
    <s v="CREDIT"/>
    <x v="62"/>
    <x v="0"/>
    <m/>
  </r>
  <r>
    <s v="3042"/>
    <s v="CASH"/>
    <x v="1"/>
    <x v="1"/>
    <m/>
  </r>
  <r>
    <s v="3043"/>
    <s v="CREDIT"/>
    <x v="63"/>
    <x v="2"/>
    <m/>
  </r>
  <r>
    <s v="3048"/>
    <s v="CASH"/>
    <x v="64"/>
    <x v="2"/>
    <m/>
  </r>
  <r>
    <s v="3048"/>
    <s v="CREDIT"/>
    <x v="65"/>
    <x v="2"/>
    <m/>
  </r>
  <r>
    <s v="3051"/>
    <s v="CREDIT"/>
    <x v="66"/>
    <x v="2"/>
    <m/>
  </r>
  <r>
    <s v="3057"/>
    <s v="CASH"/>
    <x v="67"/>
    <x v="2"/>
    <m/>
  </r>
  <r>
    <s v="3059"/>
    <s v="CREDIT"/>
    <x v="68"/>
    <x v="2"/>
    <m/>
  </r>
  <r>
    <s v="3060"/>
    <s v="CASH"/>
    <x v="19"/>
    <x v="2"/>
    <m/>
  </r>
  <r>
    <s v="3061"/>
    <s v="CASH"/>
    <x v="69"/>
    <x v="2"/>
    <m/>
  </r>
  <r>
    <s v="3068"/>
    <s v="CREDIT"/>
    <x v="70"/>
    <x v="2"/>
    <m/>
  </r>
  <r>
    <s v="3069"/>
    <s v="CASH"/>
    <x v="71"/>
    <x v="2"/>
    <m/>
  </r>
  <r>
    <s v="3071"/>
    <s v="CREDIT"/>
    <x v="72"/>
    <x v="0"/>
    <m/>
  </r>
  <r>
    <s v="3077"/>
    <s v="CASH"/>
    <x v="7"/>
    <x v="0"/>
    <m/>
  </r>
  <r>
    <s v="3080"/>
    <s v="CREDIT"/>
    <x v="34"/>
    <x v="2"/>
    <m/>
  </r>
  <r>
    <s v="3081"/>
    <s v="CASH"/>
    <x v="73"/>
    <x v="2"/>
    <m/>
  </r>
  <r>
    <s v="3082"/>
    <s v="CASH"/>
    <x v="74"/>
    <x v="2"/>
    <m/>
  </r>
  <r>
    <s v="3084"/>
    <s v="CASH"/>
    <x v="75"/>
    <x v="1"/>
    <m/>
  </r>
  <r>
    <s v="3085"/>
    <s v="CREDIT"/>
    <x v="76"/>
    <x v="1"/>
    <m/>
  </r>
  <r>
    <s v="3086"/>
    <s v="CREDIT"/>
    <x v="77"/>
    <x v="2"/>
    <m/>
  </r>
  <r>
    <s v="3089"/>
    <s v="CASH"/>
    <x v="78"/>
    <x v="1"/>
    <m/>
  </r>
  <r>
    <s v="3090"/>
    <s v="CREDIT"/>
    <x v="50"/>
    <x v="2"/>
    <m/>
  </r>
  <r>
    <s v="3100"/>
    <s v="CASH"/>
    <x v="28"/>
    <x v="0"/>
    <m/>
  </r>
  <r>
    <s v="3104"/>
    <s v="CREDIT"/>
    <x v="79"/>
    <x v="2"/>
    <m/>
  </r>
  <r>
    <s v="3105"/>
    <s v="CASH"/>
    <x v="80"/>
    <x v="2"/>
    <m/>
  </r>
  <r>
    <s v="3106"/>
    <s v="CREDIT"/>
    <x v="19"/>
    <x v="2"/>
    <m/>
  </r>
  <r>
    <s v="3107"/>
    <s v="CREDIT"/>
    <x v="81"/>
    <x v="2"/>
    <m/>
  </r>
  <r>
    <s v="3114"/>
    <s v="CREDIT"/>
    <x v="82"/>
    <x v="2"/>
    <m/>
  </r>
  <r>
    <s v="3120"/>
    <s v="CASH"/>
    <x v="83"/>
    <x v="1"/>
    <m/>
  </r>
  <r>
    <s v="3124"/>
    <s v="CREDIT"/>
    <x v="84"/>
    <x v="0"/>
    <m/>
  </r>
  <r>
    <s v="3126"/>
    <s v="CASH"/>
    <x v="7"/>
    <x v="0"/>
    <m/>
  </r>
  <r>
    <s v="3130"/>
    <s v="CASH"/>
    <x v="85"/>
    <x v="2"/>
    <m/>
  </r>
  <r>
    <s v="3130"/>
    <s v="CREDIT"/>
    <x v="86"/>
    <x v="2"/>
    <m/>
  </r>
  <r>
    <s v="3135"/>
    <s v="CASH"/>
    <x v="87"/>
    <x v="2"/>
    <m/>
  </r>
  <r>
    <s v="3141"/>
    <s v="CREDIT"/>
    <x v="88"/>
    <x v="2"/>
    <m/>
  </r>
  <r>
    <s v="3146"/>
    <s v="CREDIT"/>
    <x v="89"/>
    <x v="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93"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A3:H84" firstHeaderRow="1" firstDataRow="3" firstDataCol="2"/>
  <pivotFields count="20">
    <pivotField compact="0" outline="0" showAll="0" includeNewItemsInFilter="1">
      <items count="4">
        <item x="1"/>
        <item x="0"/>
        <item x="2"/>
        <item t="default"/>
      </items>
    </pivotField>
    <pivotField compact="0" outline="0" showAll="0" includeNewItemsInFilter="1">
      <items count="4">
        <item x="0"/>
        <item x="1"/>
        <item x="2"/>
        <item t="default"/>
      </items>
    </pivotField>
    <pivotField axis="axisCol" compact="0" outline="0" showAll="0" includeNewItemsInFilter="1">
      <items count="4">
        <item x="0"/>
        <item x="1"/>
        <item n="NA" h="1" x="2"/>
        <item t="default"/>
      </items>
    </pivotField>
    <pivotField dataField="1" compact="0" outline="0" showAll="0" includeNewItemsInFilter="1">
      <items count="101">
        <item x="38"/>
        <item x="17"/>
        <item x="18"/>
        <item x="19"/>
        <item x="20"/>
        <item x="21"/>
        <item x="22"/>
        <item x="23"/>
        <item x="24"/>
        <item x="25"/>
        <item x="26"/>
        <item x="27"/>
        <item x="28"/>
        <item x="29"/>
        <item x="30"/>
        <item x="31"/>
        <item x="32"/>
        <item x="33"/>
        <item x="34"/>
        <item x="35"/>
        <item x="36"/>
        <item x="37"/>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0"/>
        <item x="1"/>
        <item x="2"/>
        <item x="3"/>
        <item x="4"/>
        <item x="5"/>
        <item x="6"/>
        <item x="7"/>
        <item x="8"/>
        <item x="9"/>
        <item x="10"/>
        <item x="11"/>
        <item x="12"/>
        <item x="13"/>
        <item x="14"/>
        <item x="15"/>
        <item x="16"/>
        <item x="99"/>
        <item t="default"/>
      </items>
    </pivotField>
    <pivotField axis="axisRow" compact="0" outline="0" showAll="0" includeNewItemsInFilter="1" sortType="descending">
      <items count="23">
        <item x="0"/>
        <item x="14"/>
        <item x="5"/>
        <item x="12"/>
        <item x="6"/>
        <item x="11"/>
        <item x="7"/>
        <item x="18"/>
        <item x="15"/>
        <item x="19"/>
        <item x="16"/>
        <item x="4"/>
        <item x="2"/>
        <item x="13"/>
        <item x="8"/>
        <item x="17"/>
        <item x="1"/>
        <item x="3"/>
        <item x="20"/>
        <item x="10"/>
        <item x="9"/>
        <item x="21"/>
        <item t="default"/>
      </items>
      <autoSortScope>
        <pivotArea dataOnly="0" outline="0" fieldPosition="0">
          <references count="1">
            <reference field="4294967294" count="1" selected="0">
              <x v="1"/>
            </reference>
          </references>
        </pivotArea>
      </autoSortScope>
    </pivotField>
    <pivotField compact="0" outline="0" showAll="0" includeNewItemsInFilter="1">
      <items count="36">
        <item x="17"/>
        <item x="23"/>
        <item x="29"/>
        <item x="30"/>
        <item x="9"/>
        <item x="33"/>
        <item x="31"/>
        <item x="13"/>
        <item x="10"/>
        <item x="12"/>
        <item x="7"/>
        <item x="4"/>
        <item x="0"/>
        <item x="25"/>
        <item x="27"/>
        <item x="26"/>
        <item x="14"/>
        <item x="28"/>
        <item x="22"/>
        <item x="21"/>
        <item x="32"/>
        <item x="5"/>
        <item x="24"/>
        <item x="8"/>
        <item x="1"/>
        <item x="2"/>
        <item x="6"/>
        <item x="3"/>
        <item x="19"/>
        <item x="16"/>
        <item x="18"/>
        <item x="15"/>
        <item x="20"/>
        <item x="11"/>
        <item x="34"/>
        <item t="default"/>
      </items>
    </pivotField>
    <pivotField axis="axisRow" compact="0" outline="0" showAll="0" includeNewItemsInFilter="1">
      <items count="19">
        <item x="12"/>
        <item x="9"/>
        <item x="7"/>
        <item x="0"/>
        <item x="16"/>
        <item x="5"/>
        <item x="1"/>
        <item x="2"/>
        <item x="3"/>
        <item x="4"/>
        <item x="11"/>
        <item x="13"/>
        <item x="10"/>
        <item x="8"/>
        <item x="14"/>
        <item x="15"/>
        <item x="6"/>
        <item x="17"/>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compact="0" outline="0" showAll="0" includeNewItemsInFilter="1"/>
    <pivotField dataField="1" compact="0" outline="0" showAll="0" includeNewItemsInFilter="1">
      <items count="92">
        <item x="42"/>
        <item x="84"/>
        <item x="21"/>
        <item x="30"/>
        <item x="22"/>
        <item x="27"/>
        <item x="26"/>
        <item x="62"/>
        <item x="16"/>
        <item x="72"/>
        <item x="0"/>
        <item x="7"/>
        <item x="54"/>
        <item x="28"/>
        <item x="50"/>
        <item x="9"/>
        <item x="88"/>
        <item x="43"/>
        <item x="66"/>
        <item x="60"/>
        <item x="57"/>
        <item x="14"/>
        <item x="55"/>
        <item x="48"/>
        <item x="29"/>
        <item x="82"/>
        <item x="74"/>
        <item x="68"/>
        <item x="37"/>
        <item x="18"/>
        <item x="19"/>
        <item x="86"/>
        <item x="49"/>
        <item x="32"/>
        <item x="45"/>
        <item x="39"/>
        <item x="73"/>
        <item x="63"/>
        <item x="8"/>
        <item x="65"/>
        <item x="70"/>
        <item x="85"/>
        <item x="80"/>
        <item x="71"/>
        <item x="77"/>
        <item x="31"/>
        <item x="89"/>
        <item x="81"/>
        <item x="64"/>
        <item x="36"/>
        <item x="67"/>
        <item x="56"/>
        <item x="34"/>
        <item x="15"/>
        <item x="61"/>
        <item x="87"/>
        <item x="6"/>
        <item x="44"/>
        <item x="12"/>
        <item x="79"/>
        <item x="11"/>
        <item x="33"/>
        <item x="35"/>
        <item x="46"/>
        <item x="53"/>
        <item x="69"/>
        <item x="76"/>
        <item x="3"/>
        <item x="23"/>
        <item x="41"/>
        <item x="5"/>
        <item x="13"/>
        <item x="51"/>
        <item x="52"/>
        <item x="83"/>
        <item x="1"/>
        <item x="2"/>
        <item x="78"/>
        <item x="75"/>
        <item x="58"/>
        <item x="17"/>
        <item x="10"/>
        <item x="47"/>
        <item x="59"/>
        <item x="20"/>
        <item x="25"/>
        <item x="24"/>
        <item x="40"/>
        <item x="38"/>
        <item x="4"/>
        <item x="90"/>
        <item t="default"/>
      </items>
    </pivotField>
    <pivotField compact="0" outline="0" showAll="0" includeNewItemsInFilter="1">
      <items count="52">
        <item x="0"/>
        <item x="29"/>
        <item x="47"/>
        <item x="12"/>
        <item x="19"/>
        <item x="6"/>
        <item x="13"/>
        <item x="17"/>
        <item x="44"/>
        <item x="36"/>
        <item x="31"/>
        <item x="14"/>
        <item x="39"/>
        <item x="16"/>
        <item x="8"/>
        <item x="42"/>
        <item x="24"/>
        <item x="5"/>
        <item x="34"/>
        <item x="35"/>
        <item x="18"/>
        <item x="49"/>
        <item x="30"/>
        <item x="2"/>
        <item x="38"/>
        <item x="3"/>
        <item x="40"/>
        <item x="10"/>
        <item x="11"/>
        <item x="21"/>
        <item x="33"/>
        <item x="27"/>
        <item x="43"/>
        <item x="41"/>
        <item x="20"/>
        <item x="45"/>
        <item x="25"/>
        <item x="23"/>
        <item x="7"/>
        <item x="48"/>
        <item x="4"/>
        <item x="22"/>
        <item x="32"/>
        <item x="46"/>
        <item x="26"/>
        <item x="9"/>
        <item x="37"/>
        <item x="15"/>
        <item x="28"/>
        <item x="1"/>
        <item x="50"/>
        <item t="default"/>
      </items>
    </pivotField>
    <pivotField compact="0" outline="0" showAll="0" includeNewItemsInFilter="1">
      <items count="69">
        <item x="17"/>
        <item x="22"/>
        <item x="56"/>
        <item x="11"/>
        <item x="26"/>
        <item x="62"/>
        <item x="31"/>
        <item x="21"/>
        <item x="51"/>
        <item x="15"/>
        <item x="54"/>
        <item x="45"/>
        <item x="0"/>
        <item x="7"/>
        <item x="39"/>
        <item x="35"/>
        <item x="9"/>
        <item x="28"/>
        <item x="49"/>
        <item x="42"/>
        <item x="14"/>
        <item x="40"/>
        <item x="33"/>
        <item x="20"/>
        <item x="63"/>
        <item x="55"/>
        <item x="34"/>
        <item x="24"/>
        <item x="65"/>
        <item x="30"/>
        <item x="46"/>
        <item x="8"/>
        <item x="48"/>
        <item x="64"/>
        <item x="61"/>
        <item x="53"/>
        <item x="58"/>
        <item x="66"/>
        <item x="47"/>
        <item x="29"/>
        <item x="50"/>
        <item x="41"/>
        <item x="44"/>
        <item x="6"/>
        <item x="23"/>
        <item x="12"/>
        <item x="60"/>
        <item x="38"/>
        <item x="52"/>
        <item x="57"/>
        <item x="5"/>
        <item x="3"/>
        <item x="18"/>
        <item x="27"/>
        <item x="32"/>
        <item x="36"/>
        <item x="13"/>
        <item x="10"/>
        <item x="37"/>
        <item x="1"/>
        <item x="2"/>
        <item x="59"/>
        <item x="43"/>
        <item x="4"/>
        <item x="16"/>
        <item x="19"/>
        <item x="25"/>
        <item x="67"/>
        <item t="default"/>
      </items>
    </pivotField>
    <pivotField compact="0" outline="0" showAll="0" includeNewItemsInFilter="1"/>
  </pivotFields>
  <rowFields count="2">
    <field x="4"/>
    <field x="6"/>
  </rowFields>
  <rowItems count="79">
    <i>
      <x/>
      <x/>
    </i>
    <i r="1">
      <x v="1"/>
    </i>
    <i r="1">
      <x v="2"/>
    </i>
    <i r="1">
      <x v="3"/>
    </i>
    <i r="1">
      <x v="5"/>
    </i>
    <i r="1">
      <x v="6"/>
    </i>
    <i r="1">
      <x v="7"/>
    </i>
    <i r="1">
      <x v="9"/>
    </i>
    <i r="1">
      <x v="10"/>
    </i>
    <i r="1">
      <x v="11"/>
    </i>
    <i r="1">
      <x v="12"/>
    </i>
    <i r="1">
      <x v="13"/>
    </i>
    <i r="1">
      <x v="14"/>
    </i>
    <i r="1">
      <x v="15"/>
    </i>
    <i r="1">
      <x v="16"/>
    </i>
    <i t="default">
      <x/>
    </i>
    <i>
      <x v="16"/>
      <x v="3"/>
    </i>
    <i r="1">
      <x v="5"/>
    </i>
    <i r="1">
      <x v="6"/>
    </i>
    <i r="1">
      <x v="7"/>
    </i>
    <i r="1">
      <x v="8"/>
    </i>
    <i r="1">
      <x v="9"/>
    </i>
    <i t="default">
      <x v="16"/>
    </i>
    <i>
      <x v="11"/>
      <x/>
    </i>
    <i r="1">
      <x v="9"/>
    </i>
    <i r="1">
      <x v="16"/>
    </i>
    <i t="default">
      <x v="11"/>
    </i>
    <i>
      <x v="14"/>
      <x v="2"/>
    </i>
    <i r="1">
      <x v="3"/>
    </i>
    <i r="1">
      <x v="5"/>
    </i>
    <i r="1">
      <x v="9"/>
    </i>
    <i t="default">
      <x v="14"/>
    </i>
    <i>
      <x v="2"/>
      <x v="2"/>
    </i>
    <i r="1">
      <x v="8"/>
    </i>
    <i r="1">
      <x v="12"/>
    </i>
    <i t="default">
      <x v="2"/>
    </i>
    <i>
      <x v="15"/>
      <x v="3"/>
    </i>
    <i r="1">
      <x v="4"/>
    </i>
    <i r="1">
      <x v="9"/>
    </i>
    <i t="default">
      <x v="15"/>
    </i>
    <i>
      <x v="18"/>
      <x v="2"/>
    </i>
    <i r="1">
      <x v="6"/>
    </i>
    <i r="1">
      <x v="10"/>
    </i>
    <i t="default">
      <x v="18"/>
    </i>
    <i>
      <x v="4"/>
      <x v="2"/>
    </i>
    <i r="1">
      <x v="6"/>
    </i>
    <i r="1">
      <x v="13"/>
    </i>
    <i t="default">
      <x v="4"/>
    </i>
    <i>
      <x v="6"/>
      <x v="1"/>
    </i>
    <i r="1">
      <x v="6"/>
    </i>
    <i t="default">
      <x v="6"/>
    </i>
    <i>
      <x v="5"/>
      <x v="3"/>
    </i>
    <i r="1">
      <x v="13"/>
    </i>
    <i t="default">
      <x v="5"/>
    </i>
    <i>
      <x v="1"/>
      <x v="12"/>
    </i>
    <i r="1">
      <x v="13"/>
    </i>
    <i t="default">
      <x v="1"/>
    </i>
    <i>
      <x v="7"/>
      <x v="3"/>
    </i>
    <i t="default">
      <x v="7"/>
    </i>
    <i>
      <x v="3"/>
      <x v="13"/>
    </i>
    <i r="1">
      <x v="14"/>
    </i>
    <i t="default">
      <x v="3"/>
    </i>
    <i>
      <x v="12"/>
      <x v="7"/>
    </i>
    <i t="default">
      <x v="12"/>
    </i>
    <i>
      <x v="19"/>
      <x v="11"/>
    </i>
    <i t="default">
      <x v="19"/>
    </i>
    <i>
      <x v="13"/>
      <x v="7"/>
    </i>
    <i t="default">
      <x v="13"/>
    </i>
    <i>
      <x v="17"/>
      <x v="9"/>
    </i>
    <i t="default">
      <x v="17"/>
    </i>
    <i>
      <x v="8"/>
      <x v="3"/>
    </i>
    <i t="default">
      <x v="8"/>
    </i>
    <i>
      <x v="20"/>
      <x v="12"/>
    </i>
    <i t="default">
      <x v="20"/>
    </i>
    <i>
      <x v="9"/>
      <x v="3"/>
    </i>
    <i t="default">
      <x v="9"/>
    </i>
    <i>
      <x v="10"/>
      <x v="3"/>
    </i>
    <i t="default">
      <x v="10"/>
    </i>
    <i t="grand">
      <x/>
    </i>
  </rowItems>
  <colFields count="2">
    <field x="2"/>
    <field x="-2"/>
  </colFields>
  <colItems count="6">
    <i>
      <x/>
      <x/>
    </i>
    <i r="1" i="1">
      <x v="1"/>
    </i>
    <i>
      <x v="1"/>
      <x/>
    </i>
    <i r="1" i="1">
      <x v="1"/>
    </i>
    <i t="grand">
      <x/>
    </i>
    <i t="grand" i="1">
      <x/>
    </i>
  </colItems>
  <dataFields count="2">
    <dataField name="Sum of BilledAmount" fld="16" baseField="0" baseItem="0"/>
    <dataField name="Count of PatientID" fld="3" subtotal="count" baseField="0" baseItem="0"/>
  </dataFields>
  <formats count="20">
    <format dxfId="50">
      <pivotArea outline="0" fieldPosition="0">
        <references count="1">
          <reference field="4" count="1" selected="0">
            <x v="16"/>
          </reference>
        </references>
      </pivotArea>
    </format>
    <format dxfId="49">
      <pivotArea dataOnly="0" labelOnly="1" outline="0" fieldPosition="0">
        <references count="1">
          <reference field="4" count="1">
            <x v="16"/>
          </reference>
        </references>
      </pivotArea>
    </format>
    <format dxfId="48">
      <pivotArea field="4" type="button" dataOnly="0" labelOnly="1" outline="0" axis="axisRow" fieldPosition="0"/>
    </format>
    <format dxfId="47">
      <pivotArea dataOnly="0" labelOnly="1" outline="0" offset="A256" fieldPosition="0">
        <references count="1">
          <reference field="2" count="1">
            <x v="0"/>
          </reference>
        </references>
      </pivotArea>
    </format>
    <format dxfId="46">
      <pivotArea dataOnly="0" labelOnly="1" outline="0" offset="A256" fieldPosition="0">
        <references count="1">
          <reference field="2" count="1">
            <x v="1"/>
          </reference>
        </references>
      </pivotArea>
    </format>
    <format dxfId="45">
      <pivotArea outline="0" fieldPosition="0">
        <references count="2">
          <reference field="4294967294" count="2" selected="0">
            <x v="0"/>
            <x v="1"/>
          </reference>
          <reference field="2" count="1" selected="0">
            <x v="0"/>
          </reference>
        </references>
      </pivotArea>
    </format>
    <format dxfId="44">
      <pivotArea dataOnly="0" labelOnly="1" outline="0" fieldPosition="0">
        <references count="1">
          <reference field="2" count="1">
            <x v="0"/>
          </reference>
        </references>
      </pivotArea>
    </format>
    <format dxfId="43">
      <pivotArea dataOnly="0" labelOnly="1" outline="0" fieldPosition="0">
        <references count="2">
          <reference field="4294967294" count="2">
            <x v="0"/>
            <x v="1"/>
          </reference>
          <reference field="2" count="1" selected="0">
            <x v="0"/>
          </reference>
        </references>
      </pivotArea>
    </format>
    <format dxfId="42">
      <pivotArea dataOnly="0" outline="0" fieldPosition="0">
        <references count="1">
          <reference field="2" count="1">
            <x v="1"/>
          </reference>
        </references>
      </pivotArea>
    </format>
    <format dxfId="41">
      <pivotArea field="2" grandCol="1" outline="0" axis="axisCol" fieldPosition="0">
        <references count="1">
          <reference field="4294967294" count="1" selected="0">
            <x v="0"/>
          </reference>
        </references>
      </pivotArea>
    </format>
    <format dxfId="40">
      <pivotArea field="2" dataOnly="0" labelOnly="1" grandCol="1" outline="0" axis="axisCol" fieldPosition="0">
        <references count="1">
          <reference field="4294967294" count="1" selected="0">
            <x v="0"/>
          </reference>
        </references>
      </pivotArea>
    </format>
    <format dxfId="39">
      <pivotArea field="2" dataOnly="0" labelOnly="1" grandCol="1" outline="0" axis="axisCol" fieldPosition="0">
        <references count="1">
          <reference field="4294967294" count="1" selected="0">
            <x v="1"/>
          </reference>
        </references>
      </pivotArea>
    </format>
    <format dxfId="38">
      <pivotArea field="2" grandCol="1" outline="0" axis="axisCol" fieldPosition="0">
        <references count="1">
          <reference field="4294967294" count="1" selected="0">
            <x v="1"/>
          </reference>
        </references>
      </pivotArea>
    </format>
    <format dxfId="37">
      <pivotArea field="2" dataOnly="0" labelOnly="1" grandCol="1" outline="0" axis="axisCol" fieldPosition="0">
        <references count="1">
          <reference field="4294967294" count="1" selected="0">
            <x v="0"/>
          </reference>
        </references>
      </pivotArea>
    </format>
    <format dxfId="36">
      <pivotArea field="2" dataOnly="0" labelOnly="1" grandCol="1" outline="0" axis="axisCol" fieldPosition="0">
        <references count="1">
          <reference field="4294967294" count="1" selected="0">
            <x v="1"/>
          </reference>
        </references>
      </pivotArea>
    </format>
    <format dxfId="35">
      <pivotArea outline="0" fieldPosition="0">
        <references count="2">
          <reference field="4" count="1" selected="0">
            <x v="16"/>
          </reference>
          <reference field="6" count="5" selected="0">
            <x v="5"/>
            <x v="6"/>
            <x v="7"/>
            <x v="8"/>
            <x v="9"/>
          </reference>
        </references>
      </pivotArea>
    </format>
    <format dxfId="34">
      <pivotArea dataOnly="0" labelOnly="1" outline="0" offset="IV2:IV256" fieldPosition="0">
        <references count="1">
          <reference field="4" count="1">
            <x v="16"/>
          </reference>
        </references>
      </pivotArea>
    </format>
    <format dxfId="33">
      <pivotArea dataOnly="0" labelOnly="1" outline="0" fieldPosition="0">
        <references count="2">
          <reference field="4" count="1" selected="0">
            <x v="16"/>
          </reference>
          <reference field="6" count="5">
            <x v="5"/>
            <x v="6"/>
            <x v="7"/>
            <x v="8"/>
            <x v="9"/>
          </reference>
        </references>
      </pivotArea>
    </format>
    <format dxfId="32">
      <pivotArea outline="0" fieldPosition="0">
        <references count="1">
          <reference field="4" count="1" selected="0" defaultSubtotal="1">
            <x v="16"/>
          </reference>
        </references>
      </pivotArea>
    </format>
    <format dxfId="31">
      <pivotArea dataOnly="0" labelOnly="1" outline="0" fieldPosition="0">
        <references count="1">
          <reference field="4" count="1" defaultSubtotal="1">
            <x v="16"/>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94"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A3:G15" firstHeaderRow="1" firstDataRow="3" firstDataCol="1" rowPageCount="1" colPageCount="1"/>
  <pivotFields count="20">
    <pivotField compact="0" outline="0" showAll="0" includeNewItemsInFilter="1">
      <items count="3">
        <item x="1"/>
        <item x="0"/>
        <item t="default"/>
      </items>
    </pivotField>
    <pivotField compact="0" outline="0" showAll="0" includeNewItemsInFilter="1">
      <items count="3">
        <item x="0"/>
        <item x="1"/>
        <item t="default"/>
      </items>
    </pivotField>
    <pivotField axis="axisCol" compact="0" outline="0" showAll="0" includeNewItemsInFilter="1">
      <items count="3">
        <item x="0"/>
        <item x="1"/>
        <item t="default"/>
      </items>
    </pivotField>
    <pivotField dataField="1" compact="0" outline="0" showAll="0" includeNewItemsInFilter="1">
      <items count="100">
        <item x="38"/>
        <item x="17"/>
        <item x="18"/>
        <item x="19"/>
        <item x="20"/>
        <item x="21"/>
        <item x="22"/>
        <item x="23"/>
        <item x="24"/>
        <item x="25"/>
        <item x="26"/>
        <item x="27"/>
        <item x="28"/>
        <item x="29"/>
        <item x="30"/>
        <item x="31"/>
        <item x="32"/>
        <item x="33"/>
        <item x="34"/>
        <item x="35"/>
        <item x="36"/>
        <item x="37"/>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0"/>
        <item x="1"/>
        <item x="2"/>
        <item x="3"/>
        <item x="4"/>
        <item x="5"/>
        <item x="6"/>
        <item x="7"/>
        <item x="8"/>
        <item x="9"/>
        <item x="10"/>
        <item x="11"/>
        <item x="12"/>
        <item x="13"/>
        <item x="14"/>
        <item x="15"/>
        <item x="16"/>
        <item t="default"/>
      </items>
    </pivotField>
    <pivotField axis="axisRow" compact="0" outline="0" showAll="0" includeNewItemsInFilter="1" sortType="descending">
      <items count="22">
        <item x="0"/>
        <item x="14"/>
        <item x="5"/>
        <item x="12"/>
        <item x="6"/>
        <item x="11"/>
        <item x="7"/>
        <item x="18"/>
        <item x="15"/>
        <item x="19"/>
        <item x="16"/>
        <item x="4"/>
        <item x="2"/>
        <item x="13"/>
        <item x="8"/>
        <item x="17"/>
        <item x="1"/>
        <item x="3"/>
        <item x="20"/>
        <item x="10"/>
        <item x="9"/>
        <item t="default"/>
      </items>
      <autoSortScope>
        <pivotArea dataOnly="0" outline="0" fieldPosition="0">
          <references count="1">
            <reference field="4294967294" count="1" selected="0">
              <x v="0"/>
            </reference>
          </references>
        </pivotArea>
      </autoSortScope>
    </pivotField>
    <pivotField compact="0" outline="0" showAll="0" includeNewItemsInFilter="1"/>
    <pivotField axis="axisPage" compact="0" outline="0" multipleItemSelectionAllowed="1" showAll="0" includeNewItemsInFilter="1">
      <items count="18">
        <item h="1" x="12"/>
        <item h="1" x="9"/>
        <item h="1" x="7"/>
        <item x="0"/>
        <item h="1" x="16"/>
        <item h="1" x="5"/>
        <item h="1" x="1"/>
        <item h="1" x="2"/>
        <item h="1" x="3"/>
        <item h="1" x="4"/>
        <item h="1" x="11"/>
        <item h="1" x="13"/>
        <item h="1" x="10"/>
        <item h="1" x="8"/>
        <item h="1" x="14"/>
        <item h="1" x="15"/>
        <item h="1" x="6"/>
        <item t="default"/>
      </items>
    </pivotField>
    <pivotField compact="0" outline="0" showAll="0" includeNewItemsInFilter="1">
      <items count="65">
        <item x="24"/>
        <item x="17"/>
        <item x="31"/>
        <item x="29"/>
        <item x="8"/>
        <item x="4"/>
        <item x="2"/>
        <item x="46"/>
        <item x="49"/>
        <item x="7"/>
        <item x="39"/>
        <item x="35"/>
        <item x="42"/>
        <item x="26"/>
        <item x="23"/>
        <item x="32"/>
        <item x="51"/>
        <item x="55"/>
        <item x="37"/>
        <item x="13"/>
        <item x="15"/>
        <item x="28"/>
        <item x="5"/>
        <item x="47"/>
        <item x="12"/>
        <item x="9"/>
        <item x="40"/>
        <item x="59"/>
        <item x="50"/>
        <item x="21"/>
        <item x="61"/>
        <item x="44"/>
        <item x="25"/>
        <item x="48"/>
        <item x="60"/>
        <item x="43"/>
        <item x="30"/>
        <item x="56"/>
        <item x="19"/>
        <item x="18"/>
        <item x="16"/>
        <item x="57"/>
        <item x="0"/>
        <item x="3"/>
        <item x="6"/>
        <item x="27"/>
        <item x="52"/>
        <item x="36"/>
        <item x="33"/>
        <item x="14"/>
        <item x="45"/>
        <item x="1"/>
        <item x="58"/>
        <item x="41"/>
        <item x="34"/>
        <item x="10"/>
        <item x="62"/>
        <item x="22"/>
        <item x="38"/>
        <item x="11"/>
        <item x="53"/>
        <item x="63"/>
        <item x="20"/>
        <item x="54"/>
        <item t="default"/>
      </items>
    </pivotField>
    <pivotField compact="0" outline="0" showAll="0" includeNewItemsInFilter="1"/>
    <pivotField compact="0" outline="0" showAll="0" includeNewItemsInFilter="1"/>
    <pivotField compact="0" outline="0" showAll="0" includeNewItemsInFilter="1"/>
    <pivotField compact="0"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dataField="1" compact="0" numFmtId="1" outline="0" showAll="0" includeNewItemsInFilter="1">
      <items count="91">
        <item x="42"/>
        <item x="84"/>
        <item x="21"/>
        <item x="30"/>
        <item x="22"/>
        <item x="27"/>
        <item x="26"/>
        <item x="62"/>
        <item x="16"/>
        <item x="72"/>
        <item x="0"/>
        <item x="7"/>
        <item x="54"/>
        <item x="28"/>
        <item x="50"/>
        <item x="9"/>
        <item x="88"/>
        <item x="43"/>
        <item x="66"/>
        <item x="60"/>
        <item x="57"/>
        <item x="14"/>
        <item x="55"/>
        <item x="48"/>
        <item x="29"/>
        <item x="82"/>
        <item x="74"/>
        <item x="68"/>
        <item x="37"/>
        <item x="18"/>
        <item x="19"/>
        <item x="86"/>
        <item x="49"/>
        <item x="32"/>
        <item x="45"/>
        <item x="39"/>
        <item x="73"/>
        <item x="63"/>
        <item x="8"/>
        <item x="65"/>
        <item x="70"/>
        <item x="85"/>
        <item x="80"/>
        <item x="71"/>
        <item x="77"/>
        <item x="31"/>
        <item x="89"/>
        <item x="81"/>
        <item x="64"/>
        <item x="36"/>
        <item x="67"/>
        <item x="56"/>
        <item x="34"/>
        <item x="15"/>
        <item x="61"/>
        <item x="87"/>
        <item x="6"/>
        <item x="44"/>
        <item x="12"/>
        <item x="79"/>
        <item x="11"/>
        <item x="33"/>
        <item x="35"/>
        <item x="46"/>
        <item x="53"/>
        <item x="69"/>
        <item x="76"/>
        <item x="3"/>
        <item x="23"/>
        <item x="41"/>
        <item x="5"/>
        <item x="13"/>
        <item x="51"/>
        <item x="52"/>
        <item x="83"/>
        <item x="1"/>
        <item x="2"/>
        <item x="78"/>
        <item x="75"/>
        <item x="58"/>
        <item x="17"/>
        <item x="10"/>
        <item x="47"/>
        <item x="59"/>
        <item x="20"/>
        <item x="25"/>
        <item x="24"/>
        <item x="40"/>
        <item x="38"/>
        <item x="4"/>
        <item t="default"/>
      </items>
    </pivotField>
    <pivotField compact="0" numFmtId="1" outline="0" showAll="0" includeNewItemsInFilter="1"/>
    <pivotField compact="0" numFmtId="1" outline="0" showAll="0" includeNewItemsInFilter="1"/>
    <pivotField compact="0" outline="0" showAll="0" includeNewItemsInFilter="1"/>
  </pivotFields>
  <rowFields count="1">
    <field x="4"/>
  </rowFields>
  <rowItems count="10">
    <i>
      <x v="16"/>
    </i>
    <i>
      <x/>
    </i>
    <i>
      <x v="8"/>
    </i>
    <i>
      <x v="9"/>
    </i>
    <i>
      <x v="14"/>
    </i>
    <i>
      <x v="15"/>
    </i>
    <i>
      <x v="5"/>
    </i>
    <i>
      <x v="7"/>
    </i>
    <i>
      <x v="10"/>
    </i>
    <i t="grand">
      <x/>
    </i>
  </rowItems>
  <colFields count="2">
    <field x="2"/>
    <field x="-2"/>
  </colFields>
  <colItems count="6">
    <i>
      <x/>
      <x/>
    </i>
    <i r="1" i="1">
      <x v="1"/>
    </i>
    <i>
      <x v="1"/>
      <x/>
    </i>
    <i r="1" i="1">
      <x v="1"/>
    </i>
    <i t="grand">
      <x/>
    </i>
    <i t="grand" i="1">
      <x/>
    </i>
  </colItems>
  <pageFields count="1">
    <pageField fld="6" hier="-1"/>
  </pageFields>
  <dataFields count="2">
    <dataField name="Sum of BilledAmount" fld="16" baseField="0" baseItem="0"/>
    <dataField name="Count of PatientID" fld="3" subtotal="count" baseField="0" baseItem="0"/>
  </dataFields>
  <formats count="22">
    <format dxfId="30">
      <pivotArea outline="0" fieldPosition="0"/>
    </format>
    <format dxfId="29">
      <pivotArea field="4" type="button" dataOnly="0" labelOnly="1" outline="0" axis="axisRow" fieldPosition="0"/>
    </format>
    <format dxfId="28">
      <pivotArea dataOnly="0" labelOnly="1" outline="0" fieldPosition="0">
        <references count="1">
          <reference field="4" count="9">
            <x v="0"/>
            <x v="5"/>
            <x v="7"/>
            <x v="8"/>
            <x v="9"/>
            <x v="10"/>
            <x v="14"/>
            <x v="15"/>
            <x v="16"/>
          </reference>
        </references>
      </pivotArea>
    </format>
    <format dxfId="27">
      <pivotArea dataOnly="0" labelOnly="1" grandRow="1" outline="0" fieldPosition="0"/>
    </format>
    <format dxfId="26">
      <pivotArea dataOnly="0" labelOnly="1" outline="0" fieldPosition="0">
        <references count="1">
          <reference field="4294967294" count="1">
            <x v="0"/>
          </reference>
        </references>
      </pivotArea>
    </format>
    <format dxfId="25">
      <pivotArea field="4" type="button" dataOnly="0" labelOnly="1" outline="0" axis="axisRow" fieldPosition="0"/>
    </format>
    <format dxfId="24">
      <pivotArea dataOnly="0" labelOnly="1" outline="0" fieldPosition="0">
        <references count="1">
          <reference field="4294967294" count="1">
            <x v="0"/>
          </reference>
        </references>
      </pivotArea>
    </format>
    <format dxfId="23">
      <pivotArea field="6" type="button" dataOnly="0" labelOnly="1" outline="0" axis="axisPage" fieldPosition="0"/>
    </format>
    <format dxfId="22">
      <pivotArea outline="0" fieldPosition="0">
        <references count="1">
          <reference field="4" count="2" selected="0">
            <x v="0"/>
            <x v="16"/>
          </reference>
        </references>
      </pivotArea>
    </format>
    <format dxfId="21">
      <pivotArea dataOnly="0" labelOnly="1" outline="0" fieldPosition="0">
        <references count="1">
          <reference field="4" count="2">
            <x v="0"/>
            <x v="16"/>
          </reference>
        </references>
      </pivotArea>
    </format>
    <format dxfId="20">
      <pivotArea dataOnly="0" outline="0" fieldPosition="0">
        <references count="1">
          <reference field="2" count="1">
            <x v="0"/>
          </reference>
        </references>
      </pivotArea>
    </format>
    <format dxfId="19">
      <pivotArea dataOnly="0" labelOnly="1" outline="0" offset="A256" fieldPosition="0">
        <references count="1">
          <reference field="2" count="1">
            <x v="1"/>
          </reference>
        </references>
      </pivotArea>
    </format>
    <format dxfId="18">
      <pivotArea dataOnly="0" labelOnly="1" outline="0" offset="A256" fieldPosition="0">
        <references count="1">
          <reference field="2" count="1">
            <x v="1"/>
          </reference>
        </references>
      </pivotArea>
    </format>
    <format dxfId="17">
      <pivotArea dataOnly="0" labelOnly="1" outline="0" offset="A256" fieldPosition="0">
        <references count="1">
          <reference field="2" count="1">
            <x v="0"/>
          </reference>
        </references>
      </pivotArea>
    </format>
    <format dxfId="16">
      <pivotArea dataOnly="0" labelOnly="1" outline="0" offset="IV256" fieldPosition="0">
        <references count="1">
          <reference field="2" count="1">
            <x v="0"/>
          </reference>
        </references>
      </pivotArea>
    </format>
    <format dxfId="15">
      <pivotArea outline="0" fieldPosition="0">
        <references count="3">
          <reference field="4294967294" count="2" selected="0">
            <x v="0"/>
            <x v="1"/>
          </reference>
          <reference field="2" count="1" selected="0">
            <x v="0"/>
          </reference>
          <reference field="4" count="6" selected="0">
            <x v="5"/>
            <x v="7"/>
            <x v="9"/>
            <x v="10"/>
            <x v="14"/>
            <x v="15"/>
          </reference>
        </references>
      </pivotArea>
    </format>
    <format dxfId="14">
      <pivotArea field="2" grandRow="1" outline="0" axis="axisCol" fieldPosition="0">
        <references count="2">
          <reference field="4294967294" count="2" selected="0">
            <x v="0"/>
            <x v="1"/>
          </reference>
          <reference field="2" count="1" selected="0">
            <x v="0"/>
          </reference>
        </references>
      </pivotArea>
    </format>
    <format dxfId="13">
      <pivotArea dataOnly="0" outline="0" fieldPosition="0">
        <references count="2">
          <reference field="4294967294" count="0" defaultSubtotal="1" sumSubtotal="1" countASubtotal="1" avgSubtotal="1" maxSubtotal="1" minSubtotal="1" productSubtotal="1" countSubtotal="1" stdDevSubtotal="1" stdDevPSubtotal="1" varSubtotal="1" varPSubtotal="1"/>
          <reference field="2" count="1">
            <x v="0"/>
          </reference>
        </references>
      </pivotArea>
    </format>
    <format dxfId="12">
      <pivotArea dataOnly="0" outline="0" fieldPosition="0">
        <references count="2">
          <reference field="4294967294" count="0" defaultSubtotal="1" sumSubtotal="1" countASubtotal="1" avgSubtotal="1" maxSubtotal="1" minSubtotal="1" productSubtotal="1" countSubtotal="1" stdDevSubtotal="1" stdDevPSubtotal="1" varSubtotal="1" varPSubtotal="1"/>
          <reference field="2" count="1">
            <x v="1"/>
          </reference>
        </references>
      </pivotArea>
    </format>
    <format dxfId="11">
      <pivotArea field="2" grandCol="1" outline="0" axis="axisCol" fieldPosition="0">
        <references count="1">
          <reference field="4294967294" count="1" selected="0">
            <x v="0"/>
          </reference>
        </references>
      </pivotArea>
    </format>
    <format dxfId="10">
      <pivotArea field="2" dataOnly="0" labelOnly="1" grandCol="1" outline="0" axis="axisCol" fieldPosition="0">
        <references count="1">
          <reference field="4294967294" count="1" selected="0">
            <x v="0"/>
          </reference>
        </references>
      </pivotArea>
    </format>
    <format dxfId="9">
      <pivotArea field="2" dataOnly="0" grandCol="1" outline="0" axis="axisCol" fieldPosition="0">
        <references count="1">
          <reference field="4294967294" count="1" selected="0">
            <x v="1"/>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7" cacheId="95" dataOnRows="1"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O108:P123" firstHeaderRow="2" firstDataRow="2" firstDataCol="1" rowPageCount="1" colPageCount="1"/>
  <pivotFields count="23">
    <pivotField axis="axisPage" compact="0" outline="0" showAll="0" includeNewItemsInFilter="1">
      <items count="3">
        <item x="1"/>
        <item x="0"/>
        <item t="default"/>
      </items>
    </pivotField>
    <pivotField compact="0" outline="0" showAll="0" includeNewItemsInFilter="1"/>
    <pivotField compact="0" outline="0" showAll="0" includeNewItemsInFilter="1"/>
    <pivotField dataField="1" compact="0" outline="0" showAll="0" includeNewItemsInFilter="1">
      <items count="100">
        <item x="38"/>
        <item x="17"/>
        <item x="18"/>
        <item x="19"/>
        <item x="20"/>
        <item x="21"/>
        <item x="22"/>
        <item x="23"/>
        <item x="24"/>
        <item x="25"/>
        <item x="26"/>
        <item x="27"/>
        <item x="28"/>
        <item x="29"/>
        <item x="30"/>
        <item x="31"/>
        <item x="32"/>
        <item x="33"/>
        <item x="34"/>
        <item x="35"/>
        <item x="36"/>
        <item x="37"/>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0"/>
        <item x="1"/>
        <item x="2"/>
        <item x="3"/>
        <item x="4"/>
        <item x="5"/>
        <item x="6"/>
        <item x="7"/>
        <item x="8"/>
        <item x="9"/>
        <item x="10"/>
        <item x="11"/>
        <item x="12"/>
        <item x="13"/>
        <item x="14"/>
        <item x="15"/>
        <item x="16"/>
        <item t="default"/>
      </items>
    </pivotField>
    <pivotField compact="0" outline="0" showAll="0" includeNewItemsInFilter="1"/>
    <pivotField compact="0" outline="0" showAll="0" includeNewItemsInFilter="1"/>
    <pivotField compact="0" outline="0" showAll="0" includeNewItemsInFilter="1">
      <items count="18">
        <item x="12"/>
        <item x="9"/>
        <item x="7"/>
        <item x="0"/>
        <item x="16"/>
        <item x="5"/>
        <item x="1"/>
        <item x="2"/>
        <item x="3"/>
        <item x="4"/>
        <item x="11"/>
        <item x="13"/>
        <item x="10"/>
        <item x="8"/>
        <item x="14"/>
        <item x="15"/>
        <item x="6"/>
        <item t="default"/>
      </items>
    </pivotField>
    <pivotField compact="0" outline="0" showAll="0" includeNewItemsInFilter="1"/>
    <pivotField compact="0" outline="0" showAll="0" includeNewItemsInFilter="1"/>
    <pivotField compact="0" outline="0" showAll="0" includeNewItemsInFilter="1"/>
    <pivotField compact="0" numFmtId="164" outline="0" showAll="0" includeNewItemsInFilter="1"/>
    <pivotField compact="0" outline="0" showAll="0" includeNewItemsInFilter="1"/>
    <pivotField compact="0" numFmtId="165" outline="0" showAll="0" includeNewItemsInFilter="1"/>
    <pivotField axis="axisRow" compact="0" outline="0" showAll="0" includeNewItemsInFilter="1" defaultSubtotal="0">
      <items count="20">
        <item x="0"/>
        <item x="1"/>
        <item x="2"/>
        <item x="3"/>
        <item x="4"/>
        <item x="5"/>
        <item x="6"/>
        <item x="7"/>
        <item x="8"/>
        <item x="9"/>
        <item x="10"/>
        <item x="11"/>
        <item x="12"/>
        <item x="13"/>
        <item x="14"/>
        <item x="15"/>
        <item x="16"/>
        <item x="17"/>
        <item x="18"/>
        <item x="19"/>
      </items>
    </pivotField>
    <pivotField compact="0"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numFmtId="1" outline="0" showAll="0" includeNewItemsInFilter="1"/>
    <pivotField compact="0" outline="0" showAll="0" includeNewItemsInFilter="1"/>
  </pivotFields>
  <rowFields count="1">
    <field x="13"/>
  </rowFields>
  <rowItems count="14">
    <i>
      <x v="1"/>
    </i>
    <i>
      <x v="2"/>
    </i>
    <i>
      <x v="3"/>
    </i>
    <i>
      <x v="4"/>
    </i>
    <i>
      <x v="5"/>
    </i>
    <i>
      <x v="6"/>
    </i>
    <i>
      <x v="7"/>
    </i>
    <i>
      <x v="9"/>
    </i>
    <i>
      <x v="10"/>
    </i>
    <i>
      <x v="12"/>
    </i>
    <i>
      <x v="13"/>
    </i>
    <i>
      <x v="15"/>
    </i>
    <i>
      <x v="18"/>
    </i>
    <i t="grand">
      <x/>
    </i>
  </rowItems>
  <colItems count="1">
    <i/>
  </colItems>
  <pageFields count="1">
    <pageField fld="0" hier="-1"/>
  </pageFields>
  <dataFields count="1">
    <dataField name="Count of PatientID" fld="3" subtotal="count" baseField="0" baseItem="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2" cacheId="96" dataOnRows="1"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E2:H7" firstHeaderRow="1" firstDataRow="2" firstDataCol="1"/>
  <pivotFields count="3">
    <pivotField axis="axisCol" compact="0" outline="0" showAll="0" includeNewItemsInFilter="1">
      <items count="3">
        <item x="0"/>
        <item x="1"/>
        <item t="default"/>
      </items>
    </pivotField>
    <pivotField dataField="1" compact="0" numFmtId="1" outline="0" showAll="0" includeNewItemsInFilter="1">
      <items count="91">
        <item x="42"/>
        <item x="84"/>
        <item x="21"/>
        <item x="30"/>
        <item x="22"/>
        <item x="27"/>
        <item x="26"/>
        <item x="62"/>
        <item x="16"/>
        <item x="72"/>
        <item x="0"/>
        <item x="7"/>
        <item x="54"/>
        <item x="28"/>
        <item x="50"/>
        <item x="9"/>
        <item x="88"/>
        <item x="43"/>
        <item x="66"/>
        <item x="60"/>
        <item x="57"/>
        <item x="14"/>
        <item x="55"/>
        <item x="48"/>
        <item x="29"/>
        <item x="82"/>
        <item x="74"/>
        <item x="68"/>
        <item x="37"/>
        <item x="18"/>
        <item x="19"/>
        <item x="86"/>
        <item x="49"/>
        <item x="32"/>
        <item x="45"/>
        <item x="39"/>
        <item x="73"/>
        <item x="63"/>
        <item x="8"/>
        <item x="65"/>
        <item x="70"/>
        <item x="85"/>
        <item x="80"/>
        <item x="71"/>
        <item x="77"/>
        <item x="31"/>
        <item x="89"/>
        <item x="81"/>
        <item x="64"/>
        <item x="36"/>
        <item x="67"/>
        <item x="56"/>
        <item x="34"/>
        <item x="15"/>
        <item x="61"/>
        <item x="87"/>
        <item x="6"/>
        <item x="44"/>
        <item x="12"/>
        <item x="79"/>
        <item x="11"/>
        <item x="33"/>
        <item x="35"/>
        <item x="46"/>
        <item x="53"/>
        <item x="69"/>
        <item x="76"/>
        <item x="3"/>
        <item x="23"/>
        <item x="41"/>
        <item x="5"/>
        <item x="13"/>
        <item x="51"/>
        <item x="52"/>
        <item x="83"/>
        <item x="1"/>
        <item x="2"/>
        <item x="78"/>
        <item x="75"/>
        <item x="58"/>
        <item x="17"/>
        <item x="10"/>
        <item x="47"/>
        <item x="59"/>
        <item x="20"/>
        <item x="25"/>
        <item x="24"/>
        <item x="40"/>
        <item x="38"/>
        <item x="4"/>
        <item t="default"/>
      </items>
    </pivotField>
    <pivotField axis="axisRow" compact="0" outline="0" showAll="0" includeNewItemsInFilter="1">
      <items count="4">
        <item x="2"/>
        <item x="1"/>
        <item x="0"/>
        <item t="default"/>
      </items>
    </pivotField>
  </pivotFields>
  <rowFields count="1">
    <field x="2"/>
  </rowFields>
  <rowItems count="4">
    <i>
      <x/>
    </i>
    <i>
      <x v="1"/>
    </i>
    <i>
      <x v="2"/>
    </i>
    <i t="grand">
      <x/>
    </i>
  </rowItems>
  <colFields count="1">
    <field x="0"/>
  </colFields>
  <colItems count="3">
    <i>
      <x/>
    </i>
    <i>
      <x v="1"/>
    </i>
    <i t="grand">
      <x/>
    </i>
  </colItems>
  <dataFields count="1">
    <dataField name="Count of BilledAmount" fld="1" subtotal="count" baseField="0" baseItem="0"/>
  </dataFields>
  <formats count="1">
    <format dxfId="8">
      <pivotArea outline="0" fieldPosition="0">
        <references count="1">
          <reference field="2" count="1" selected="0">
            <x v="2"/>
          </reference>
        </references>
      </pivotArea>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A00-000000000000}" name="PivotTable14" cacheId="97" dataOnRows="1" applyNumberFormats="0" applyBorderFormats="0" applyFontFormats="0" applyPatternFormats="0" applyAlignmentFormats="0" applyWidthHeightFormats="1" dataCaption="Data" updatedVersion="6" showMemberPropertyTips="0" useAutoFormatting="1" itemPrintTitles="1" createdVersion="1" indent="0" compact="0" compactData="0" gridDropZones="1">
  <location ref="H3:I8" firstHeaderRow="2" firstDataRow="2" firstDataCol="1"/>
  <pivotFields count="5">
    <pivotField compact="0" outline="0" showAll="0" includeNewItemsInFilter="1"/>
    <pivotField compact="0" outline="0" showAll="0" includeNewItemsInFilter="1"/>
    <pivotField dataField="1" compact="0" numFmtId="1" outline="0" showAll="0" includeNewItemsInFilter="1">
      <items count="91">
        <item x="42"/>
        <item x="84"/>
        <item x="21"/>
        <item x="30"/>
        <item x="22"/>
        <item x="27"/>
        <item x="26"/>
        <item x="62"/>
        <item x="16"/>
        <item x="72"/>
        <item x="0"/>
        <item x="7"/>
        <item x="54"/>
        <item x="28"/>
        <item x="50"/>
        <item x="9"/>
        <item x="88"/>
        <item x="43"/>
        <item x="66"/>
        <item x="60"/>
        <item x="57"/>
        <item x="14"/>
        <item x="55"/>
        <item x="48"/>
        <item x="29"/>
        <item x="82"/>
        <item x="74"/>
        <item x="68"/>
        <item x="37"/>
        <item x="18"/>
        <item x="19"/>
        <item x="86"/>
        <item x="49"/>
        <item x="32"/>
        <item x="45"/>
        <item x="39"/>
        <item x="73"/>
        <item x="63"/>
        <item x="8"/>
        <item x="65"/>
        <item x="70"/>
        <item x="85"/>
        <item x="80"/>
        <item x="71"/>
        <item x="77"/>
        <item x="31"/>
        <item x="89"/>
        <item x="81"/>
        <item x="64"/>
        <item x="36"/>
        <item x="67"/>
        <item x="56"/>
        <item x="34"/>
        <item x="15"/>
        <item x="61"/>
        <item x="87"/>
        <item x="6"/>
        <item x="44"/>
        <item x="12"/>
        <item x="79"/>
        <item x="11"/>
        <item x="33"/>
        <item x="35"/>
        <item x="46"/>
        <item x="53"/>
        <item x="69"/>
        <item x="76"/>
        <item x="3"/>
        <item x="23"/>
        <item x="41"/>
        <item x="5"/>
        <item x="13"/>
        <item x="51"/>
        <item x="52"/>
        <item x="83"/>
        <item x="1"/>
        <item x="2"/>
        <item x="78"/>
        <item x="75"/>
        <item x="58"/>
        <item x="17"/>
        <item x="10"/>
        <item x="47"/>
        <item x="59"/>
        <item x="20"/>
        <item x="25"/>
        <item x="24"/>
        <item x="40"/>
        <item x="38"/>
        <item x="4"/>
        <item t="default"/>
      </items>
    </pivotField>
    <pivotField axis="axisRow" compact="0" outline="0" showAll="0" includeNewItemsInFilter="1">
      <items count="4">
        <item x="2"/>
        <item x="1"/>
        <item x="0"/>
        <item t="default"/>
      </items>
    </pivotField>
    <pivotField compact="0" outline="0" showAll="0" includeNewItemsInFilter="1"/>
  </pivotFields>
  <rowFields count="1">
    <field x="3"/>
  </rowFields>
  <rowItems count="4">
    <i>
      <x/>
    </i>
    <i>
      <x v="1"/>
    </i>
    <i>
      <x v="2"/>
    </i>
    <i t="grand">
      <x/>
    </i>
  </rowItems>
  <colItems count="1">
    <i/>
  </colItems>
  <dataFields count="1">
    <dataField name="Average of BilledAmount" fld="2" subtotal="average" baseField="0" baseItem="0" numFmtId="1"/>
  </dataFields>
  <formats count="8">
    <format dxfId="7">
      <pivotArea type="all" dataOnly="0" outline="0" fieldPosition="0"/>
    </format>
    <format dxfId="6">
      <pivotArea outline="0" fieldPosition="0"/>
    </format>
    <format dxfId="5">
      <pivotArea type="origin" dataOnly="0" labelOnly="1" outline="0" fieldPosition="0"/>
    </format>
    <format dxfId="4">
      <pivotArea field="3" type="button" dataOnly="0" labelOnly="1" outline="0" axis="axisRow" fieldPosition="0"/>
    </format>
    <format dxfId="3">
      <pivotArea dataOnly="0" labelOnly="1" outline="0" fieldPosition="0">
        <references count="1">
          <reference field="3" count="0"/>
        </references>
      </pivotArea>
    </format>
    <format dxfId="2">
      <pivotArea dataOnly="0" labelOnly="1" grandRow="1" outline="0" fieldPosition="0"/>
    </format>
    <format dxfId="1">
      <pivotArea type="topRight" dataOnly="0" labelOnly="1" outline="0" fieldPosition="0"/>
    </format>
    <format dxfId="0">
      <pivotArea outline="0" fieldPosition="0"/>
    </format>
  </format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5"/>
  <sheetViews>
    <sheetView workbookViewId="0">
      <pane ySplit="1" topLeftCell="A2" activePane="bottomLeft" state="frozen"/>
      <selection pane="bottomLeft" activeCell="D1" activeCellId="1" sqref="Q1:Q65536 D1:D65536"/>
    </sheetView>
  </sheetViews>
  <sheetFormatPr baseColWidth="10" defaultRowHeight="13"/>
  <cols>
    <col min="1" max="1" width="13.1640625" style="4" bestFit="1" customWidth="1"/>
    <col min="2" max="3" width="14.1640625" style="4" bestFit="1" customWidth="1"/>
    <col min="4" max="5" width="15.1640625" style="4" bestFit="1" customWidth="1"/>
    <col min="6" max="6" width="14.1640625" style="4" bestFit="1" customWidth="1"/>
    <col min="7" max="7" width="15.1640625" style="4" bestFit="1" customWidth="1"/>
    <col min="8" max="8" width="12.1640625" style="4" bestFit="1" customWidth="1"/>
    <col min="9" max="10" width="18.1640625" style="4" bestFit="1" customWidth="1"/>
    <col min="11" max="11" width="20.1640625" style="4" bestFit="1" customWidth="1"/>
    <col min="12" max="12" width="10.1640625" style="4" bestFit="1" customWidth="1"/>
    <col min="13" max="13" width="12.1640625" style="4" bestFit="1" customWidth="1"/>
    <col min="14" max="15" width="15.1640625" style="4" bestFit="1" customWidth="1"/>
    <col min="16" max="16" width="12.1640625" style="4" bestFit="1" customWidth="1"/>
    <col min="17" max="20" width="15.1640625" style="4" bestFit="1" customWidth="1"/>
  </cols>
  <sheetData>
    <row r="1" spans="1:20" s="3" customFormat="1" ht="30">
      <c r="A1" s="1" t="s">
        <v>0</v>
      </c>
      <c r="B1" s="1" t="s">
        <v>1</v>
      </c>
      <c r="C1" s="1" t="s">
        <v>2</v>
      </c>
      <c r="D1" s="1" t="s">
        <v>297</v>
      </c>
      <c r="E1" s="1" t="s">
        <v>483</v>
      </c>
      <c r="F1" s="1" t="s">
        <v>484</v>
      </c>
      <c r="G1" s="1" t="s">
        <v>536</v>
      </c>
      <c r="H1" s="1" t="s">
        <v>397</v>
      </c>
      <c r="I1" s="1" t="s">
        <v>3</v>
      </c>
      <c r="J1" s="1" t="s">
        <v>4</v>
      </c>
      <c r="K1" s="1" t="s">
        <v>5</v>
      </c>
      <c r="L1" s="1" t="s">
        <v>6</v>
      </c>
      <c r="M1" s="1" t="s">
        <v>574</v>
      </c>
      <c r="N1" s="1" t="s">
        <v>578</v>
      </c>
      <c r="O1" s="1" t="s">
        <v>579</v>
      </c>
      <c r="P1" s="1" t="s">
        <v>573</v>
      </c>
      <c r="Q1" s="2" t="s">
        <v>575</v>
      </c>
      <c r="R1" s="2" t="s">
        <v>576</v>
      </c>
      <c r="S1" s="2" t="s">
        <v>577</v>
      </c>
      <c r="T1" s="2" t="s">
        <v>537</v>
      </c>
    </row>
    <row r="2" spans="1:20">
      <c r="A2" s="4" t="s">
        <v>7</v>
      </c>
      <c r="B2" s="4" t="s">
        <v>8</v>
      </c>
      <c r="C2" s="4" t="s">
        <v>9</v>
      </c>
      <c r="D2" s="4" t="s">
        <v>348</v>
      </c>
      <c r="E2" s="4" t="s">
        <v>462</v>
      </c>
      <c r="F2" s="4" t="s">
        <v>504</v>
      </c>
      <c r="G2" s="4" t="s">
        <v>530</v>
      </c>
      <c r="H2" s="4" t="s">
        <v>437</v>
      </c>
      <c r="I2" s="4" t="s">
        <v>106</v>
      </c>
      <c r="J2" s="4" t="s">
        <v>107</v>
      </c>
      <c r="K2" s="4" t="s">
        <v>108</v>
      </c>
      <c r="L2" s="4" t="s">
        <v>47</v>
      </c>
      <c r="M2" s="5">
        <v>78.457499999999996</v>
      </c>
      <c r="N2" s="5">
        <v>0</v>
      </c>
      <c r="O2" s="5">
        <v>1496.25</v>
      </c>
      <c r="P2" s="5">
        <v>6000</v>
      </c>
      <c r="Q2" s="5">
        <v>8501.3024999999998</v>
      </c>
      <c r="R2" s="5">
        <v>0</v>
      </c>
      <c r="S2" s="5">
        <v>8501.3024999999998</v>
      </c>
    </row>
    <row r="3" spans="1:20">
      <c r="A3" s="4" t="s">
        <v>7</v>
      </c>
      <c r="B3" s="4" t="s">
        <v>17</v>
      </c>
      <c r="C3" s="4" t="s">
        <v>18</v>
      </c>
      <c r="D3" s="4" t="s">
        <v>384</v>
      </c>
      <c r="E3" s="4" t="s">
        <v>466</v>
      </c>
      <c r="F3" s="4" t="s">
        <v>515</v>
      </c>
      <c r="G3" s="4" t="s">
        <v>533</v>
      </c>
      <c r="H3" s="4" t="s">
        <v>458</v>
      </c>
      <c r="I3" s="4" t="s">
        <v>269</v>
      </c>
      <c r="J3" s="4" t="s">
        <v>270</v>
      </c>
      <c r="K3" s="4" t="s">
        <v>271</v>
      </c>
      <c r="L3" s="4" t="s">
        <v>157</v>
      </c>
      <c r="M3" s="5">
        <v>0</v>
      </c>
      <c r="N3" s="5">
        <v>41266.5</v>
      </c>
      <c r="O3" s="5">
        <v>0</v>
      </c>
      <c r="P3" s="5">
        <v>3750</v>
      </c>
      <c r="Q3" s="5">
        <v>135016.5</v>
      </c>
      <c r="R3" s="5">
        <v>0</v>
      </c>
      <c r="S3" s="5">
        <v>135016.5</v>
      </c>
      <c r="T3" s="4" t="s">
        <v>567</v>
      </c>
    </row>
    <row r="4" spans="1:20">
      <c r="A4" s="4" t="s">
        <v>7</v>
      </c>
      <c r="B4" s="4" t="s">
        <v>8</v>
      </c>
      <c r="C4" s="4" t="s">
        <v>9</v>
      </c>
      <c r="D4" s="4" t="s">
        <v>386</v>
      </c>
      <c r="E4" s="4" t="s">
        <v>462</v>
      </c>
      <c r="F4" s="4" t="s">
        <v>516</v>
      </c>
      <c r="G4" s="4" t="s">
        <v>534</v>
      </c>
      <c r="H4" s="4" t="s">
        <v>405</v>
      </c>
      <c r="I4" s="4" t="s">
        <v>51</v>
      </c>
      <c r="J4" s="4" t="s">
        <v>52</v>
      </c>
      <c r="K4" s="4" t="s">
        <v>53</v>
      </c>
      <c r="L4" s="4" t="s">
        <v>47</v>
      </c>
      <c r="M4" s="5">
        <v>0</v>
      </c>
      <c r="N4" s="5">
        <v>29838.75</v>
      </c>
      <c r="O4" s="5">
        <v>0</v>
      </c>
      <c r="P4" s="5">
        <v>106875</v>
      </c>
      <c r="Q4" s="5">
        <v>136713.75</v>
      </c>
      <c r="R4" s="5">
        <v>0</v>
      </c>
      <c r="S4" s="5">
        <v>136713.75</v>
      </c>
    </row>
    <row r="5" spans="1:20">
      <c r="A5" s="4" t="s">
        <v>7</v>
      </c>
      <c r="B5" s="4" t="s">
        <v>17</v>
      </c>
      <c r="C5" s="4" t="s">
        <v>18</v>
      </c>
      <c r="D5" s="4" t="s">
        <v>394</v>
      </c>
      <c r="E5" s="4" t="s">
        <v>466</v>
      </c>
      <c r="F5" s="4" t="s">
        <v>516</v>
      </c>
      <c r="G5" s="4" t="s">
        <v>534</v>
      </c>
      <c r="H5" s="4" t="s">
        <v>415</v>
      </c>
      <c r="I5" s="4" t="s">
        <v>249</v>
      </c>
      <c r="J5" s="4" t="s">
        <v>250</v>
      </c>
      <c r="K5" s="4" t="s">
        <v>251</v>
      </c>
      <c r="L5" s="4" t="s">
        <v>157</v>
      </c>
      <c r="M5" s="5">
        <v>42.286499999999997</v>
      </c>
      <c r="N5" s="5">
        <v>5207.9775</v>
      </c>
      <c r="O5" s="5">
        <v>1451.25</v>
      </c>
      <c r="P5" s="5">
        <v>300</v>
      </c>
      <c r="Q5" s="5">
        <v>105035.43</v>
      </c>
      <c r="R5" s="5">
        <v>0</v>
      </c>
      <c r="S5" s="5">
        <v>105035.43</v>
      </c>
      <c r="T5" s="4" t="s">
        <v>570</v>
      </c>
    </row>
    <row r="6" spans="1:20">
      <c r="A6" s="4" t="s">
        <v>7</v>
      </c>
      <c r="B6" s="4" t="s">
        <v>17</v>
      </c>
      <c r="C6" s="4" t="s">
        <v>18</v>
      </c>
      <c r="D6" s="4" t="s">
        <v>391</v>
      </c>
      <c r="E6" s="4" t="s">
        <v>466</v>
      </c>
      <c r="F6" s="4" t="s">
        <v>516</v>
      </c>
      <c r="G6" s="4" t="s">
        <v>534</v>
      </c>
      <c r="H6" s="4" t="s">
        <v>435</v>
      </c>
      <c r="I6" s="4" t="s">
        <v>145</v>
      </c>
      <c r="J6" s="4" t="s">
        <v>166</v>
      </c>
      <c r="K6" s="4" t="s">
        <v>62</v>
      </c>
      <c r="L6" s="4" t="s">
        <v>165</v>
      </c>
      <c r="M6" s="5">
        <v>29984.693850000003</v>
      </c>
      <c r="N6" s="5">
        <v>0</v>
      </c>
      <c r="O6" s="5">
        <v>44625</v>
      </c>
      <c r="P6" s="5">
        <v>9135</v>
      </c>
      <c r="Q6" s="5">
        <v>701249.22750000004</v>
      </c>
      <c r="R6" s="5">
        <v>551250</v>
      </c>
      <c r="S6" s="5">
        <v>149999.22750000004</v>
      </c>
      <c r="T6" s="4" t="s">
        <v>568</v>
      </c>
    </row>
    <row r="7" spans="1:20">
      <c r="A7" s="4" t="s">
        <v>7</v>
      </c>
      <c r="B7" s="4" t="s">
        <v>8</v>
      </c>
      <c r="C7" s="4" t="s">
        <v>9</v>
      </c>
      <c r="D7" s="4" t="s">
        <v>388</v>
      </c>
      <c r="E7" s="4" t="s">
        <v>462</v>
      </c>
      <c r="F7" s="4" t="s">
        <v>516</v>
      </c>
      <c r="G7" s="4" t="s">
        <v>534</v>
      </c>
      <c r="H7" s="4" t="s">
        <v>456</v>
      </c>
      <c r="I7" s="4" t="s">
        <v>87</v>
      </c>
      <c r="J7" s="4" t="s">
        <v>88</v>
      </c>
      <c r="K7" s="4" t="s">
        <v>89</v>
      </c>
      <c r="L7" s="4" t="s">
        <v>47</v>
      </c>
      <c r="M7" s="5">
        <v>85.679999999999993</v>
      </c>
      <c r="N7" s="5">
        <v>0</v>
      </c>
      <c r="O7" s="5">
        <v>48956.25</v>
      </c>
      <c r="P7" s="5">
        <v>258.75</v>
      </c>
      <c r="Q7" s="5">
        <v>115557.6225</v>
      </c>
      <c r="R7" s="5">
        <v>12750</v>
      </c>
      <c r="S7" s="5">
        <v>102807.6225</v>
      </c>
    </row>
    <row r="8" spans="1:20">
      <c r="A8" s="4" t="s">
        <v>7</v>
      </c>
      <c r="B8" s="4" t="s">
        <v>17</v>
      </c>
      <c r="C8" s="4" t="s">
        <v>18</v>
      </c>
      <c r="D8" s="4" t="s">
        <v>396</v>
      </c>
      <c r="E8" s="4" t="s">
        <v>466</v>
      </c>
      <c r="F8" s="4" t="s">
        <v>518</v>
      </c>
      <c r="G8" s="4" t="s">
        <v>535</v>
      </c>
      <c r="H8" s="4" t="s">
        <v>455</v>
      </c>
      <c r="I8" s="4" t="s">
        <v>252</v>
      </c>
      <c r="J8" s="4" t="s">
        <v>253</v>
      </c>
      <c r="K8" s="4" t="s">
        <v>254</v>
      </c>
      <c r="L8" s="4" t="s">
        <v>157</v>
      </c>
      <c r="M8" s="5">
        <v>8.19</v>
      </c>
      <c r="N8" s="5">
        <v>0</v>
      </c>
      <c r="O8" s="5">
        <v>24451.875</v>
      </c>
      <c r="P8" s="5">
        <v>21789</v>
      </c>
      <c r="Q8" s="5">
        <v>82963.237499999988</v>
      </c>
      <c r="R8" s="5">
        <v>0</v>
      </c>
      <c r="S8" s="5">
        <v>82963.237499999988</v>
      </c>
      <c r="T8" s="4" t="s">
        <v>572</v>
      </c>
    </row>
    <row r="9" spans="1:20">
      <c r="A9" s="4" t="s">
        <v>7</v>
      </c>
      <c r="B9" s="4" t="s">
        <v>8</v>
      </c>
      <c r="C9" s="4" t="s">
        <v>9</v>
      </c>
      <c r="D9" s="4" t="s">
        <v>301</v>
      </c>
      <c r="E9" s="4" t="s">
        <v>462</v>
      </c>
      <c r="F9" s="4" t="s">
        <v>486</v>
      </c>
      <c r="G9" s="4" t="s">
        <v>520</v>
      </c>
      <c r="H9" s="4" t="s">
        <v>401</v>
      </c>
      <c r="I9" s="4" t="s">
        <v>57</v>
      </c>
      <c r="J9" s="4" t="s">
        <v>58</v>
      </c>
      <c r="K9" s="4" t="s">
        <v>59</v>
      </c>
      <c r="L9" s="4" t="s">
        <v>13</v>
      </c>
      <c r="M9" s="5">
        <v>0</v>
      </c>
      <c r="N9" s="5">
        <v>0</v>
      </c>
      <c r="O9" s="5">
        <v>0</v>
      </c>
      <c r="P9" s="5">
        <v>9375</v>
      </c>
      <c r="Q9" s="5">
        <v>9375</v>
      </c>
      <c r="R9" s="5">
        <v>0</v>
      </c>
      <c r="S9" s="5">
        <v>9375</v>
      </c>
      <c r="T9" s="4" t="s">
        <v>540</v>
      </c>
    </row>
    <row r="10" spans="1:20">
      <c r="A10" s="4" t="s">
        <v>7</v>
      </c>
      <c r="B10" s="4" t="s">
        <v>8</v>
      </c>
      <c r="C10" s="4" t="s">
        <v>9</v>
      </c>
      <c r="D10" s="4" t="s">
        <v>373</v>
      </c>
      <c r="E10" s="4" t="s">
        <v>462</v>
      </c>
      <c r="F10" s="4" t="s">
        <v>513</v>
      </c>
      <c r="G10" s="4" t="s">
        <v>532</v>
      </c>
      <c r="H10" s="4" t="s">
        <v>440</v>
      </c>
      <c r="I10" s="4" t="s">
        <v>45</v>
      </c>
      <c r="J10" s="4" t="s">
        <v>46</v>
      </c>
      <c r="K10" s="4" t="s">
        <v>45</v>
      </c>
      <c r="L10" s="4" t="s">
        <v>47</v>
      </c>
      <c r="M10" s="5">
        <v>0</v>
      </c>
      <c r="N10" s="5">
        <v>0</v>
      </c>
      <c r="O10" s="5">
        <v>0</v>
      </c>
      <c r="P10" s="5">
        <v>45882.75</v>
      </c>
      <c r="Q10" s="5">
        <v>45882.75</v>
      </c>
      <c r="R10" s="5">
        <v>0</v>
      </c>
      <c r="S10" s="5">
        <v>45882.75</v>
      </c>
    </row>
    <row r="11" spans="1:20">
      <c r="A11" s="4" t="s">
        <v>7</v>
      </c>
      <c r="B11" s="4" t="s">
        <v>17</v>
      </c>
      <c r="C11" s="4" t="s">
        <v>18</v>
      </c>
      <c r="D11" s="4" t="s">
        <v>393</v>
      </c>
      <c r="E11" s="4" t="s">
        <v>481</v>
      </c>
      <c r="F11" s="4" t="s">
        <v>516</v>
      </c>
      <c r="G11" s="4" t="s">
        <v>534</v>
      </c>
      <c r="H11" s="4" t="s">
        <v>439</v>
      </c>
      <c r="I11" s="4" t="s">
        <v>24</v>
      </c>
      <c r="J11" s="4" t="s">
        <v>210</v>
      </c>
      <c r="K11" s="4" t="s">
        <v>26</v>
      </c>
      <c r="L11" s="4" t="s">
        <v>22</v>
      </c>
      <c r="M11" s="5">
        <v>205.63229999999999</v>
      </c>
      <c r="N11" s="5">
        <v>0</v>
      </c>
      <c r="O11" s="5">
        <v>0</v>
      </c>
      <c r="P11" s="5">
        <v>187.5</v>
      </c>
      <c r="Q11" s="5">
        <v>11045.782499999999</v>
      </c>
      <c r="R11" s="5">
        <v>0</v>
      </c>
      <c r="S11" s="5">
        <v>11045.782499999999</v>
      </c>
      <c r="T11" s="4" t="s">
        <v>569</v>
      </c>
    </row>
    <row r="12" spans="1:20">
      <c r="A12" s="4" t="s">
        <v>7</v>
      </c>
      <c r="B12" s="4" t="s">
        <v>17</v>
      </c>
      <c r="C12" s="4" t="s">
        <v>18</v>
      </c>
      <c r="D12" s="4" t="s">
        <v>371</v>
      </c>
      <c r="E12" s="4" t="s">
        <v>466</v>
      </c>
      <c r="F12" s="4" t="s">
        <v>504</v>
      </c>
      <c r="G12" s="4" t="s">
        <v>530</v>
      </c>
      <c r="H12" s="4" t="s">
        <v>404</v>
      </c>
      <c r="I12" s="4" t="s">
        <v>281</v>
      </c>
      <c r="J12" s="4" t="s">
        <v>282</v>
      </c>
      <c r="K12" s="4" t="s">
        <v>283</v>
      </c>
      <c r="L12" s="4" t="s">
        <v>157</v>
      </c>
      <c r="M12" s="5">
        <v>51.772500000000001</v>
      </c>
      <c r="N12" s="5">
        <v>1221</v>
      </c>
      <c r="O12" s="5">
        <v>0</v>
      </c>
      <c r="P12" s="5">
        <v>90000</v>
      </c>
      <c r="Q12" s="5">
        <v>151695.45000000001</v>
      </c>
      <c r="R12" s="5">
        <v>18795</v>
      </c>
      <c r="S12" s="5">
        <v>132900.45000000001</v>
      </c>
      <c r="T12" s="4" t="s">
        <v>560</v>
      </c>
    </row>
    <row r="13" spans="1:20">
      <c r="A13" s="4" t="s">
        <v>7</v>
      </c>
      <c r="B13" s="4" t="s">
        <v>17</v>
      </c>
      <c r="C13" s="4" t="s">
        <v>18</v>
      </c>
      <c r="D13" s="4" t="s">
        <v>309</v>
      </c>
      <c r="E13" s="4" t="s">
        <v>467</v>
      </c>
      <c r="F13" s="4" t="s">
        <v>486</v>
      </c>
      <c r="G13" s="4" t="s">
        <v>520</v>
      </c>
      <c r="H13" s="4" t="s">
        <v>408</v>
      </c>
      <c r="I13" s="4" t="s">
        <v>21</v>
      </c>
      <c r="J13" s="4" t="s">
        <v>290</v>
      </c>
      <c r="K13" s="4" t="s">
        <v>21</v>
      </c>
      <c r="L13" s="4" t="s">
        <v>139</v>
      </c>
      <c r="M13" s="5">
        <v>984.47159999999997</v>
      </c>
      <c r="N13" s="5">
        <v>1665.8999999999999</v>
      </c>
      <c r="O13" s="5">
        <v>0</v>
      </c>
      <c r="P13" s="5">
        <v>68625</v>
      </c>
      <c r="Q13" s="5">
        <v>90000</v>
      </c>
      <c r="R13" s="5">
        <v>90000</v>
      </c>
      <c r="S13" s="5">
        <v>0</v>
      </c>
      <c r="T13" s="4" t="s">
        <v>541</v>
      </c>
    </row>
    <row r="14" spans="1:20">
      <c r="A14" s="4" t="s">
        <v>7</v>
      </c>
      <c r="B14" s="4" t="s">
        <v>17</v>
      </c>
      <c r="C14" s="4" t="s">
        <v>18</v>
      </c>
      <c r="D14" s="4" t="s">
        <v>392</v>
      </c>
      <c r="E14" s="4" t="s">
        <v>466</v>
      </c>
      <c r="F14" s="4" t="s">
        <v>517</v>
      </c>
      <c r="G14" s="4" t="s">
        <v>534</v>
      </c>
      <c r="H14" s="4" t="s">
        <v>460</v>
      </c>
      <c r="I14" s="4" t="s">
        <v>208</v>
      </c>
      <c r="J14" s="4" t="s">
        <v>209</v>
      </c>
      <c r="K14" s="4" t="s">
        <v>207</v>
      </c>
      <c r="L14" s="4" t="s">
        <v>157</v>
      </c>
      <c r="M14" s="5">
        <v>154.59359999999998</v>
      </c>
      <c r="N14" s="5">
        <v>0</v>
      </c>
      <c r="O14" s="5">
        <v>16815</v>
      </c>
      <c r="P14" s="5">
        <v>2625</v>
      </c>
      <c r="Q14" s="5">
        <v>85163.557499999995</v>
      </c>
      <c r="R14" s="5">
        <v>0</v>
      </c>
      <c r="S14" s="5">
        <v>85163.557499999995</v>
      </c>
      <c r="T14" s="4" t="s">
        <v>568</v>
      </c>
    </row>
    <row r="15" spans="1:20">
      <c r="A15" s="4" t="s">
        <v>7</v>
      </c>
      <c r="B15" s="4" t="s">
        <v>8</v>
      </c>
      <c r="C15" s="4" t="s">
        <v>9</v>
      </c>
      <c r="D15" s="4" t="s">
        <v>387</v>
      </c>
      <c r="E15" s="4" t="s">
        <v>462</v>
      </c>
      <c r="F15" s="4" t="s">
        <v>516</v>
      </c>
      <c r="G15" s="4" t="s">
        <v>534</v>
      </c>
      <c r="H15" s="4" t="s">
        <v>449</v>
      </c>
      <c r="I15" s="4" t="s">
        <v>78</v>
      </c>
      <c r="J15" s="4" t="s">
        <v>79</v>
      </c>
      <c r="K15" s="4" t="s">
        <v>80</v>
      </c>
      <c r="L15" s="4" t="s">
        <v>47</v>
      </c>
      <c r="M15" s="5">
        <v>138.11339999999998</v>
      </c>
      <c r="N15" s="5">
        <v>975.44999999999993</v>
      </c>
      <c r="O15" s="5">
        <v>2658.75</v>
      </c>
      <c r="P15" s="5">
        <v>684.375</v>
      </c>
      <c r="Q15" s="5">
        <v>130559.32500000001</v>
      </c>
      <c r="R15" s="5">
        <v>8011.5</v>
      </c>
      <c r="S15" s="5">
        <v>122547.82500000001</v>
      </c>
    </row>
    <row r="16" spans="1:20">
      <c r="A16" s="4" t="s">
        <v>7</v>
      </c>
      <c r="B16" s="4" t="s">
        <v>8</v>
      </c>
      <c r="C16" s="4" t="s">
        <v>9</v>
      </c>
      <c r="D16" s="4" t="s">
        <v>349</v>
      </c>
      <c r="E16" s="4" t="s">
        <v>462</v>
      </c>
      <c r="F16" s="4" t="s">
        <v>503</v>
      </c>
      <c r="G16" s="4" t="s">
        <v>530</v>
      </c>
      <c r="H16" s="4" t="s">
        <v>438</v>
      </c>
      <c r="I16" s="4" t="s">
        <v>118</v>
      </c>
      <c r="J16" s="4" t="s">
        <v>119</v>
      </c>
      <c r="K16" s="4" t="s">
        <v>120</v>
      </c>
      <c r="L16" s="4" t="s">
        <v>13</v>
      </c>
      <c r="M16" s="5">
        <v>0</v>
      </c>
      <c r="N16" s="5">
        <v>41266.5</v>
      </c>
      <c r="O16" s="5">
        <v>0</v>
      </c>
      <c r="P16" s="5">
        <v>3750</v>
      </c>
      <c r="Q16" s="5">
        <v>135016.5</v>
      </c>
      <c r="R16" s="5">
        <v>0</v>
      </c>
      <c r="S16" s="5">
        <v>135016.5</v>
      </c>
    </row>
    <row r="17" spans="1:20">
      <c r="A17" s="4" t="s">
        <v>7</v>
      </c>
      <c r="B17" s="4" t="s">
        <v>8</v>
      </c>
      <c r="C17" s="4" t="s">
        <v>9</v>
      </c>
      <c r="D17" s="4" t="s">
        <v>374</v>
      </c>
      <c r="E17" s="4" t="s">
        <v>462</v>
      </c>
      <c r="F17" s="4" t="s">
        <v>514</v>
      </c>
      <c r="G17" s="4" t="s">
        <v>532</v>
      </c>
      <c r="H17" s="4" t="s">
        <v>450</v>
      </c>
      <c r="I17" s="4" t="s">
        <v>81</v>
      </c>
      <c r="J17" s="4" t="s">
        <v>82</v>
      </c>
      <c r="K17" s="4" t="s">
        <v>83</v>
      </c>
      <c r="L17" s="4" t="s">
        <v>47</v>
      </c>
      <c r="M17" s="5">
        <v>85.679999999999993</v>
      </c>
      <c r="N17" s="5">
        <v>0</v>
      </c>
      <c r="O17" s="5">
        <v>7443.75</v>
      </c>
      <c r="P17" s="5">
        <v>215.625</v>
      </c>
      <c r="Q17" s="5">
        <v>19292.13</v>
      </c>
      <c r="R17" s="5">
        <v>621</v>
      </c>
      <c r="S17" s="5">
        <v>18671.13</v>
      </c>
    </row>
    <row r="18" spans="1:20">
      <c r="A18" s="4" t="s">
        <v>7</v>
      </c>
      <c r="B18" s="4" t="s">
        <v>8</v>
      </c>
      <c r="C18" s="4" t="s">
        <v>9</v>
      </c>
      <c r="D18" s="4" t="s">
        <v>304</v>
      </c>
      <c r="E18" s="4" t="s">
        <v>462</v>
      </c>
      <c r="F18" s="4" t="s">
        <v>486</v>
      </c>
      <c r="G18" s="4" t="s">
        <v>520</v>
      </c>
      <c r="H18" s="4" t="s">
        <v>404</v>
      </c>
      <c r="I18" s="4" t="s">
        <v>130</v>
      </c>
      <c r="J18" s="4" t="s">
        <v>131</v>
      </c>
      <c r="K18" s="4" t="s">
        <v>132</v>
      </c>
      <c r="L18" s="4" t="s">
        <v>102</v>
      </c>
      <c r="M18" s="5">
        <v>240.81960000000001</v>
      </c>
      <c r="N18" s="5">
        <v>0</v>
      </c>
      <c r="O18" s="5">
        <v>10740</v>
      </c>
      <c r="P18" s="5">
        <v>30375</v>
      </c>
      <c r="Q18" s="5">
        <v>75516.299999999988</v>
      </c>
      <c r="R18" s="5">
        <v>75516</v>
      </c>
      <c r="S18" s="5">
        <v>0.29999999998835847</v>
      </c>
      <c r="T18" s="4" t="s">
        <v>540</v>
      </c>
    </row>
    <row r="19" spans="1:20">
      <c r="A19" s="4" t="s">
        <v>23</v>
      </c>
      <c r="B19" s="4" t="s">
        <v>17</v>
      </c>
      <c r="C19" s="4" t="s">
        <v>18</v>
      </c>
      <c r="D19" s="4" t="s">
        <v>333</v>
      </c>
      <c r="E19" s="4" t="s">
        <v>463</v>
      </c>
      <c r="F19" s="4" t="s">
        <v>497</v>
      </c>
      <c r="G19" s="4" t="s">
        <v>527</v>
      </c>
      <c r="H19" s="4" t="s">
        <v>426</v>
      </c>
      <c r="I19" s="4" t="s">
        <v>36</v>
      </c>
      <c r="J19" s="4" t="s">
        <v>37</v>
      </c>
      <c r="K19" s="4" t="s">
        <v>38</v>
      </c>
      <c r="L19" s="4" t="s">
        <v>13</v>
      </c>
      <c r="M19" s="5">
        <v>57.12</v>
      </c>
      <c r="N19" s="5">
        <v>92.887499999999989</v>
      </c>
      <c r="O19" s="5">
        <v>63.75</v>
      </c>
      <c r="P19" s="5">
        <v>4425</v>
      </c>
      <c r="Q19" s="5">
        <v>7500</v>
      </c>
      <c r="R19" s="5">
        <v>7500</v>
      </c>
      <c r="S19" s="5">
        <v>0</v>
      </c>
      <c r="T19" s="4" t="s">
        <v>545</v>
      </c>
    </row>
    <row r="20" spans="1:20">
      <c r="A20" s="4" t="s">
        <v>23</v>
      </c>
      <c r="B20" s="4" t="s">
        <v>17</v>
      </c>
      <c r="C20" s="4" t="s">
        <v>18</v>
      </c>
      <c r="D20" s="4" t="s">
        <v>330</v>
      </c>
      <c r="E20" s="4" t="s">
        <v>463</v>
      </c>
      <c r="F20" s="4" t="s">
        <v>497</v>
      </c>
      <c r="G20" s="4" t="s">
        <v>527</v>
      </c>
      <c r="H20" s="4" t="s">
        <v>400</v>
      </c>
      <c r="I20" s="4" t="s">
        <v>27</v>
      </c>
      <c r="J20" s="4" t="s">
        <v>28</v>
      </c>
      <c r="K20" s="4" t="s">
        <v>29</v>
      </c>
      <c r="L20" s="4" t="s">
        <v>13</v>
      </c>
      <c r="M20" s="5">
        <v>43.3125</v>
      </c>
      <c r="N20" s="5">
        <v>5.25</v>
      </c>
      <c r="O20" s="5">
        <v>7751.25</v>
      </c>
      <c r="P20" s="5">
        <v>17688.75</v>
      </c>
      <c r="Q20" s="5">
        <v>150000</v>
      </c>
      <c r="R20" s="5">
        <v>150000</v>
      </c>
      <c r="S20" s="5">
        <v>0</v>
      </c>
      <c r="T20" s="4" t="s">
        <v>545</v>
      </c>
    </row>
    <row r="21" spans="1:20">
      <c r="A21" s="4" t="s">
        <v>23</v>
      </c>
      <c r="B21" s="4" t="s">
        <v>17</v>
      </c>
      <c r="C21" s="4" t="s">
        <v>18</v>
      </c>
      <c r="D21" s="4" t="s">
        <v>332</v>
      </c>
      <c r="E21" s="4" t="s">
        <v>463</v>
      </c>
      <c r="F21" s="4" t="s">
        <v>497</v>
      </c>
      <c r="G21" s="4" t="s">
        <v>527</v>
      </c>
      <c r="H21" s="4" t="s">
        <v>423</v>
      </c>
      <c r="I21" s="4" t="s">
        <v>33</v>
      </c>
      <c r="J21" s="4" t="s">
        <v>34</v>
      </c>
      <c r="K21" s="4" t="s">
        <v>35</v>
      </c>
      <c r="L21" s="4" t="s">
        <v>13</v>
      </c>
      <c r="M21" s="5">
        <v>54.599999999999994</v>
      </c>
      <c r="N21" s="5">
        <v>0</v>
      </c>
      <c r="O21" s="5">
        <v>926.25</v>
      </c>
      <c r="P21" s="5">
        <v>1263.75</v>
      </c>
      <c r="Q21" s="5">
        <v>26250</v>
      </c>
      <c r="R21" s="5">
        <v>26250</v>
      </c>
      <c r="S21" s="5">
        <v>0</v>
      </c>
      <c r="T21" s="4" t="s">
        <v>545</v>
      </c>
    </row>
    <row r="22" spans="1:20">
      <c r="A22" s="4" t="s">
        <v>23</v>
      </c>
      <c r="B22" s="4" t="s">
        <v>17</v>
      </c>
      <c r="C22" s="4" t="s">
        <v>18</v>
      </c>
      <c r="D22" s="4" t="s">
        <v>331</v>
      </c>
      <c r="E22" s="4" t="s">
        <v>463</v>
      </c>
      <c r="F22" s="4" t="s">
        <v>497</v>
      </c>
      <c r="G22" s="4" t="s">
        <v>527</v>
      </c>
      <c r="H22" s="4" t="s">
        <v>416</v>
      </c>
      <c r="I22" s="4" t="s">
        <v>30</v>
      </c>
      <c r="J22" s="4" t="s">
        <v>31</v>
      </c>
      <c r="K22" s="4" t="s">
        <v>32</v>
      </c>
      <c r="L22" s="4" t="s">
        <v>13</v>
      </c>
      <c r="M22" s="5">
        <v>264.7176</v>
      </c>
      <c r="N22" s="5">
        <v>99</v>
      </c>
      <c r="O22" s="5">
        <v>191.25</v>
      </c>
      <c r="P22" s="5">
        <v>2613.75</v>
      </c>
      <c r="Q22" s="5">
        <v>30000</v>
      </c>
      <c r="R22" s="5">
        <v>30000</v>
      </c>
      <c r="S22" s="5">
        <v>0</v>
      </c>
      <c r="T22" s="4" t="s">
        <v>545</v>
      </c>
    </row>
    <row r="23" spans="1:20">
      <c r="A23" s="4" t="s">
        <v>7</v>
      </c>
      <c r="B23" s="4" t="s">
        <v>17</v>
      </c>
      <c r="C23" s="4" t="s">
        <v>18</v>
      </c>
      <c r="D23" s="4" t="s">
        <v>342</v>
      </c>
      <c r="E23" s="4" t="s">
        <v>472</v>
      </c>
      <c r="F23" s="4" t="s">
        <v>501</v>
      </c>
      <c r="G23" s="4" t="s">
        <v>529</v>
      </c>
      <c r="H23" s="4" t="s">
        <v>433</v>
      </c>
      <c r="I23" s="4" t="s">
        <v>291</v>
      </c>
      <c r="J23" s="4" t="s">
        <v>292</v>
      </c>
      <c r="K23" s="4" t="s">
        <v>293</v>
      </c>
      <c r="L23" s="4" t="s">
        <v>139</v>
      </c>
      <c r="M23" s="5">
        <v>0</v>
      </c>
      <c r="N23" s="5">
        <v>82533</v>
      </c>
      <c r="O23" s="5">
        <v>0</v>
      </c>
      <c r="P23" s="5">
        <v>135000</v>
      </c>
      <c r="Q23" s="5">
        <v>225033</v>
      </c>
      <c r="R23" s="5">
        <v>0</v>
      </c>
      <c r="S23" s="5">
        <v>225033</v>
      </c>
      <c r="T23" s="4" t="s">
        <v>547</v>
      </c>
    </row>
    <row r="24" spans="1:20">
      <c r="A24" s="4" t="s">
        <v>7</v>
      </c>
      <c r="B24" s="4" t="s">
        <v>8</v>
      </c>
      <c r="C24" s="4" t="s">
        <v>9</v>
      </c>
      <c r="D24" s="4" t="s">
        <v>321</v>
      </c>
      <c r="E24" s="4" t="s">
        <v>462</v>
      </c>
      <c r="F24" s="4" t="s">
        <v>493</v>
      </c>
      <c r="G24" s="4" t="s">
        <v>524</v>
      </c>
      <c r="H24" s="4" t="s">
        <v>419</v>
      </c>
      <c r="I24" s="4" t="s">
        <v>93</v>
      </c>
      <c r="J24" s="4" t="s">
        <v>94</v>
      </c>
      <c r="K24" s="4" t="s">
        <v>95</v>
      </c>
      <c r="L24" s="4" t="s">
        <v>13</v>
      </c>
      <c r="M24" s="5">
        <v>0</v>
      </c>
      <c r="N24" s="5">
        <v>24.674999999999997</v>
      </c>
      <c r="O24" s="5">
        <v>0</v>
      </c>
      <c r="P24" s="5">
        <v>1125</v>
      </c>
      <c r="Q24" s="5">
        <v>7500</v>
      </c>
      <c r="R24" s="5">
        <v>7500</v>
      </c>
      <c r="S24" s="5">
        <v>0</v>
      </c>
    </row>
    <row r="25" spans="1:20">
      <c r="A25" s="4" t="s">
        <v>7</v>
      </c>
      <c r="B25" s="4" t="s">
        <v>17</v>
      </c>
      <c r="C25" s="4" t="s">
        <v>18</v>
      </c>
      <c r="D25" s="4" t="s">
        <v>341</v>
      </c>
      <c r="E25" s="4" t="s">
        <v>474</v>
      </c>
      <c r="F25" s="4" t="s">
        <v>502</v>
      </c>
      <c r="G25" s="4" t="s">
        <v>529</v>
      </c>
      <c r="H25" s="4" t="s">
        <v>432</v>
      </c>
      <c r="I25" s="4" t="s">
        <v>287</v>
      </c>
      <c r="J25" s="4" t="s">
        <v>288</v>
      </c>
      <c r="K25" s="4" t="s">
        <v>289</v>
      </c>
      <c r="L25" s="4" t="s">
        <v>22</v>
      </c>
      <c r="M25" s="5">
        <v>0</v>
      </c>
      <c r="N25" s="5">
        <v>0</v>
      </c>
      <c r="O25" s="5">
        <v>0</v>
      </c>
      <c r="P25" s="5">
        <v>433.125</v>
      </c>
      <c r="Q25" s="5">
        <v>433.125</v>
      </c>
      <c r="R25" s="5">
        <v>433.5</v>
      </c>
      <c r="S25" s="5">
        <v>-0.375</v>
      </c>
    </row>
    <row r="26" spans="1:20">
      <c r="A26" s="4" t="s">
        <v>7</v>
      </c>
      <c r="B26" s="4" t="s">
        <v>17</v>
      </c>
      <c r="C26" s="4" t="s">
        <v>18</v>
      </c>
      <c r="D26" s="4" t="s">
        <v>337</v>
      </c>
      <c r="E26" s="4" t="s">
        <v>476</v>
      </c>
      <c r="F26" s="4" t="s">
        <v>500</v>
      </c>
      <c r="G26" s="4" t="s">
        <v>528</v>
      </c>
      <c r="H26" s="4" t="s">
        <v>428</v>
      </c>
      <c r="I26" s="4" t="s">
        <v>190</v>
      </c>
      <c r="J26" s="4" t="s">
        <v>191</v>
      </c>
      <c r="K26" s="4" t="s">
        <v>192</v>
      </c>
      <c r="L26" s="4" t="s">
        <v>22</v>
      </c>
      <c r="M26" s="5">
        <v>0</v>
      </c>
      <c r="N26" s="5">
        <v>0</v>
      </c>
      <c r="O26" s="5">
        <v>0</v>
      </c>
      <c r="P26" s="5">
        <v>658.125</v>
      </c>
      <c r="Q26" s="5">
        <v>658.125</v>
      </c>
      <c r="R26" s="5">
        <v>658.5</v>
      </c>
      <c r="S26" s="5">
        <v>-0.375</v>
      </c>
      <c r="T26" s="4" t="s">
        <v>546</v>
      </c>
    </row>
    <row r="27" spans="1:20">
      <c r="A27" s="4" t="s">
        <v>7</v>
      </c>
      <c r="B27" s="4" t="s">
        <v>17</v>
      </c>
      <c r="C27" s="4" t="s">
        <v>18</v>
      </c>
      <c r="D27" s="4" t="s">
        <v>353</v>
      </c>
      <c r="E27" s="4" t="s">
        <v>466</v>
      </c>
      <c r="F27" s="4" t="s">
        <v>508</v>
      </c>
      <c r="G27" s="4" t="s">
        <v>530</v>
      </c>
      <c r="H27" s="4" t="s">
        <v>425</v>
      </c>
      <c r="I27" s="4" t="s">
        <v>154</v>
      </c>
      <c r="J27" s="4" t="s">
        <v>155</v>
      </c>
      <c r="K27" s="4" t="s">
        <v>156</v>
      </c>
      <c r="L27" s="4" t="s">
        <v>157</v>
      </c>
      <c r="M27" s="5">
        <v>1871.9759999999999</v>
      </c>
      <c r="N27" s="5">
        <v>0</v>
      </c>
      <c r="O27" s="5">
        <v>43117.5</v>
      </c>
      <c r="P27" s="5">
        <v>5700</v>
      </c>
      <c r="Q27" s="5">
        <v>112083.39749999999</v>
      </c>
      <c r="R27" s="5">
        <v>3432.75</v>
      </c>
      <c r="S27" s="5">
        <v>108650.64749999999</v>
      </c>
      <c r="T27" s="4" t="s">
        <v>553</v>
      </c>
    </row>
    <row r="28" spans="1:20">
      <c r="A28" s="4" t="s">
        <v>7</v>
      </c>
      <c r="B28" s="4" t="s">
        <v>17</v>
      </c>
      <c r="C28" s="4" t="s">
        <v>18</v>
      </c>
      <c r="D28" s="4" t="s">
        <v>395</v>
      </c>
      <c r="E28" s="4" t="s">
        <v>472</v>
      </c>
      <c r="F28" s="4" t="s">
        <v>518</v>
      </c>
      <c r="G28" s="4" t="s">
        <v>535</v>
      </c>
      <c r="H28" s="4" t="s">
        <v>461</v>
      </c>
      <c r="I28" s="4" t="s">
        <v>220</v>
      </c>
      <c r="J28" s="4" t="s">
        <v>223</v>
      </c>
      <c r="K28" s="4" t="s">
        <v>224</v>
      </c>
      <c r="L28" s="4" t="s">
        <v>139</v>
      </c>
      <c r="M28" s="5">
        <v>956.28967499999999</v>
      </c>
      <c r="N28" s="5">
        <v>0</v>
      </c>
      <c r="O28" s="5">
        <v>22272.75</v>
      </c>
      <c r="P28" s="5">
        <v>1599</v>
      </c>
      <c r="Q28" s="5">
        <v>270290.28749999998</v>
      </c>
      <c r="R28" s="5">
        <v>0</v>
      </c>
      <c r="S28" s="5">
        <v>270290.28749999998</v>
      </c>
      <c r="T28" s="4" t="s">
        <v>571</v>
      </c>
    </row>
    <row r="29" spans="1:20">
      <c r="A29" s="4" t="s">
        <v>7</v>
      </c>
      <c r="B29" s="4" t="s">
        <v>17</v>
      </c>
      <c r="C29" s="4" t="s">
        <v>18</v>
      </c>
      <c r="D29" s="4" t="s">
        <v>323</v>
      </c>
      <c r="E29" s="4" t="s">
        <v>474</v>
      </c>
      <c r="F29" s="4" t="s">
        <v>493</v>
      </c>
      <c r="G29" s="4" t="s">
        <v>524</v>
      </c>
      <c r="H29" s="4" t="s">
        <v>420</v>
      </c>
      <c r="I29" s="4" t="s">
        <v>187</v>
      </c>
      <c r="J29" s="4" t="s">
        <v>188</v>
      </c>
      <c r="K29" s="4" t="s">
        <v>189</v>
      </c>
      <c r="L29" s="4" t="s">
        <v>22</v>
      </c>
      <c r="M29" s="5">
        <v>111.13560000000001</v>
      </c>
      <c r="N29" s="5">
        <v>0</v>
      </c>
      <c r="O29" s="5">
        <v>49980</v>
      </c>
      <c r="P29" s="5">
        <v>10632.75</v>
      </c>
      <c r="Q29" s="5">
        <v>252000</v>
      </c>
      <c r="R29" s="5">
        <v>252000</v>
      </c>
      <c r="S29" s="5">
        <v>0</v>
      </c>
    </row>
    <row r="30" spans="1:20">
      <c r="A30" s="4" t="s">
        <v>7</v>
      </c>
      <c r="B30" s="4" t="s">
        <v>17</v>
      </c>
      <c r="C30" s="4" t="s">
        <v>18</v>
      </c>
      <c r="D30" s="4" t="s">
        <v>318</v>
      </c>
      <c r="E30" s="4" t="s">
        <v>472</v>
      </c>
      <c r="F30" s="4" t="s">
        <v>491</v>
      </c>
      <c r="G30" s="4" t="s">
        <v>523</v>
      </c>
      <c r="H30" s="4" t="s">
        <v>414</v>
      </c>
      <c r="I30" s="4" t="s">
        <v>255</v>
      </c>
      <c r="J30" s="4" t="s">
        <v>256</v>
      </c>
      <c r="K30" s="4" t="s">
        <v>257</v>
      </c>
      <c r="L30" s="4" t="s">
        <v>139</v>
      </c>
      <c r="M30" s="5">
        <v>0</v>
      </c>
      <c r="N30" s="5">
        <v>36</v>
      </c>
      <c r="O30" s="5">
        <v>0</v>
      </c>
      <c r="P30" s="5">
        <v>1125</v>
      </c>
      <c r="Q30" s="5">
        <v>6000</v>
      </c>
      <c r="R30" s="5">
        <v>6000</v>
      </c>
      <c r="S30" s="5">
        <v>0</v>
      </c>
    </row>
    <row r="31" spans="1:20">
      <c r="A31" s="4" t="s">
        <v>7</v>
      </c>
      <c r="B31" s="4" t="s">
        <v>17</v>
      </c>
      <c r="C31" s="4" t="s">
        <v>18</v>
      </c>
      <c r="D31" s="4" t="s">
        <v>340</v>
      </c>
      <c r="E31" s="4" t="s">
        <v>472</v>
      </c>
      <c r="F31" s="4" t="s">
        <v>501</v>
      </c>
      <c r="G31" s="4" t="s">
        <v>529</v>
      </c>
      <c r="H31" s="4" t="s">
        <v>431</v>
      </c>
      <c r="I31" s="4" t="s">
        <v>203</v>
      </c>
      <c r="J31" s="4" t="s">
        <v>204</v>
      </c>
      <c r="K31" s="4" t="s">
        <v>205</v>
      </c>
      <c r="L31" s="4" t="s">
        <v>139</v>
      </c>
      <c r="M31" s="5">
        <v>0</v>
      </c>
      <c r="N31" s="5">
        <v>0</v>
      </c>
      <c r="O31" s="5">
        <v>0</v>
      </c>
      <c r="P31" s="5">
        <v>1381.875</v>
      </c>
      <c r="Q31" s="5">
        <v>1381.875</v>
      </c>
      <c r="R31" s="5">
        <v>1382.25</v>
      </c>
      <c r="S31" s="5">
        <v>-0.375</v>
      </c>
    </row>
    <row r="32" spans="1:20">
      <c r="A32" s="4" t="s">
        <v>7</v>
      </c>
      <c r="B32" s="4" t="s">
        <v>8</v>
      </c>
      <c r="C32" s="4" t="s">
        <v>9</v>
      </c>
      <c r="D32" s="4" t="s">
        <v>310</v>
      </c>
      <c r="E32" s="4" t="s">
        <v>462</v>
      </c>
      <c r="F32" s="4" t="s">
        <v>489</v>
      </c>
      <c r="G32" s="4" t="s">
        <v>521</v>
      </c>
      <c r="H32" s="4" t="s">
        <v>409</v>
      </c>
      <c r="I32" s="4" t="s">
        <v>42</v>
      </c>
      <c r="J32" s="4" t="s">
        <v>43</v>
      </c>
      <c r="K32" s="4" t="s">
        <v>44</v>
      </c>
      <c r="L32" s="4" t="s">
        <v>13</v>
      </c>
      <c r="M32" s="5">
        <v>0</v>
      </c>
      <c r="N32" s="5">
        <v>0</v>
      </c>
      <c r="O32" s="5">
        <v>0</v>
      </c>
      <c r="P32" s="5">
        <v>9750</v>
      </c>
      <c r="Q32" s="5">
        <v>9750</v>
      </c>
      <c r="R32" s="5">
        <v>9750</v>
      </c>
      <c r="S32" s="5">
        <v>0</v>
      </c>
    </row>
    <row r="33" spans="1:20">
      <c r="A33" s="4" t="s">
        <v>7</v>
      </c>
      <c r="B33" s="4" t="s">
        <v>17</v>
      </c>
      <c r="C33" s="4" t="s">
        <v>18</v>
      </c>
      <c r="D33" s="4" t="s">
        <v>299</v>
      </c>
      <c r="E33" s="4" t="s">
        <v>463</v>
      </c>
      <c r="F33" s="4" t="s">
        <v>485</v>
      </c>
      <c r="G33" s="4" t="s">
        <v>519</v>
      </c>
      <c r="H33" s="4" t="s">
        <v>399</v>
      </c>
      <c r="I33" s="4" t="s">
        <v>233</v>
      </c>
      <c r="J33" s="4" t="s">
        <v>234</v>
      </c>
      <c r="K33" s="4" t="s">
        <v>230</v>
      </c>
      <c r="L33" s="4" t="s">
        <v>13</v>
      </c>
      <c r="M33" s="5">
        <v>0</v>
      </c>
      <c r="N33" s="5">
        <v>0</v>
      </c>
      <c r="O33" s="5">
        <v>0</v>
      </c>
      <c r="P33" s="5">
        <v>9375</v>
      </c>
      <c r="Q33" s="5">
        <v>9375</v>
      </c>
      <c r="R33" s="5">
        <v>0</v>
      </c>
      <c r="S33" s="5">
        <v>9375</v>
      </c>
      <c r="T33" s="4" t="s">
        <v>538</v>
      </c>
    </row>
    <row r="34" spans="1:20">
      <c r="A34" s="4" t="s">
        <v>7</v>
      </c>
      <c r="B34" s="4" t="s">
        <v>17</v>
      </c>
      <c r="C34" s="4" t="s">
        <v>9</v>
      </c>
      <c r="D34" s="4" t="s">
        <v>339</v>
      </c>
      <c r="E34" s="4" t="s">
        <v>462</v>
      </c>
      <c r="F34" s="4" t="s">
        <v>502</v>
      </c>
      <c r="G34" s="4" t="s">
        <v>529</v>
      </c>
      <c r="H34" s="4" t="s">
        <v>430</v>
      </c>
      <c r="I34" s="4" t="s">
        <v>136</v>
      </c>
      <c r="J34" s="4" t="s">
        <v>137</v>
      </c>
      <c r="K34" s="4" t="s">
        <v>138</v>
      </c>
      <c r="L34" s="4" t="s">
        <v>139</v>
      </c>
      <c r="M34" s="5">
        <v>114.24</v>
      </c>
      <c r="N34" s="5">
        <v>0</v>
      </c>
      <c r="O34" s="5">
        <v>3846.75</v>
      </c>
      <c r="P34" s="5">
        <v>802.5</v>
      </c>
      <c r="Q34" s="5">
        <v>21965.872500000001</v>
      </c>
      <c r="R34" s="5">
        <v>0</v>
      </c>
      <c r="S34" s="5">
        <v>21965.872500000001</v>
      </c>
    </row>
    <row r="35" spans="1:20">
      <c r="A35" s="4" t="s">
        <v>7</v>
      </c>
      <c r="B35" s="4" t="s">
        <v>17</v>
      </c>
      <c r="C35" s="4" t="s">
        <v>18</v>
      </c>
      <c r="D35" s="4" t="s">
        <v>339</v>
      </c>
      <c r="E35" s="4" t="s">
        <v>464</v>
      </c>
      <c r="F35" s="4" t="s">
        <v>502</v>
      </c>
      <c r="G35" s="4" t="s">
        <v>529</v>
      </c>
      <c r="H35" s="4" t="s">
        <v>430</v>
      </c>
      <c r="I35" s="4" t="s">
        <v>160</v>
      </c>
      <c r="J35" s="4" t="s">
        <v>137</v>
      </c>
      <c r="K35" s="4" t="s">
        <v>138</v>
      </c>
      <c r="L35" s="4" t="s">
        <v>139</v>
      </c>
      <c r="M35" s="5">
        <v>0</v>
      </c>
      <c r="N35" s="5">
        <v>0</v>
      </c>
      <c r="O35" s="5">
        <v>0</v>
      </c>
      <c r="P35" s="5">
        <v>506.25</v>
      </c>
      <c r="Q35" s="5">
        <v>506.25</v>
      </c>
      <c r="R35" s="5">
        <v>506.25</v>
      </c>
      <c r="S35" s="5">
        <v>0</v>
      </c>
    </row>
    <row r="36" spans="1:20">
      <c r="A36" s="4" t="s">
        <v>7</v>
      </c>
      <c r="B36" s="4" t="s">
        <v>17</v>
      </c>
      <c r="C36" s="4" t="s">
        <v>9</v>
      </c>
      <c r="D36" s="4" t="s">
        <v>316</v>
      </c>
      <c r="E36" s="4" t="s">
        <v>470</v>
      </c>
      <c r="F36" s="4" t="s">
        <v>491</v>
      </c>
      <c r="G36" s="4" t="s">
        <v>523</v>
      </c>
      <c r="H36" s="4" t="s">
        <v>415</v>
      </c>
      <c r="I36" s="4" t="s">
        <v>143</v>
      </c>
      <c r="J36" s="4" t="s">
        <v>144</v>
      </c>
      <c r="K36" s="4" t="s">
        <v>145</v>
      </c>
      <c r="L36" s="4" t="s">
        <v>47</v>
      </c>
      <c r="M36" s="5">
        <v>48.513150000000003</v>
      </c>
      <c r="N36" s="5">
        <v>3717.75</v>
      </c>
      <c r="O36" s="5">
        <v>0</v>
      </c>
      <c r="P36" s="5">
        <v>4800</v>
      </c>
      <c r="Q36" s="5">
        <v>60725.497499999998</v>
      </c>
      <c r="R36" s="5">
        <v>60725.25</v>
      </c>
      <c r="S36" s="5">
        <v>0.24749999999767169</v>
      </c>
    </row>
    <row r="37" spans="1:20">
      <c r="A37" s="4" t="s">
        <v>7</v>
      </c>
      <c r="B37" s="4" t="s">
        <v>17</v>
      </c>
      <c r="C37" s="4" t="s">
        <v>18</v>
      </c>
      <c r="D37" s="4" t="s">
        <v>314</v>
      </c>
      <c r="E37" s="4" t="s">
        <v>469</v>
      </c>
      <c r="F37" s="4" t="s">
        <v>490</v>
      </c>
      <c r="G37" s="4" t="s">
        <v>522</v>
      </c>
      <c r="H37" s="4" t="s">
        <v>413</v>
      </c>
      <c r="I37" s="4" t="s">
        <v>78</v>
      </c>
      <c r="J37" s="4" t="s">
        <v>193</v>
      </c>
      <c r="K37" s="4" t="s">
        <v>194</v>
      </c>
      <c r="L37" s="4" t="s">
        <v>142</v>
      </c>
      <c r="M37" s="5">
        <v>57.12</v>
      </c>
      <c r="N37" s="5">
        <v>0</v>
      </c>
      <c r="O37" s="5">
        <v>4623.75</v>
      </c>
      <c r="P37" s="5">
        <v>9000</v>
      </c>
      <c r="Q37" s="5">
        <v>33750</v>
      </c>
      <c r="R37" s="5">
        <v>33750</v>
      </c>
      <c r="S37" s="5">
        <v>0</v>
      </c>
      <c r="T37" s="4" t="s">
        <v>544</v>
      </c>
    </row>
    <row r="38" spans="1:20">
      <c r="A38" s="4" t="s">
        <v>7</v>
      </c>
      <c r="B38" s="4" t="s">
        <v>17</v>
      </c>
      <c r="C38" s="4" t="s">
        <v>18</v>
      </c>
      <c r="D38" s="4" t="s">
        <v>308</v>
      </c>
      <c r="E38" s="4" t="s">
        <v>466</v>
      </c>
      <c r="F38" s="4" t="s">
        <v>488</v>
      </c>
      <c r="G38" s="4" t="s">
        <v>520</v>
      </c>
      <c r="H38" s="4" t="s">
        <v>407</v>
      </c>
      <c r="I38" s="4" t="s">
        <v>261</v>
      </c>
      <c r="J38" s="4" t="s">
        <v>262</v>
      </c>
      <c r="K38" s="4" t="s">
        <v>263</v>
      </c>
      <c r="L38" s="4" t="s">
        <v>157</v>
      </c>
      <c r="M38" s="5">
        <v>28.56</v>
      </c>
      <c r="N38" s="5">
        <v>86.625</v>
      </c>
      <c r="O38" s="5">
        <v>0</v>
      </c>
      <c r="P38" s="5">
        <v>66000</v>
      </c>
      <c r="Q38" s="5">
        <v>90028.132499999992</v>
      </c>
      <c r="R38" s="5">
        <v>90028.5</v>
      </c>
      <c r="S38" s="5">
        <v>-0.367500000007567</v>
      </c>
      <c r="T38" s="4" t="s">
        <v>543</v>
      </c>
    </row>
    <row r="39" spans="1:20">
      <c r="A39" s="4" t="s">
        <v>7</v>
      </c>
      <c r="B39" s="4" t="s">
        <v>17</v>
      </c>
      <c r="C39" s="4" t="s">
        <v>18</v>
      </c>
      <c r="D39" s="4" t="s">
        <v>325</v>
      </c>
      <c r="E39" s="4" t="s">
        <v>475</v>
      </c>
      <c r="F39" s="4" t="s">
        <v>492</v>
      </c>
      <c r="G39" s="4" t="s">
        <v>524</v>
      </c>
      <c r="H39" s="4" t="s">
        <v>422</v>
      </c>
      <c r="I39" s="4" t="s">
        <v>278</v>
      </c>
      <c r="J39" s="4" t="s">
        <v>279</v>
      </c>
      <c r="K39" s="4" t="s">
        <v>280</v>
      </c>
      <c r="L39" s="4" t="s">
        <v>22</v>
      </c>
      <c r="M39" s="5">
        <v>68.733900000000006</v>
      </c>
      <c r="N39" s="5">
        <v>7.5</v>
      </c>
      <c r="O39" s="5">
        <v>0</v>
      </c>
      <c r="P39" s="5">
        <v>300</v>
      </c>
      <c r="Q39" s="5">
        <v>75000</v>
      </c>
      <c r="R39" s="5">
        <v>75000</v>
      </c>
      <c r="S39" s="5">
        <v>0</v>
      </c>
    </row>
    <row r="40" spans="1:20">
      <c r="A40" s="4" t="s">
        <v>7</v>
      </c>
      <c r="B40" s="4" t="s">
        <v>8</v>
      </c>
      <c r="C40" s="4" t="s">
        <v>9</v>
      </c>
      <c r="D40" s="4" t="s">
        <v>380</v>
      </c>
      <c r="E40" s="4" t="s">
        <v>462</v>
      </c>
      <c r="F40" s="4" t="s">
        <v>515</v>
      </c>
      <c r="G40" s="4" t="s">
        <v>533</v>
      </c>
      <c r="H40" s="4" t="s">
        <v>408</v>
      </c>
      <c r="I40" s="4" t="s">
        <v>133</v>
      </c>
      <c r="J40" s="4" t="s">
        <v>134</v>
      </c>
      <c r="K40" s="4" t="s">
        <v>135</v>
      </c>
      <c r="L40" s="4" t="s">
        <v>13</v>
      </c>
      <c r="M40" s="5">
        <v>3.0576000000000003</v>
      </c>
      <c r="N40" s="5">
        <v>1813.5</v>
      </c>
      <c r="O40" s="5">
        <v>1001.25</v>
      </c>
      <c r="P40" s="5">
        <v>75</v>
      </c>
      <c r="Q40" s="5">
        <v>91995.854999999996</v>
      </c>
      <c r="R40" s="5">
        <v>7989</v>
      </c>
      <c r="S40" s="5">
        <v>84006.854999999996</v>
      </c>
    </row>
    <row r="41" spans="1:20">
      <c r="A41" s="4" t="s">
        <v>23</v>
      </c>
      <c r="B41" s="4" t="s">
        <v>17</v>
      </c>
      <c r="C41" s="4" t="s">
        <v>18</v>
      </c>
      <c r="D41" s="4" t="s">
        <v>329</v>
      </c>
      <c r="E41" s="4" t="s">
        <v>463</v>
      </c>
      <c r="F41" s="4" t="s">
        <v>497</v>
      </c>
      <c r="G41" s="4" t="s">
        <v>527</v>
      </c>
      <c r="H41" s="4" t="s">
        <v>425</v>
      </c>
      <c r="I41" s="4" t="s">
        <v>24</v>
      </c>
      <c r="J41" s="4" t="s">
        <v>25</v>
      </c>
      <c r="K41" s="4" t="s">
        <v>26</v>
      </c>
      <c r="L41" s="4" t="s">
        <v>13</v>
      </c>
      <c r="M41" s="5">
        <v>324.01619999999997</v>
      </c>
      <c r="N41" s="5">
        <v>0</v>
      </c>
      <c r="O41" s="5">
        <v>5928.75</v>
      </c>
      <c r="P41" s="5">
        <v>11917.5</v>
      </c>
      <c r="Q41" s="5">
        <v>71250</v>
      </c>
      <c r="R41" s="5">
        <v>71250</v>
      </c>
      <c r="S41" s="5">
        <v>0</v>
      </c>
      <c r="T41" s="4" t="s">
        <v>545</v>
      </c>
    </row>
    <row r="42" spans="1:20">
      <c r="A42" s="4" t="s">
        <v>7</v>
      </c>
      <c r="B42" s="4" t="s">
        <v>17</v>
      </c>
      <c r="C42" s="4" t="s">
        <v>18</v>
      </c>
      <c r="D42" s="4" t="s">
        <v>365</v>
      </c>
      <c r="E42" s="4" t="s">
        <v>466</v>
      </c>
      <c r="F42" s="4" t="s">
        <v>508</v>
      </c>
      <c r="G42" s="4" t="s">
        <v>530</v>
      </c>
      <c r="H42" s="4" t="s">
        <v>426</v>
      </c>
      <c r="I42" s="4" t="s">
        <v>241</v>
      </c>
      <c r="J42" s="4" t="s">
        <v>242</v>
      </c>
      <c r="K42" s="4" t="s">
        <v>243</v>
      </c>
      <c r="L42" s="4" t="s">
        <v>157</v>
      </c>
      <c r="M42" s="5">
        <v>0</v>
      </c>
      <c r="N42" s="5">
        <v>0</v>
      </c>
      <c r="O42" s="5">
        <v>13128.75</v>
      </c>
      <c r="P42" s="5">
        <v>7111.125</v>
      </c>
      <c r="Q42" s="5">
        <v>25749.375</v>
      </c>
      <c r="R42" s="5">
        <v>0</v>
      </c>
      <c r="S42" s="5">
        <v>25749.375</v>
      </c>
      <c r="T42" s="4" t="s">
        <v>560</v>
      </c>
    </row>
    <row r="43" spans="1:20">
      <c r="A43" s="4" t="s">
        <v>7</v>
      </c>
      <c r="B43" s="4" t="s">
        <v>17</v>
      </c>
      <c r="C43" s="4" t="s">
        <v>18</v>
      </c>
      <c r="D43" s="4" t="s">
        <v>355</v>
      </c>
      <c r="E43" s="4" t="s">
        <v>466</v>
      </c>
      <c r="F43" s="4" t="s">
        <v>511</v>
      </c>
      <c r="G43" s="4" t="s">
        <v>530</v>
      </c>
      <c r="H43" s="4" t="s">
        <v>440</v>
      </c>
      <c r="I43" s="4" t="s">
        <v>162</v>
      </c>
      <c r="J43" s="4" t="s">
        <v>163</v>
      </c>
      <c r="K43" s="4" t="s">
        <v>164</v>
      </c>
      <c r="L43" s="4" t="s">
        <v>165</v>
      </c>
      <c r="M43" s="5">
        <v>427.34999999999997</v>
      </c>
      <c r="N43" s="5">
        <v>216.75</v>
      </c>
      <c r="O43" s="5">
        <v>24720</v>
      </c>
      <c r="P43" s="5">
        <v>50250</v>
      </c>
      <c r="Q43" s="5">
        <v>630000.29249999998</v>
      </c>
      <c r="R43" s="5">
        <v>142500</v>
      </c>
      <c r="S43" s="5">
        <v>487500.29249999998</v>
      </c>
      <c r="T43" s="4" t="s">
        <v>555</v>
      </c>
    </row>
    <row r="44" spans="1:20">
      <c r="A44" s="4" t="s">
        <v>7</v>
      </c>
      <c r="B44" s="4" t="s">
        <v>8</v>
      </c>
      <c r="C44" s="4" t="s">
        <v>9</v>
      </c>
      <c r="D44" s="4" t="s">
        <v>315</v>
      </c>
      <c r="E44" s="4" t="s">
        <v>462</v>
      </c>
      <c r="F44" s="4" t="s">
        <v>491</v>
      </c>
      <c r="G44" s="4" t="s">
        <v>523</v>
      </c>
      <c r="H44" s="4" t="s">
        <v>414</v>
      </c>
      <c r="I44" s="4" t="s">
        <v>112</v>
      </c>
      <c r="J44" s="4" t="s">
        <v>113</v>
      </c>
      <c r="K44" s="4" t="s">
        <v>114</v>
      </c>
      <c r="L44" s="4" t="s">
        <v>102</v>
      </c>
      <c r="M44" s="5">
        <v>1.3440000000000001</v>
      </c>
      <c r="N44" s="5">
        <v>0</v>
      </c>
      <c r="O44" s="5">
        <v>5823.75</v>
      </c>
      <c r="P44" s="5">
        <v>648.75</v>
      </c>
      <c r="Q44" s="5">
        <v>37338.832500000004</v>
      </c>
      <c r="R44" s="5">
        <v>37338.75</v>
      </c>
      <c r="S44" s="5">
        <v>8.2500000004074536E-2</v>
      </c>
    </row>
    <row r="45" spans="1:20">
      <c r="A45" s="4" t="s">
        <v>7</v>
      </c>
      <c r="B45" s="4" t="s">
        <v>17</v>
      </c>
      <c r="C45" s="4" t="s">
        <v>18</v>
      </c>
      <c r="D45" s="4" t="s">
        <v>322</v>
      </c>
      <c r="E45" s="4" t="s">
        <v>473</v>
      </c>
      <c r="F45" s="4" t="s">
        <v>492</v>
      </c>
      <c r="G45" s="4" t="s">
        <v>524</v>
      </c>
      <c r="H45" s="4" t="s">
        <v>418</v>
      </c>
      <c r="I45" s="4" t="s">
        <v>181</v>
      </c>
      <c r="J45" s="4" t="s">
        <v>182</v>
      </c>
      <c r="K45" s="4" t="s">
        <v>183</v>
      </c>
      <c r="L45" s="4" t="s">
        <v>22</v>
      </c>
      <c r="M45" s="5">
        <v>0</v>
      </c>
      <c r="N45" s="5">
        <v>0</v>
      </c>
      <c r="O45" s="5">
        <v>0</v>
      </c>
      <c r="P45" s="5">
        <v>315000</v>
      </c>
      <c r="Q45" s="5">
        <v>309750</v>
      </c>
      <c r="R45" s="5">
        <v>309750</v>
      </c>
      <c r="S45" s="5">
        <v>0</v>
      </c>
    </row>
    <row r="46" spans="1:20">
      <c r="A46" s="4" t="s">
        <v>7</v>
      </c>
      <c r="B46" s="4" t="s">
        <v>17</v>
      </c>
      <c r="C46" s="4" t="s">
        <v>18</v>
      </c>
      <c r="D46" s="4" t="s">
        <v>367</v>
      </c>
      <c r="E46" s="4" t="s">
        <v>466</v>
      </c>
      <c r="F46" s="4" t="s">
        <v>510</v>
      </c>
      <c r="G46" s="4" t="s">
        <v>530</v>
      </c>
      <c r="H46" s="4" t="s">
        <v>447</v>
      </c>
      <c r="I46" s="4" t="s">
        <v>258</v>
      </c>
      <c r="J46" s="4" t="s">
        <v>259</v>
      </c>
      <c r="K46" s="4" t="s">
        <v>260</v>
      </c>
      <c r="L46" s="4" t="s">
        <v>157</v>
      </c>
      <c r="M46" s="5">
        <v>0</v>
      </c>
      <c r="N46" s="5">
        <v>41266.5</v>
      </c>
      <c r="O46" s="5">
        <v>0</v>
      </c>
      <c r="P46" s="5">
        <v>68250</v>
      </c>
      <c r="Q46" s="5">
        <v>113221.5</v>
      </c>
      <c r="R46" s="5">
        <v>0</v>
      </c>
      <c r="S46" s="5">
        <v>113221.5</v>
      </c>
    </row>
    <row r="47" spans="1:20">
      <c r="A47" s="4" t="s">
        <v>7</v>
      </c>
      <c r="B47" s="4" t="s">
        <v>8</v>
      </c>
      <c r="C47" s="4" t="s">
        <v>9</v>
      </c>
      <c r="D47" s="4" t="s">
        <v>338</v>
      </c>
      <c r="E47" s="4" t="s">
        <v>462</v>
      </c>
      <c r="F47" s="4" t="s">
        <v>501</v>
      </c>
      <c r="G47" s="4" t="s">
        <v>529</v>
      </c>
      <c r="H47" s="4" t="s">
        <v>429</v>
      </c>
      <c r="I47" s="4" t="s">
        <v>75</v>
      </c>
      <c r="J47" s="4" t="s">
        <v>76</v>
      </c>
      <c r="K47" s="4" t="s">
        <v>77</v>
      </c>
      <c r="L47" s="4" t="s">
        <v>47</v>
      </c>
      <c r="M47" s="5">
        <v>0</v>
      </c>
      <c r="N47" s="5">
        <v>0</v>
      </c>
      <c r="O47" s="5">
        <v>0</v>
      </c>
      <c r="P47" s="5">
        <v>73.5</v>
      </c>
      <c r="Q47" s="5">
        <v>73.5</v>
      </c>
      <c r="R47" s="5">
        <v>73.5</v>
      </c>
      <c r="S47" s="5">
        <v>0</v>
      </c>
    </row>
    <row r="48" spans="1:20">
      <c r="A48" s="4" t="s">
        <v>7</v>
      </c>
      <c r="B48" s="4" t="s">
        <v>17</v>
      </c>
      <c r="C48" s="4" t="s">
        <v>9</v>
      </c>
      <c r="D48" s="4" t="s">
        <v>390</v>
      </c>
      <c r="E48" s="4" t="s">
        <v>462</v>
      </c>
      <c r="F48" s="4" t="s">
        <v>517</v>
      </c>
      <c r="G48" s="4" t="s">
        <v>534</v>
      </c>
      <c r="H48" s="4" t="s">
        <v>432</v>
      </c>
      <c r="I48" s="4" t="s">
        <v>149</v>
      </c>
      <c r="J48" s="4" t="s">
        <v>150</v>
      </c>
      <c r="K48" s="4" t="s">
        <v>151</v>
      </c>
      <c r="L48" s="4" t="s">
        <v>139</v>
      </c>
      <c r="M48" s="5">
        <v>159.83257499999999</v>
      </c>
      <c r="N48" s="5">
        <v>0</v>
      </c>
      <c r="O48" s="5">
        <v>689.25</v>
      </c>
      <c r="P48" s="5">
        <v>2430</v>
      </c>
      <c r="Q48" s="5">
        <v>11504.647500000001</v>
      </c>
      <c r="R48" s="5">
        <v>0</v>
      </c>
      <c r="S48" s="5">
        <v>11504.647500000001</v>
      </c>
    </row>
    <row r="49" spans="1:20">
      <c r="A49" s="4" t="s">
        <v>7</v>
      </c>
      <c r="B49" s="4" t="s">
        <v>17</v>
      </c>
      <c r="C49" s="4" t="s">
        <v>18</v>
      </c>
      <c r="D49" s="4" t="s">
        <v>390</v>
      </c>
      <c r="E49" s="4" t="s">
        <v>482</v>
      </c>
      <c r="F49" s="4" t="s">
        <v>517</v>
      </c>
      <c r="G49" s="4" t="s">
        <v>534</v>
      </c>
      <c r="H49" s="4" t="s">
        <v>451</v>
      </c>
      <c r="I49" s="4" t="s">
        <v>149</v>
      </c>
      <c r="J49" s="4" t="s">
        <v>150</v>
      </c>
      <c r="K49" s="4" t="s">
        <v>151</v>
      </c>
      <c r="L49" s="4" t="s">
        <v>139</v>
      </c>
      <c r="M49" s="5">
        <v>1.3008</v>
      </c>
      <c r="N49" s="5">
        <v>0</v>
      </c>
      <c r="O49" s="5">
        <v>1526.25</v>
      </c>
      <c r="P49" s="5">
        <v>12937.5</v>
      </c>
      <c r="Q49" s="5">
        <v>83736.112499999988</v>
      </c>
      <c r="R49" s="5">
        <v>11268</v>
      </c>
      <c r="S49" s="5">
        <v>72468.112499999988</v>
      </c>
    </row>
    <row r="50" spans="1:20">
      <c r="A50" s="4" t="s">
        <v>7</v>
      </c>
      <c r="B50" s="4" t="s">
        <v>17</v>
      </c>
      <c r="C50" s="4" t="s">
        <v>18</v>
      </c>
      <c r="D50" s="4" t="s">
        <v>359</v>
      </c>
      <c r="E50" s="4" t="s">
        <v>475</v>
      </c>
      <c r="F50" s="4" t="s">
        <v>504</v>
      </c>
      <c r="G50" s="4" t="s">
        <v>530</v>
      </c>
      <c r="H50" s="4" t="s">
        <v>441</v>
      </c>
      <c r="I50" s="4" t="s">
        <v>178</v>
      </c>
      <c r="J50" s="4" t="s">
        <v>179</v>
      </c>
      <c r="K50" s="4" t="s">
        <v>180</v>
      </c>
      <c r="L50" s="4" t="s">
        <v>22</v>
      </c>
      <c r="M50" s="5">
        <v>6.6374999999999993</v>
      </c>
      <c r="N50" s="5">
        <v>5.25</v>
      </c>
      <c r="O50" s="5">
        <v>0</v>
      </c>
      <c r="P50" s="5">
        <v>3937.5</v>
      </c>
      <c r="Q50" s="5">
        <v>35235.360000000001</v>
      </c>
      <c r="R50" s="5">
        <v>2575.5</v>
      </c>
      <c r="S50" s="5">
        <v>32659.86</v>
      </c>
      <c r="T50" s="4" t="s">
        <v>557</v>
      </c>
    </row>
    <row r="51" spans="1:20">
      <c r="A51" s="4" t="s">
        <v>7</v>
      </c>
      <c r="B51" s="4" t="s">
        <v>17</v>
      </c>
      <c r="C51" s="4" t="s">
        <v>18</v>
      </c>
      <c r="D51" s="4" t="s">
        <v>324</v>
      </c>
      <c r="E51" s="4" t="s">
        <v>471</v>
      </c>
      <c r="F51" s="4" t="s">
        <v>494</v>
      </c>
      <c r="G51" s="4" t="s">
        <v>524</v>
      </c>
      <c r="H51" s="4" t="s">
        <v>421</v>
      </c>
      <c r="I51" s="4" t="s">
        <v>211</v>
      </c>
      <c r="J51" s="4" t="s">
        <v>212</v>
      </c>
      <c r="K51" s="4" t="s">
        <v>24</v>
      </c>
      <c r="L51" s="4" t="s">
        <v>22</v>
      </c>
      <c r="M51" s="5">
        <v>174.678</v>
      </c>
      <c r="N51" s="5">
        <v>1516.5</v>
      </c>
      <c r="O51" s="5">
        <v>2760</v>
      </c>
      <c r="P51" s="5">
        <v>46269.75</v>
      </c>
      <c r="Q51" s="5">
        <v>93750.225000000006</v>
      </c>
      <c r="R51" s="5">
        <v>93750</v>
      </c>
      <c r="S51" s="5">
        <v>0.22500000000582077</v>
      </c>
    </row>
    <row r="52" spans="1:20">
      <c r="A52" s="4" t="s">
        <v>7</v>
      </c>
      <c r="B52" s="4" t="s">
        <v>17</v>
      </c>
      <c r="C52" s="4" t="s">
        <v>18</v>
      </c>
      <c r="D52" s="4" t="s">
        <v>358</v>
      </c>
      <c r="E52" s="4" t="s">
        <v>478</v>
      </c>
      <c r="F52" s="4" t="s">
        <v>504</v>
      </c>
      <c r="G52" s="4" t="s">
        <v>530</v>
      </c>
      <c r="H52" s="4" t="s">
        <v>401</v>
      </c>
      <c r="I52" s="4" t="s">
        <v>175</v>
      </c>
      <c r="J52" s="4" t="s">
        <v>176</v>
      </c>
      <c r="K52" s="4" t="s">
        <v>177</v>
      </c>
      <c r="L52" s="4" t="s">
        <v>139</v>
      </c>
      <c r="M52" s="5">
        <v>46.410000000000004</v>
      </c>
      <c r="N52" s="5">
        <v>1121.25</v>
      </c>
      <c r="O52" s="5">
        <v>0</v>
      </c>
      <c r="P52" s="5">
        <v>90000</v>
      </c>
      <c r="Q52" s="5">
        <v>153701.92499999999</v>
      </c>
      <c r="R52" s="5">
        <v>33924</v>
      </c>
      <c r="S52" s="5">
        <v>119777.92499999999</v>
      </c>
      <c r="T52" s="4" t="s">
        <v>554</v>
      </c>
    </row>
    <row r="53" spans="1:20">
      <c r="A53" s="4" t="s">
        <v>7</v>
      </c>
      <c r="B53" s="4" t="s">
        <v>17</v>
      </c>
      <c r="C53" s="4" t="s">
        <v>18</v>
      </c>
      <c r="D53" s="4" t="s">
        <v>370</v>
      </c>
      <c r="E53" s="4" t="s">
        <v>480</v>
      </c>
      <c r="F53" s="4" t="s">
        <v>504</v>
      </c>
      <c r="G53" s="4" t="s">
        <v>530</v>
      </c>
      <c r="H53" s="4" t="s">
        <v>448</v>
      </c>
      <c r="I53" s="4" t="s">
        <v>275</v>
      </c>
      <c r="J53" s="4" t="s">
        <v>276</v>
      </c>
      <c r="K53" s="4" t="s">
        <v>277</v>
      </c>
      <c r="L53" s="4" t="s">
        <v>22</v>
      </c>
      <c r="M53" s="5">
        <v>56.699999999999996</v>
      </c>
      <c r="N53" s="5">
        <v>0</v>
      </c>
      <c r="O53" s="5">
        <v>10756.125</v>
      </c>
      <c r="P53" s="5">
        <v>2025</v>
      </c>
      <c r="Q53" s="5">
        <v>19896.675000000003</v>
      </c>
      <c r="R53" s="5">
        <v>0</v>
      </c>
      <c r="S53" s="5">
        <v>19896.675000000003</v>
      </c>
      <c r="T53" s="4" t="s">
        <v>562</v>
      </c>
    </row>
    <row r="54" spans="1:20">
      <c r="A54" s="4" t="s">
        <v>7</v>
      </c>
      <c r="B54" s="4" t="s">
        <v>8</v>
      </c>
      <c r="C54" s="4" t="s">
        <v>9</v>
      </c>
      <c r="D54" s="4" t="s">
        <v>302</v>
      </c>
      <c r="E54" s="4" t="s">
        <v>462</v>
      </c>
      <c r="F54" s="4" t="s">
        <v>487</v>
      </c>
      <c r="G54" s="4" t="s">
        <v>520</v>
      </c>
      <c r="H54" s="4" t="s">
        <v>402</v>
      </c>
      <c r="I54" s="4" t="s">
        <v>60</v>
      </c>
      <c r="J54" s="4" t="s">
        <v>61</v>
      </c>
      <c r="K54" s="4" t="s">
        <v>62</v>
      </c>
      <c r="L54" s="4" t="s">
        <v>13</v>
      </c>
      <c r="M54" s="5">
        <v>0</v>
      </c>
      <c r="N54" s="5">
        <v>0</v>
      </c>
      <c r="O54" s="5">
        <v>0</v>
      </c>
      <c r="P54" s="5">
        <v>9375</v>
      </c>
      <c r="Q54" s="5">
        <v>9375</v>
      </c>
      <c r="R54" s="5">
        <v>0</v>
      </c>
      <c r="S54" s="5">
        <v>9375</v>
      </c>
      <c r="T54" s="4" t="s">
        <v>541</v>
      </c>
    </row>
    <row r="55" spans="1:20">
      <c r="A55" s="4" t="s">
        <v>7</v>
      </c>
      <c r="B55" s="4" t="s">
        <v>17</v>
      </c>
      <c r="C55" s="4" t="s">
        <v>18</v>
      </c>
      <c r="D55" s="4" t="s">
        <v>364</v>
      </c>
      <c r="E55" s="4" t="s">
        <v>465</v>
      </c>
      <c r="F55" s="4" t="s">
        <v>505</v>
      </c>
      <c r="G55" s="4" t="s">
        <v>530</v>
      </c>
      <c r="H55" s="4" t="s">
        <v>445</v>
      </c>
      <c r="I55" s="4" t="s">
        <v>230</v>
      </c>
      <c r="J55" s="4" t="s">
        <v>231</v>
      </c>
      <c r="K55" s="4" t="s">
        <v>232</v>
      </c>
      <c r="L55" s="4" t="s">
        <v>22</v>
      </c>
      <c r="M55" s="5">
        <v>114.24</v>
      </c>
      <c r="N55" s="5">
        <v>0</v>
      </c>
      <c r="O55" s="5">
        <v>10061.25</v>
      </c>
      <c r="P55" s="5">
        <v>3000</v>
      </c>
      <c r="Q55" s="5">
        <v>32585.827499999999</v>
      </c>
      <c r="R55" s="5">
        <v>8073</v>
      </c>
      <c r="S55" s="5">
        <v>24512.827499999999</v>
      </c>
      <c r="T55" s="4" t="s">
        <v>558</v>
      </c>
    </row>
    <row r="56" spans="1:20">
      <c r="A56" s="4" t="s">
        <v>7</v>
      </c>
      <c r="B56" s="4" t="s">
        <v>17</v>
      </c>
      <c r="C56" s="4" t="s">
        <v>18</v>
      </c>
      <c r="D56" s="4" t="s">
        <v>362</v>
      </c>
      <c r="E56" s="4" t="s">
        <v>477</v>
      </c>
      <c r="F56" s="4" t="s">
        <v>510</v>
      </c>
      <c r="G56" s="4" t="s">
        <v>530</v>
      </c>
      <c r="H56" s="4" t="s">
        <v>443</v>
      </c>
      <c r="I56" s="4" t="s">
        <v>220</v>
      </c>
      <c r="J56" s="4" t="s">
        <v>221</v>
      </c>
      <c r="K56" s="4" t="s">
        <v>222</v>
      </c>
      <c r="L56" s="4" t="s">
        <v>142</v>
      </c>
      <c r="M56" s="5">
        <v>0</v>
      </c>
      <c r="N56" s="5">
        <v>0</v>
      </c>
      <c r="O56" s="5">
        <v>0</v>
      </c>
      <c r="P56" s="5">
        <v>10875</v>
      </c>
      <c r="Q56" s="5">
        <v>10875</v>
      </c>
      <c r="R56" s="5">
        <v>0</v>
      </c>
      <c r="S56" s="5">
        <v>10875</v>
      </c>
      <c r="T56" s="4" t="s">
        <v>559</v>
      </c>
    </row>
    <row r="57" spans="1:20">
      <c r="A57" s="4" t="s">
        <v>7</v>
      </c>
      <c r="B57" s="4" t="s">
        <v>17</v>
      </c>
      <c r="C57" s="4" t="s">
        <v>18</v>
      </c>
      <c r="D57" s="4" t="s">
        <v>369</v>
      </c>
      <c r="E57" s="4" t="s">
        <v>466</v>
      </c>
      <c r="F57" s="4" t="s">
        <v>510</v>
      </c>
      <c r="G57" s="4" t="s">
        <v>530</v>
      </c>
      <c r="H57" s="4" t="s">
        <v>427</v>
      </c>
      <c r="I57" s="4" t="s">
        <v>121</v>
      </c>
      <c r="J57" s="4" t="s">
        <v>267</v>
      </c>
      <c r="K57" s="4" t="s">
        <v>268</v>
      </c>
      <c r="L57" s="4" t="s">
        <v>157</v>
      </c>
      <c r="M57" s="5">
        <v>0</v>
      </c>
      <c r="N57" s="5">
        <v>41266.5</v>
      </c>
      <c r="O57" s="5">
        <v>0</v>
      </c>
      <c r="P57" s="5">
        <v>90000</v>
      </c>
      <c r="Q57" s="5">
        <v>131266.5</v>
      </c>
      <c r="R57" s="5">
        <v>9000</v>
      </c>
      <c r="S57" s="5">
        <v>122266.5</v>
      </c>
      <c r="T57" s="4" t="s">
        <v>553</v>
      </c>
    </row>
    <row r="58" spans="1:20">
      <c r="A58" s="4" t="s">
        <v>7</v>
      </c>
      <c r="B58" s="4" t="s">
        <v>17</v>
      </c>
      <c r="C58" s="4" t="s">
        <v>18</v>
      </c>
      <c r="D58" s="4" t="s">
        <v>356</v>
      </c>
      <c r="E58" s="4" t="s">
        <v>466</v>
      </c>
      <c r="F58" s="4" t="s">
        <v>510</v>
      </c>
      <c r="G58" s="4" t="s">
        <v>530</v>
      </c>
      <c r="H58" s="4" t="s">
        <v>412</v>
      </c>
      <c r="I58" s="4" t="s">
        <v>169</v>
      </c>
      <c r="J58" s="4" t="s">
        <v>170</v>
      </c>
      <c r="K58" s="4" t="s">
        <v>171</v>
      </c>
      <c r="L58" s="4" t="s">
        <v>157</v>
      </c>
      <c r="M58" s="5">
        <v>12.8352</v>
      </c>
      <c r="N58" s="5">
        <v>0</v>
      </c>
      <c r="O58" s="5">
        <v>9232.5</v>
      </c>
      <c r="P58" s="5">
        <v>3750</v>
      </c>
      <c r="Q58" s="5">
        <v>133381.38</v>
      </c>
      <c r="R58" s="5">
        <v>0</v>
      </c>
      <c r="S58" s="5">
        <v>133381.38</v>
      </c>
      <c r="T58" s="4" t="s">
        <v>556</v>
      </c>
    </row>
    <row r="59" spans="1:20">
      <c r="A59" s="4" t="s">
        <v>7</v>
      </c>
      <c r="B59" s="4" t="s">
        <v>8</v>
      </c>
      <c r="C59" s="4" t="s">
        <v>9</v>
      </c>
      <c r="D59" s="4" t="s">
        <v>346</v>
      </c>
      <c r="E59" s="4" t="s">
        <v>462</v>
      </c>
      <c r="F59" s="4" t="s">
        <v>505</v>
      </c>
      <c r="G59" s="4" t="s">
        <v>530</v>
      </c>
      <c r="H59" s="4" t="s">
        <v>431</v>
      </c>
      <c r="I59" s="4" t="s">
        <v>84</v>
      </c>
      <c r="J59" s="4" t="s">
        <v>85</v>
      </c>
      <c r="K59" s="4" t="s">
        <v>86</v>
      </c>
      <c r="L59" s="4" t="s">
        <v>13</v>
      </c>
      <c r="M59" s="5">
        <v>0</v>
      </c>
      <c r="N59" s="5">
        <v>41266.5</v>
      </c>
      <c r="O59" s="5">
        <v>0</v>
      </c>
      <c r="P59" s="5">
        <v>90000</v>
      </c>
      <c r="Q59" s="5">
        <v>135016.5</v>
      </c>
      <c r="R59" s="5">
        <v>0</v>
      </c>
      <c r="S59" s="5">
        <v>135016.5</v>
      </c>
      <c r="T59" s="4" t="s">
        <v>549</v>
      </c>
    </row>
    <row r="60" spans="1:20">
      <c r="A60" s="4" t="s">
        <v>7</v>
      </c>
      <c r="B60" s="4" t="s">
        <v>8</v>
      </c>
      <c r="C60" s="4" t="s">
        <v>9</v>
      </c>
      <c r="D60" s="4" t="s">
        <v>347</v>
      </c>
      <c r="E60" s="4" t="s">
        <v>462</v>
      </c>
      <c r="F60" s="4" t="s">
        <v>505</v>
      </c>
      <c r="G60" s="4" t="s">
        <v>530</v>
      </c>
      <c r="H60" s="4" t="s">
        <v>436</v>
      </c>
      <c r="I60" s="4" t="s">
        <v>90</v>
      </c>
      <c r="J60" s="4" t="s">
        <v>91</v>
      </c>
      <c r="K60" s="4" t="s">
        <v>92</v>
      </c>
      <c r="L60" s="4" t="s">
        <v>13</v>
      </c>
      <c r="M60" s="5">
        <v>0</v>
      </c>
      <c r="N60" s="5">
        <v>0</v>
      </c>
      <c r="O60" s="5">
        <v>0</v>
      </c>
      <c r="P60" s="5">
        <v>10875</v>
      </c>
      <c r="Q60" s="5">
        <v>10875</v>
      </c>
      <c r="R60" s="5">
        <v>0</v>
      </c>
      <c r="S60" s="5">
        <v>10875</v>
      </c>
      <c r="T60" s="4" t="s">
        <v>550</v>
      </c>
    </row>
    <row r="61" spans="1:20">
      <c r="A61" s="4" t="s">
        <v>7</v>
      </c>
      <c r="B61" s="4" t="s">
        <v>17</v>
      </c>
      <c r="C61" s="4" t="s">
        <v>18</v>
      </c>
      <c r="D61" s="4" t="s">
        <v>382</v>
      </c>
      <c r="E61" s="4" t="s">
        <v>474</v>
      </c>
      <c r="F61" s="4" t="s">
        <v>515</v>
      </c>
      <c r="G61" s="4" t="s">
        <v>533</v>
      </c>
      <c r="H61" s="4" t="s">
        <v>456</v>
      </c>
      <c r="I61" s="4" t="s">
        <v>203</v>
      </c>
      <c r="J61" s="4" t="s">
        <v>206</v>
      </c>
      <c r="K61" s="4" t="s">
        <v>207</v>
      </c>
      <c r="L61" s="4" t="s">
        <v>22</v>
      </c>
      <c r="M61" s="5">
        <v>0</v>
      </c>
      <c r="N61" s="5">
        <v>0</v>
      </c>
      <c r="O61" s="5">
        <v>0</v>
      </c>
      <c r="P61" s="5">
        <v>17718.75</v>
      </c>
      <c r="Q61" s="5">
        <v>97361.25</v>
      </c>
      <c r="R61" s="5">
        <v>0</v>
      </c>
      <c r="S61" s="5">
        <v>97361.25</v>
      </c>
      <c r="T61" s="4" t="s">
        <v>566</v>
      </c>
    </row>
    <row r="62" spans="1:20">
      <c r="A62" s="4" t="s">
        <v>7</v>
      </c>
      <c r="B62" s="4" t="s">
        <v>17</v>
      </c>
      <c r="C62" s="4" t="s">
        <v>18</v>
      </c>
      <c r="D62" s="4" t="s">
        <v>363</v>
      </c>
      <c r="E62" s="4" t="s">
        <v>465</v>
      </c>
      <c r="F62" s="4" t="s">
        <v>505</v>
      </c>
      <c r="G62" s="4" t="s">
        <v>530</v>
      </c>
      <c r="H62" s="4" t="s">
        <v>444</v>
      </c>
      <c r="I62" s="4" t="s">
        <v>225</v>
      </c>
      <c r="J62" s="4" t="s">
        <v>226</v>
      </c>
      <c r="K62" s="4" t="s">
        <v>227</v>
      </c>
      <c r="L62" s="4" t="s">
        <v>22</v>
      </c>
      <c r="M62" s="5">
        <v>0</v>
      </c>
      <c r="N62" s="5">
        <v>0</v>
      </c>
      <c r="O62" s="5">
        <v>0</v>
      </c>
      <c r="P62" s="5">
        <v>9562.5</v>
      </c>
      <c r="Q62" s="5">
        <v>9562.5</v>
      </c>
      <c r="R62" s="5">
        <v>0</v>
      </c>
      <c r="S62" s="5">
        <v>9562.5</v>
      </c>
      <c r="T62" s="4" t="s">
        <v>558</v>
      </c>
    </row>
    <row r="63" spans="1:20">
      <c r="A63" s="4" t="s">
        <v>7</v>
      </c>
      <c r="B63" s="4" t="s">
        <v>17</v>
      </c>
      <c r="C63" s="4" t="s">
        <v>18</v>
      </c>
      <c r="D63" s="4" t="s">
        <v>368</v>
      </c>
      <c r="E63" s="4" t="s">
        <v>466</v>
      </c>
      <c r="F63" s="4" t="s">
        <v>510</v>
      </c>
      <c r="G63" s="4" t="s">
        <v>530</v>
      </c>
      <c r="H63" s="4" t="s">
        <v>438</v>
      </c>
      <c r="I63" s="4" t="s">
        <v>264</v>
      </c>
      <c r="J63" s="4" t="s">
        <v>265</v>
      </c>
      <c r="K63" s="4" t="s">
        <v>266</v>
      </c>
      <c r="L63" s="4" t="s">
        <v>157</v>
      </c>
      <c r="M63" s="5">
        <v>28.56</v>
      </c>
      <c r="N63" s="5">
        <v>0</v>
      </c>
      <c r="O63" s="5">
        <v>1779.75</v>
      </c>
      <c r="P63" s="5">
        <v>8927.25</v>
      </c>
      <c r="Q63" s="5">
        <v>19792.695</v>
      </c>
      <c r="R63" s="5">
        <v>0</v>
      </c>
      <c r="S63" s="5">
        <v>19792.695</v>
      </c>
      <c r="T63" s="4" t="s">
        <v>553</v>
      </c>
    </row>
    <row r="64" spans="1:20">
      <c r="A64" s="4" t="s">
        <v>7</v>
      </c>
      <c r="B64" s="4" t="s">
        <v>17</v>
      </c>
      <c r="C64" s="4" t="s">
        <v>18</v>
      </c>
      <c r="D64" s="4" t="s">
        <v>360</v>
      </c>
      <c r="E64" s="4" t="s">
        <v>479</v>
      </c>
      <c r="F64" s="4" t="s">
        <v>505</v>
      </c>
      <c r="G64" s="4" t="s">
        <v>530</v>
      </c>
      <c r="H64" s="4" t="s">
        <v>429</v>
      </c>
      <c r="I64" s="4" t="s">
        <v>198</v>
      </c>
      <c r="J64" s="4" t="s">
        <v>199</v>
      </c>
      <c r="K64" s="4" t="s">
        <v>92</v>
      </c>
      <c r="L64" s="4" t="s">
        <v>22</v>
      </c>
      <c r="M64" s="5">
        <v>307.35000000000002</v>
      </c>
      <c r="N64" s="5">
        <v>0</v>
      </c>
      <c r="O64" s="5">
        <v>9955.5</v>
      </c>
      <c r="P64" s="5">
        <v>4252.5</v>
      </c>
      <c r="Q64" s="5">
        <v>73646.684999999998</v>
      </c>
      <c r="R64" s="5">
        <v>0</v>
      </c>
      <c r="S64" s="5">
        <v>73646.684999999998</v>
      </c>
      <c r="T64" s="4" t="s">
        <v>558</v>
      </c>
    </row>
    <row r="65" spans="1:20">
      <c r="A65" s="4" t="s">
        <v>7</v>
      </c>
      <c r="B65" s="4" t="s">
        <v>17</v>
      </c>
      <c r="C65" s="4" t="s">
        <v>18</v>
      </c>
      <c r="D65" s="4" t="s">
        <v>357</v>
      </c>
      <c r="E65" s="4" t="s">
        <v>466</v>
      </c>
      <c r="F65" s="4" t="s">
        <v>510</v>
      </c>
      <c r="G65" s="4" t="s">
        <v>530</v>
      </c>
      <c r="H65" s="4" t="s">
        <v>424</v>
      </c>
      <c r="I65" s="4" t="s">
        <v>172</v>
      </c>
      <c r="J65" s="4" t="s">
        <v>173</v>
      </c>
      <c r="K65" s="4" t="s">
        <v>174</v>
      </c>
      <c r="L65" s="4" t="s">
        <v>157</v>
      </c>
      <c r="M65" s="5">
        <v>85.679999999999993</v>
      </c>
      <c r="N65" s="5">
        <v>0</v>
      </c>
      <c r="O65" s="5">
        <v>4305</v>
      </c>
      <c r="P65" s="5">
        <v>5478.75</v>
      </c>
      <c r="Q65" s="5">
        <v>17132.2425</v>
      </c>
      <c r="R65" s="5">
        <v>2550.75</v>
      </c>
      <c r="S65" s="5">
        <v>14581.4925</v>
      </c>
      <c r="T65" s="4" t="s">
        <v>555</v>
      </c>
    </row>
    <row r="66" spans="1:20">
      <c r="A66" s="4" t="s">
        <v>7</v>
      </c>
      <c r="B66" s="4" t="s">
        <v>17</v>
      </c>
      <c r="C66" s="4" t="s">
        <v>18</v>
      </c>
      <c r="D66" s="4" t="s">
        <v>383</v>
      </c>
      <c r="E66" s="4" t="s">
        <v>468</v>
      </c>
      <c r="F66" s="4" t="s">
        <v>515</v>
      </c>
      <c r="G66" s="4" t="s">
        <v>533</v>
      </c>
      <c r="H66" s="4" t="s">
        <v>457</v>
      </c>
      <c r="I66" s="4" t="s">
        <v>214</v>
      </c>
      <c r="J66" s="4" t="s">
        <v>215</v>
      </c>
      <c r="K66" s="4" t="s">
        <v>216</v>
      </c>
      <c r="L66" s="4" t="s">
        <v>142</v>
      </c>
      <c r="M66" s="5">
        <v>0</v>
      </c>
      <c r="N66" s="5">
        <v>0</v>
      </c>
      <c r="O66" s="5">
        <v>0</v>
      </c>
      <c r="P66" s="5">
        <v>52500</v>
      </c>
      <c r="Q66" s="5">
        <v>142500</v>
      </c>
      <c r="R66" s="5">
        <v>0</v>
      </c>
      <c r="S66" s="5">
        <v>142500</v>
      </c>
    </row>
    <row r="67" spans="1:20">
      <c r="A67" s="4" t="s">
        <v>7</v>
      </c>
      <c r="B67" s="4" t="s">
        <v>8</v>
      </c>
      <c r="C67" s="4" t="s">
        <v>9</v>
      </c>
      <c r="D67" s="4" t="s">
        <v>320</v>
      </c>
      <c r="E67" s="4" t="s">
        <v>462</v>
      </c>
      <c r="F67" s="4" t="s">
        <v>492</v>
      </c>
      <c r="G67" s="4" t="s">
        <v>524</v>
      </c>
      <c r="H67" s="4" t="s">
        <v>418</v>
      </c>
      <c r="I67" s="4" t="s">
        <v>14</v>
      </c>
      <c r="J67" s="4" t="s">
        <v>15</v>
      </c>
      <c r="K67" s="4" t="s">
        <v>16</v>
      </c>
      <c r="L67" s="4" t="s">
        <v>13</v>
      </c>
      <c r="M67" s="5">
        <v>0</v>
      </c>
      <c r="N67" s="5">
        <v>0</v>
      </c>
      <c r="O67" s="5">
        <v>0</v>
      </c>
      <c r="P67" s="5">
        <v>163500</v>
      </c>
      <c r="Q67" s="5">
        <v>159750</v>
      </c>
      <c r="R67" s="5">
        <v>159750</v>
      </c>
      <c r="S67" s="5">
        <v>0</v>
      </c>
    </row>
    <row r="68" spans="1:20">
      <c r="A68" s="4" t="s">
        <v>7</v>
      </c>
      <c r="B68" s="4" t="s">
        <v>8</v>
      </c>
      <c r="C68" s="4" t="s">
        <v>9</v>
      </c>
      <c r="D68" s="4" t="s">
        <v>303</v>
      </c>
      <c r="E68" s="4" t="s">
        <v>462</v>
      </c>
      <c r="F68" s="4" t="s">
        <v>486</v>
      </c>
      <c r="G68" s="4" t="s">
        <v>520</v>
      </c>
      <c r="H68" s="4" t="s">
        <v>403</v>
      </c>
      <c r="I68" s="4" t="s">
        <v>69</v>
      </c>
      <c r="J68" s="4" t="s">
        <v>70</v>
      </c>
      <c r="K68" s="4" t="s">
        <v>71</v>
      </c>
      <c r="L68" s="4" t="s">
        <v>47</v>
      </c>
      <c r="M68" s="5">
        <v>0</v>
      </c>
      <c r="N68" s="5">
        <v>0</v>
      </c>
      <c r="O68" s="5">
        <v>0</v>
      </c>
      <c r="P68" s="5">
        <v>15562.5</v>
      </c>
      <c r="Q68" s="5">
        <v>15562.5</v>
      </c>
      <c r="R68" s="5">
        <v>15562.5</v>
      </c>
      <c r="S68" s="5">
        <v>0</v>
      </c>
    </row>
    <row r="69" spans="1:20">
      <c r="A69" s="4" t="s">
        <v>7</v>
      </c>
      <c r="B69" s="4" t="s">
        <v>17</v>
      </c>
      <c r="C69" s="4" t="s">
        <v>9</v>
      </c>
      <c r="D69" s="4" t="s">
        <v>352</v>
      </c>
      <c r="E69" s="4" t="s">
        <v>462</v>
      </c>
      <c r="F69" s="4" t="s">
        <v>507</v>
      </c>
      <c r="G69" s="4" t="s">
        <v>530</v>
      </c>
      <c r="H69" s="4" t="s">
        <v>407</v>
      </c>
      <c r="I69" s="4" t="s">
        <v>146</v>
      </c>
      <c r="J69" s="4" t="s">
        <v>147</v>
      </c>
      <c r="K69" s="4" t="s">
        <v>148</v>
      </c>
      <c r="L69" s="4" t="s">
        <v>139</v>
      </c>
      <c r="M69" s="5">
        <v>30082.5</v>
      </c>
      <c r="N69" s="5">
        <v>0</v>
      </c>
      <c r="O69" s="5">
        <v>0</v>
      </c>
      <c r="P69" s="5">
        <v>5081.25</v>
      </c>
      <c r="Q69" s="5">
        <v>77623.049999999988</v>
      </c>
      <c r="R69" s="5">
        <v>3459</v>
      </c>
      <c r="S69" s="5">
        <v>74164.049999999988</v>
      </c>
      <c r="T69" s="4" t="s">
        <v>552</v>
      </c>
    </row>
    <row r="70" spans="1:20">
      <c r="A70" s="4" t="s">
        <v>7</v>
      </c>
      <c r="B70" s="4" t="s">
        <v>17</v>
      </c>
      <c r="C70" s="4" t="s">
        <v>18</v>
      </c>
      <c r="D70" s="4" t="s">
        <v>352</v>
      </c>
      <c r="E70" s="4" t="s">
        <v>464</v>
      </c>
      <c r="F70" s="4" t="s">
        <v>507</v>
      </c>
      <c r="G70" s="4" t="s">
        <v>530</v>
      </c>
      <c r="H70" s="4" t="s">
        <v>446</v>
      </c>
      <c r="I70" s="4" t="s">
        <v>146</v>
      </c>
      <c r="J70" s="4" t="s">
        <v>147</v>
      </c>
      <c r="K70" s="4" t="s">
        <v>148</v>
      </c>
      <c r="L70" s="4" t="s">
        <v>139</v>
      </c>
      <c r="M70" s="5">
        <v>28.56</v>
      </c>
      <c r="N70" s="5">
        <v>0</v>
      </c>
      <c r="O70" s="5">
        <v>2568.75</v>
      </c>
      <c r="P70" s="5">
        <v>1927.5</v>
      </c>
      <c r="Q70" s="5">
        <v>6322.3575000000001</v>
      </c>
      <c r="R70" s="5">
        <v>0</v>
      </c>
      <c r="S70" s="5">
        <v>6322.3575000000001</v>
      </c>
      <c r="T70" s="4" t="s">
        <v>552</v>
      </c>
    </row>
    <row r="71" spans="1:20">
      <c r="A71" s="4" t="s">
        <v>7</v>
      </c>
      <c r="B71" s="4" t="s">
        <v>8</v>
      </c>
      <c r="C71" s="4" t="s">
        <v>9</v>
      </c>
      <c r="D71" s="4" t="s">
        <v>350</v>
      </c>
      <c r="E71" s="4" t="s">
        <v>462</v>
      </c>
      <c r="F71" s="4" t="s">
        <v>506</v>
      </c>
      <c r="G71" s="4" t="s">
        <v>530</v>
      </c>
      <c r="H71" s="4" t="s">
        <v>422</v>
      </c>
      <c r="I71" s="4" t="s">
        <v>127</v>
      </c>
      <c r="J71" s="4" t="s">
        <v>128</v>
      </c>
      <c r="K71" s="4" t="s">
        <v>129</v>
      </c>
      <c r="L71" s="4" t="s">
        <v>102</v>
      </c>
      <c r="M71" s="5">
        <v>0</v>
      </c>
      <c r="N71" s="5">
        <v>41266.5</v>
      </c>
      <c r="O71" s="5">
        <v>0</v>
      </c>
      <c r="P71" s="5">
        <v>3750</v>
      </c>
      <c r="Q71" s="5">
        <v>135016.5</v>
      </c>
      <c r="R71" s="5">
        <v>0</v>
      </c>
      <c r="S71" s="5">
        <v>135016.5</v>
      </c>
    </row>
    <row r="72" spans="1:20">
      <c r="A72" s="4" t="s">
        <v>7</v>
      </c>
      <c r="B72" s="4" t="s">
        <v>17</v>
      </c>
      <c r="C72" s="4" t="s">
        <v>18</v>
      </c>
      <c r="D72" s="4" t="s">
        <v>366</v>
      </c>
      <c r="E72" s="4" t="s">
        <v>466</v>
      </c>
      <c r="F72" s="4" t="s">
        <v>509</v>
      </c>
      <c r="G72" s="4" t="s">
        <v>530</v>
      </c>
      <c r="H72" s="4" t="s">
        <v>437</v>
      </c>
      <c r="I72" s="4" t="s">
        <v>246</v>
      </c>
      <c r="J72" s="4" t="s">
        <v>247</v>
      </c>
      <c r="K72" s="4" t="s">
        <v>248</v>
      </c>
      <c r="L72" s="4" t="s">
        <v>157</v>
      </c>
      <c r="M72" s="5">
        <v>150.02587500000001</v>
      </c>
      <c r="N72" s="5">
        <v>71.25</v>
      </c>
      <c r="O72" s="5">
        <v>3348</v>
      </c>
      <c r="P72" s="5">
        <v>1515.375</v>
      </c>
      <c r="Q72" s="5">
        <v>41813.962499999994</v>
      </c>
      <c r="R72" s="5">
        <v>0</v>
      </c>
      <c r="S72" s="5">
        <v>41813.962499999994</v>
      </c>
      <c r="T72" s="4" t="s">
        <v>561</v>
      </c>
    </row>
    <row r="73" spans="1:20">
      <c r="A73" s="4" t="s">
        <v>7</v>
      </c>
      <c r="B73" s="4" t="s">
        <v>17</v>
      </c>
      <c r="C73" s="4" t="s">
        <v>9</v>
      </c>
      <c r="D73" s="4" t="s">
        <v>375</v>
      </c>
      <c r="E73" s="4" t="s">
        <v>462</v>
      </c>
      <c r="F73" s="4" t="s">
        <v>514</v>
      </c>
      <c r="G73" s="4" t="s">
        <v>532</v>
      </c>
      <c r="H73" s="4" t="s">
        <v>451</v>
      </c>
      <c r="I73" s="4" t="s">
        <v>19</v>
      </c>
      <c r="J73" s="4" t="s">
        <v>152</v>
      </c>
      <c r="K73" s="4" t="s">
        <v>153</v>
      </c>
      <c r="L73" s="4" t="s">
        <v>142</v>
      </c>
      <c r="M73" s="5">
        <v>0</v>
      </c>
      <c r="N73" s="5">
        <v>1275</v>
      </c>
      <c r="O73" s="5">
        <v>0</v>
      </c>
      <c r="P73" s="5">
        <v>53625</v>
      </c>
      <c r="Q73" s="5">
        <v>63012</v>
      </c>
      <c r="R73" s="5">
        <v>0</v>
      </c>
      <c r="S73" s="5">
        <v>63012</v>
      </c>
      <c r="T73" s="4" t="s">
        <v>563</v>
      </c>
    </row>
    <row r="74" spans="1:20">
      <c r="A74" s="4" t="s">
        <v>7</v>
      </c>
      <c r="B74" s="4" t="s">
        <v>17</v>
      </c>
      <c r="C74" s="4" t="s">
        <v>18</v>
      </c>
      <c r="D74" s="4" t="s">
        <v>375</v>
      </c>
      <c r="E74" s="4" t="s">
        <v>464</v>
      </c>
      <c r="F74" s="4" t="s">
        <v>514</v>
      </c>
      <c r="G74" s="4" t="s">
        <v>532</v>
      </c>
      <c r="H74" s="4" t="s">
        <v>453</v>
      </c>
      <c r="I74" s="4" t="s">
        <v>19</v>
      </c>
      <c r="J74" s="4" t="s">
        <v>152</v>
      </c>
      <c r="K74" s="4" t="s">
        <v>153</v>
      </c>
      <c r="L74" s="4" t="s">
        <v>142</v>
      </c>
      <c r="M74" s="5">
        <v>0</v>
      </c>
      <c r="N74" s="5">
        <v>1327.5</v>
      </c>
      <c r="O74" s="5">
        <v>0</v>
      </c>
      <c r="P74" s="5">
        <v>44625</v>
      </c>
      <c r="Q74" s="5">
        <v>46233.75</v>
      </c>
      <c r="R74" s="5">
        <v>0</v>
      </c>
      <c r="S74" s="5">
        <v>46233.75</v>
      </c>
      <c r="T74" s="4" t="s">
        <v>563</v>
      </c>
    </row>
    <row r="75" spans="1:20">
      <c r="A75" s="4" t="s">
        <v>7</v>
      </c>
      <c r="B75" s="4" t="s">
        <v>17</v>
      </c>
      <c r="C75" s="4" t="s">
        <v>18</v>
      </c>
      <c r="D75" s="4" t="s">
        <v>343</v>
      </c>
      <c r="E75" s="4" t="s">
        <v>468</v>
      </c>
      <c r="F75" s="4" t="s">
        <v>502</v>
      </c>
      <c r="G75" s="4" t="s">
        <v>529</v>
      </c>
      <c r="H75" s="4" t="s">
        <v>434</v>
      </c>
      <c r="I75" s="4" t="s">
        <v>294</v>
      </c>
      <c r="J75" s="4" t="s">
        <v>295</v>
      </c>
      <c r="K75" s="4" t="s">
        <v>296</v>
      </c>
      <c r="L75" s="4" t="s">
        <v>139</v>
      </c>
      <c r="M75" s="5">
        <v>0</v>
      </c>
      <c r="N75" s="5">
        <v>246</v>
      </c>
      <c r="O75" s="5">
        <v>0</v>
      </c>
      <c r="P75" s="5">
        <v>12750</v>
      </c>
      <c r="Q75" s="5">
        <v>12996</v>
      </c>
      <c r="R75" s="5">
        <v>0</v>
      </c>
      <c r="S75" s="5">
        <v>12996</v>
      </c>
      <c r="T75" s="4" t="s">
        <v>548</v>
      </c>
    </row>
    <row r="76" spans="1:20">
      <c r="A76" s="4" t="s">
        <v>7</v>
      </c>
      <c r="B76" s="4" t="s">
        <v>8</v>
      </c>
      <c r="C76" s="4" t="s">
        <v>9</v>
      </c>
      <c r="D76" s="4" t="s">
        <v>379</v>
      </c>
      <c r="E76" s="4" t="s">
        <v>462</v>
      </c>
      <c r="F76" s="4" t="s">
        <v>515</v>
      </c>
      <c r="G76" s="4" t="s">
        <v>533</v>
      </c>
      <c r="H76" s="4" t="s">
        <v>446</v>
      </c>
      <c r="I76" s="4" t="s">
        <v>115</v>
      </c>
      <c r="J76" s="4" t="s">
        <v>116</v>
      </c>
      <c r="K76" s="4" t="s">
        <v>117</v>
      </c>
      <c r="L76" s="4" t="s">
        <v>47</v>
      </c>
      <c r="M76" s="5">
        <v>3293.7062999999998</v>
      </c>
      <c r="N76" s="5">
        <v>0</v>
      </c>
      <c r="O76" s="5">
        <v>8475</v>
      </c>
      <c r="P76" s="5">
        <v>404.25</v>
      </c>
      <c r="Q76" s="5">
        <v>73413.705000000002</v>
      </c>
      <c r="R76" s="5">
        <v>0</v>
      </c>
      <c r="S76" s="5">
        <v>73413.705000000002</v>
      </c>
    </row>
    <row r="77" spans="1:20">
      <c r="A77" s="4" t="s">
        <v>7</v>
      </c>
      <c r="B77" s="4" t="s">
        <v>17</v>
      </c>
      <c r="C77" s="4" t="s">
        <v>18</v>
      </c>
      <c r="D77" s="4" t="s">
        <v>306</v>
      </c>
      <c r="E77" s="4" t="s">
        <v>465</v>
      </c>
      <c r="F77" s="4" t="s">
        <v>487</v>
      </c>
      <c r="G77" s="4" t="s">
        <v>520</v>
      </c>
      <c r="H77" s="4" t="s">
        <v>403</v>
      </c>
      <c r="I77" s="4" t="s">
        <v>195</v>
      </c>
      <c r="J77" s="4" t="s">
        <v>196</v>
      </c>
      <c r="K77" s="4" t="s">
        <v>197</v>
      </c>
      <c r="L77" s="4" t="s">
        <v>22</v>
      </c>
      <c r="M77" s="5">
        <v>152.7756</v>
      </c>
      <c r="N77" s="5">
        <v>576.58500000000004</v>
      </c>
      <c r="O77" s="5">
        <v>0</v>
      </c>
      <c r="P77" s="5">
        <v>558.75</v>
      </c>
      <c r="Q77" s="5">
        <v>24456.27</v>
      </c>
      <c r="R77" s="5">
        <v>24456</v>
      </c>
      <c r="S77" s="5">
        <v>0.27000000000043656</v>
      </c>
    </row>
    <row r="78" spans="1:20">
      <c r="A78" s="4" t="s">
        <v>7</v>
      </c>
      <c r="B78" s="4" t="s">
        <v>8</v>
      </c>
      <c r="C78" s="4" t="s">
        <v>9</v>
      </c>
      <c r="D78" s="4" t="s">
        <v>313</v>
      </c>
      <c r="E78" s="4" t="s">
        <v>462</v>
      </c>
      <c r="F78" s="4" t="s">
        <v>490</v>
      </c>
      <c r="G78" s="4" t="s">
        <v>522</v>
      </c>
      <c r="H78" s="4" t="s">
        <v>412</v>
      </c>
      <c r="I78" s="4" t="s">
        <v>54</v>
      </c>
      <c r="J78" s="4" t="s">
        <v>55</v>
      </c>
      <c r="K78" s="4" t="s">
        <v>56</v>
      </c>
      <c r="L78" s="4" t="s">
        <v>13</v>
      </c>
      <c r="M78" s="5">
        <v>280.14</v>
      </c>
      <c r="N78" s="5">
        <v>39.75</v>
      </c>
      <c r="O78" s="5">
        <v>0</v>
      </c>
      <c r="P78" s="5">
        <v>3150</v>
      </c>
      <c r="Q78" s="5">
        <v>30000</v>
      </c>
      <c r="R78" s="5">
        <v>30000</v>
      </c>
      <c r="S78" s="5">
        <v>0</v>
      </c>
    </row>
    <row r="79" spans="1:20">
      <c r="A79" s="4" t="s">
        <v>7</v>
      </c>
      <c r="B79" s="4" t="s">
        <v>8</v>
      </c>
      <c r="C79" s="4" t="s">
        <v>9</v>
      </c>
      <c r="D79" s="4" t="s">
        <v>378</v>
      </c>
      <c r="E79" s="4" t="s">
        <v>462</v>
      </c>
      <c r="F79" s="4" t="s">
        <v>515</v>
      </c>
      <c r="G79" s="4" t="s">
        <v>533</v>
      </c>
      <c r="H79" s="4" t="s">
        <v>455</v>
      </c>
      <c r="I79" s="4" t="s">
        <v>109</v>
      </c>
      <c r="J79" s="4" t="s">
        <v>110</v>
      </c>
      <c r="K79" s="4" t="s">
        <v>111</v>
      </c>
      <c r="L79" s="4" t="s">
        <v>47</v>
      </c>
      <c r="M79" s="5">
        <v>0</v>
      </c>
      <c r="N79" s="5">
        <v>45000</v>
      </c>
      <c r="O79" s="5">
        <v>0</v>
      </c>
      <c r="P79" s="5">
        <v>52500</v>
      </c>
      <c r="Q79" s="5">
        <v>97500</v>
      </c>
      <c r="R79" s="5">
        <v>0</v>
      </c>
      <c r="S79" s="5">
        <v>97500</v>
      </c>
      <c r="T79" s="4" t="s">
        <v>541</v>
      </c>
    </row>
    <row r="80" spans="1:20">
      <c r="A80" s="4" t="s">
        <v>7</v>
      </c>
      <c r="B80" s="4" t="s">
        <v>17</v>
      </c>
      <c r="C80" s="4" t="s">
        <v>18</v>
      </c>
      <c r="D80" s="4" t="s">
        <v>317</v>
      </c>
      <c r="E80" s="4" t="s">
        <v>471</v>
      </c>
      <c r="F80" s="4" t="s">
        <v>491</v>
      </c>
      <c r="G80" s="4" t="s">
        <v>523</v>
      </c>
      <c r="H80" s="4" t="s">
        <v>416</v>
      </c>
      <c r="I80" s="4" t="s">
        <v>238</v>
      </c>
      <c r="J80" s="4" t="s">
        <v>239</v>
      </c>
      <c r="K80" s="4" t="s">
        <v>240</v>
      </c>
      <c r="L80" s="4" t="s">
        <v>161</v>
      </c>
      <c r="M80" s="5">
        <v>140.3304</v>
      </c>
      <c r="N80" s="5">
        <v>0</v>
      </c>
      <c r="O80" s="5">
        <v>6318.75</v>
      </c>
      <c r="P80" s="5">
        <v>2400</v>
      </c>
      <c r="Q80" s="5">
        <v>46500</v>
      </c>
      <c r="R80" s="5">
        <v>46500</v>
      </c>
      <c r="S80" s="5">
        <v>0</v>
      </c>
    </row>
    <row r="81" spans="1:20">
      <c r="A81" s="4" t="s">
        <v>7</v>
      </c>
      <c r="B81" s="4" t="s">
        <v>8</v>
      </c>
      <c r="C81" s="4" t="s">
        <v>9</v>
      </c>
      <c r="D81" s="4" t="s">
        <v>377</v>
      </c>
      <c r="E81" s="4" t="s">
        <v>462</v>
      </c>
      <c r="F81" s="4" t="s">
        <v>515</v>
      </c>
      <c r="G81" s="4" t="s">
        <v>533</v>
      </c>
      <c r="H81" s="4" t="s">
        <v>454</v>
      </c>
      <c r="I81" s="4" t="s">
        <v>72</v>
      </c>
      <c r="J81" s="4" t="s">
        <v>73</v>
      </c>
      <c r="K81" s="4" t="s">
        <v>74</v>
      </c>
      <c r="L81" s="4" t="s">
        <v>47</v>
      </c>
      <c r="M81" s="5">
        <v>0</v>
      </c>
      <c r="N81" s="5">
        <v>0</v>
      </c>
      <c r="O81" s="5">
        <v>0</v>
      </c>
      <c r="P81" s="5">
        <v>57000</v>
      </c>
      <c r="Q81" s="5">
        <v>57000</v>
      </c>
      <c r="R81" s="5">
        <v>0</v>
      </c>
      <c r="S81" s="5">
        <v>57000</v>
      </c>
    </row>
    <row r="82" spans="1:20">
      <c r="A82" s="4" t="s">
        <v>7</v>
      </c>
      <c r="B82" s="4" t="s">
        <v>17</v>
      </c>
      <c r="C82" s="4" t="s">
        <v>18</v>
      </c>
      <c r="D82" s="4" t="s">
        <v>307</v>
      </c>
      <c r="E82" s="4" t="s">
        <v>463</v>
      </c>
      <c r="F82" s="4" t="s">
        <v>488</v>
      </c>
      <c r="G82" s="4" t="s">
        <v>520</v>
      </c>
      <c r="H82" s="4" t="s">
        <v>406</v>
      </c>
      <c r="I82" s="4" t="s">
        <v>235</v>
      </c>
      <c r="J82" s="4" t="s">
        <v>236</v>
      </c>
      <c r="K82" s="4" t="s">
        <v>237</v>
      </c>
      <c r="L82" s="4" t="s">
        <v>13</v>
      </c>
      <c r="M82" s="5">
        <v>0</v>
      </c>
      <c r="N82" s="5">
        <v>24.674999999999997</v>
      </c>
      <c r="O82" s="5">
        <v>0</v>
      </c>
      <c r="P82" s="5">
        <v>1125</v>
      </c>
      <c r="Q82" s="5">
        <v>7502.61</v>
      </c>
      <c r="R82" s="5">
        <v>7502.25</v>
      </c>
      <c r="S82" s="5">
        <v>0.35999999999967258</v>
      </c>
      <c r="T82" s="4" t="s">
        <v>542</v>
      </c>
    </row>
    <row r="83" spans="1:20">
      <c r="A83" s="4" t="s">
        <v>7</v>
      </c>
      <c r="B83" s="4" t="s">
        <v>8</v>
      </c>
      <c r="C83" s="4" t="s">
        <v>9</v>
      </c>
      <c r="D83" s="4" t="s">
        <v>298</v>
      </c>
      <c r="E83" s="4" t="s">
        <v>462</v>
      </c>
      <c r="F83" s="4" t="s">
        <v>485</v>
      </c>
      <c r="G83" s="4" t="s">
        <v>519</v>
      </c>
      <c r="H83" s="4" t="s">
        <v>398</v>
      </c>
      <c r="I83" s="4" t="s">
        <v>103</v>
      </c>
      <c r="J83" s="4" t="s">
        <v>104</v>
      </c>
      <c r="K83" s="4" t="s">
        <v>105</v>
      </c>
      <c r="L83" s="4" t="s">
        <v>47</v>
      </c>
      <c r="M83" s="5">
        <v>0</v>
      </c>
      <c r="N83" s="5">
        <v>0</v>
      </c>
      <c r="O83" s="5">
        <v>0</v>
      </c>
      <c r="P83" s="5">
        <v>9375</v>
      </c>
      <c r="Q83" s="5">
        <v>9375</v>
      </c>
      <c r="R83" s="5">
        <v>0</v>
      </c>
      <c r="S83" s="5">
        <v>9375</v>
      </c>
    </row>
    <row r="84" spans="1:20">
      <c r="A84" s="4" t="s">
        <v>7</v>
      </c>
      <c r="B84" s="4" t="s">
        <v>17</v>
      </c>
      <c r="C84" s="4" t="s">
        <v>18</v>
      </c>
      <c r="D84" s="4" t="s">
        <v>327</v>
      </c>
      <c r="E84" s="4" t="s">
        <v>473</v>
      </c>
      <c r="F84" s="4" t="s">
        <v>495</v>
      </c>
      <c r="G84" s="4" t="s">
        <v>525</v>
      </c>
      <c r="H84" s="4" t="s">
        <v>398</v>
      </c>
      <c r="I84" s="4" t="s">
        <v>244</v>
      </c>
      <c r="J84" s="4" t="s">
        <v>245</v>
      </c>
      <c r="K84" s="4" t="s">
        <v>241</v>
      </c>
      <c r="L84" s="4" t="s">
        <v>161</v>
      </c>
      <c r="M84" s="5">
        <v>320.167125</v>
      </c>
      <c r="N84" s="5">
        <v>7.5</v>
      </c>
      <c r="O84" s="5">
        <v>1372.5</v>
      </c>
      <c r="P84" s="5">
        <v>558.75</v>
      </c>
      <c r="Q84" s="5">
        <v>75000</v>
      </c>
      <c r="R84" s="5">
        <v>75000</v>
      </c>
      <c r="S84" s="5">
        <v>0</v>
      </c>
    </row>
    <row r="85" spans="1:20">
      <c r="A85" s="4" t="s">
        <v>7</v>
      </c>
      <c r="B85" s="4" t="s">
        <v>8</v>
      </c>
      <c r="C85" s="4" t="s">
        <v>9</v>
      </c>
      <c r="D85" s="4" t="s">
        <v>326</v>
      </c>
      <c r="E85" s="4" t="s">
        <v>462</v>
      </c>
      <c r="F85" s="4" t="s">
        <v>495</v>
      </c>
      <c r="G85" s="4" t="s">
        <v>525</v>
      </c>
      <c r="H85" s="4" t="s">
        <v>423</v>
      </c>
      <c r="I85" s="4" t="s">
        <v>96</v>
      </c>
      <c r="J85" s="4" t="s">
        <v>97</v>
      </c>
      <c r="K85" s="4" t="s">
        <v>98</v>
      </c>
      <c r="L85" s="4" t="s">
        <v>47</v>
      </c>
      <c r="M85" s="5">
        <v>57.161999999999992</v>
      </c>
      <c r="N85" s="5">
        <v>0</v>
      </c>
      <c r="O85" s="5">
        <v>2613.75</v>
      </c>
      <c r="P85" s="5">
        <v>8077.5</v>
      </c>
      <c r="Q85" s="5">
        <v>41250</v>
      </c>
      <c r="R85" s="5">
        <v>41250</v>
      </c>
      <c r="S85" s="5">
        <v>0</v>
      </c>
    </row>
    <row r="86" spans="1:20">
      <c r="A86" s="4" t="s">
        <v>7</v>
      </c>
      <c r="B86" s="4" t="s">
        <v>8</v>
      </c>
      <c r="C86" s="4" t="s">
        <v>9</v>
      </c>
      <c r="D86" s="4" t="s">
        <v>344</v>
      </c>
      <c r="E86" s="4" t="s">
        <v>462</v>
      </c>
      <c r="F86" s="4" t="s">
        <v>503</v>
      </c>
      <c r="G86" s="4" t="s">
        <v>530</v>
      </c>
      <c r="H86" s="4" t="s">
        <v>435</v>
      </c>
      <c r="I86" s="4" t="s">
        <v>48</v>
      </c>
      <c r="J86" s="4" t="s">
        <v>49</v>
      </c>
      <c r="K86" s="4" t="s">
        <v>50</v>
      </c>
      <c r="L86" s="4" t="s">
        <v>47</v>
      </c>
      <c r="M86" s="5">
        <v>367.38967500000001</v>
      </c>
      <c r="N86" s="5">
        <v>0</v>
      </c>
      <c r="O86" s="5">
        <v>2021.25</v>
      </c>
      <c r="P86" s="5">
        <v>6577.5</v>
      </c>
      <c r="Q86" s="5">
        <v>23576.864999999998</v>
      </c>
      <c r="R86" s="5">
        <v>0</v>
      </c>
      <c r="S86" s="5">
        <v>23576.864999999998</v>
      </c>
    </row>
    <row r="87" spans="1:20">
      <c r="A87" s="4" t="s">
        <v>7</v>
      </c>
      <c r="B87" s="4" t="s">
        <v>8</v>
      </c>
      <c r="C87" s="4" t="s">
        <v>9</v>
      </c>
      <c r="D87" s="4" t="s">
        <v>328</v>
      </c>
      <c r="E87" s="4" t="s">
        <v>462</v>
      </c>
      <c r="F87" s="4" t="s">
        <v>496</v>
      </c>
      <c r="G87" s="4" t="s">
        <v>526</v>
      </c>
      <c r="H87" s="4" t="s">
        <v>424</v>
      </c>
      <c r="I87" s="4" t="s">
        <v>10</v>
      </c>
      <c r="J87" s="4" t="s">
        <v>11</v>
      </c>
      <c r="K87" s="4" t="s">
        <v>12</v>
      </c>
      <c r="L87" s="4" t="s">
        <v>13</v>
      </c>
      <c r="M87" s="5">
        <v>252.64679999999998</v>
      </c>
      <c r="N87" s="5">
        <v>99</v>
      </c>
      <c r="O87" s="5">
        <v>712.5</v>
      </c>
      <c r="P87" s="5">
        <v>6187.5</v>
      </c>
      <c r="Q87" s="5">
        <v>142499.77500000002</v>
      </c>
      <c r="R87" s="5">
        <v>142500</v>
      </c>
      <c r="S87" s="5">
        <v>-0.22499999997671694</v>
      </c>
    </row>
    <row r="88" spans="1:20">
      <c r="A88" s="4" t="s">
        <v>7</v>
      </c>
      <c r="B88" s="4" t="s">
        <v>17</v>
      </c>
      <c r="C88" s="4" t="s">
        <v>18</v>
      </c>
      <c r="D88" s="4" t="s">
        <v>376</v>
      </c>
      <c r="E88" s="4" t="s">
        <v>466</v>
      </c>
      <c r="F88" s="4" t="s">
        <v>513</v>
      </c>
      <c r="G88" s="4" t="s">
        <v>532</v>
      </c>
      <c r="H88" s="4" t="s">
        <v>452</v>
      </c>
      <c r="I88" s="4" t="s">
        <v>272</v>
      </c>
      <c r="J88" s="4" t="s">
        <v>273</v>
      </c>
      <c r="K88" s="4" t="s">
        <v>274</v>
      </c>
      <c r="L88" s="4" t="s">
        <v>157</v>
      </c>
      <c r="M88" s="5">
        <v>24.595199999999998</v>
      </c>
      <c r="N88" s="5">
        <v>2044.0274999999999</v>
      </c>
      <c r="O88" s="5">
        <v>2606.25</v>
      </c>
      <c r="P88" s="5">
        <v>16267.5</v>
      </c>
      <c r="Q88" s="5">
        <v>101171.28749999999</v>
      </c>
      <c r="R88" s="5">
        <v>1569.75</v>
      </c>
      <c r="S88" s="5">
        <v>99601.537499999991</v>
      </c>
      <c r="T88" s="4" t="s">
        <v>564</v>
      </c>
    </row>
    <row r="89" spans="1:20">
      <c r="A89" s="4" t="s">
        <v>7</v>
      </c>
      <c r="B89" s="4" t="s">
        <v>17</v>
      </c>
      <c r="C89" s="4" t="s">
        <v>18</v>
      </c>
      <c r="D89" s="4" t="s">
        <v>381</v>
      </c>
      <c r="E89" s="4" t="s">
        <v>466</v>
      </c>
      <c r="F89" s="4" t="s">
        <v>515</v>
      </c>
      <c r="G89" s="4" t="s">
        <v>533</v>
      </c>
      <c r="H89" s="4" t="s">
        <v>402</v>
      </c>
      <c r="I89" s="4" t="s">
        <v>184</v>
      </c>
      <c r="J89" s="4" t="s">
        <v>185</v>
      </c>
      <c r="K89" s="4" t="s">
        <v>186</v>
      </c>
      <c r="L89" s="4" t="s">
        <v>157</v>
      </c>
      <c r="M89" s="5">
        <v>267.13747499999999</v>
      </c>
      <c r="N89" s="5">
        <v>0</v>
      </c>
      <c r="O89" s="5">
        <v>11364.75</v>
      </c>
      <c r="P89" s="5">
        <v>6655.5</v>
      </c>
      <c r="Q89" s="5">
        <v>58380.959999999999</v>
      </c>
      <c r="R89" s="5">
        <v>0</v>
      </c>
      <c r="S89" s="5">
        <v>58380.959999999999</v>
      </c>
      <c r="T89" s="4" t="s">
        <v>565</v>
      </c>
    </row>
    <row r="90" spans="1:20">
      <c r="A90" s="4" t="s">
        <v>7</v>
      </c>
      <c r="B90" s="4" t="s">
        <v>8</v>
      </c>
      <c r="C90" s="4" t="s">
        <v>9</v>
      </c>
      <c r="D90" s="4" t="s">
        <v>345</v>
      </c>
      <c r="E90" s="4" t="s">
        <v>462</v>
      </c>
      <c r="F90" s="4" t="s">
        <v>504</v>
      </c>
      <c r="G90" s="4" t="s">
        <v>530</v>
      </c>
      <c r="H90" s="4" t="s">
        <v>428</v>
      </c>
      <c r="I90" s="4" t="s">
        <v>63</v>
      </c>
      <c r="J90" s="4" t="s">
        <v>64</v>
      </c>
      <c r="K90" s="4" t="s">
        <v>65</v>
      </c>
      <c r="L90" s="4" t="s">
        <v>47</v>
      </c>
      <c r="M90" s="5">
        <v>0</v>
      </c>
      <c r="N90" s="5">
        <v>0</v>
      </c>
      <c r="O90" s="5">
        <v>1976.25</v>
      </c>
      <c r="P90" s="5">
        <v>46500</v>
      </c>
      <c r="Q90" s="5">
        <v>138364.875</v>
      </c>
      <c r="R90" s="5">
        <v>0</v>
      </c>
      <c r="S90" s="5">
        <v>138364.875</v>
      </c>
    </row>
    <row r="91" spans="1:20">
      <c r="A91" s="4" t="s">
        <v>7</v>
      </c>
      <c r="B91" s="4" t="s">
        <v>17</v>
      </c>
      <c r="C91" s="4" t="s">
        <v>18</v>
      </c>
      <c r="D91" s="4" t="s">
        <v>354</v>
      </c>
      <c r="E91" s="4" t="s">
        <v>477</v>
      </c>
      <c r="F91" s="4" t="s">
        <v>509</v>
      </c>
      <c r="G91" s="4" t="s">
        <v>530</v>
      </c>
      <c r="H91" s="4" t="s">
        <v>400</v>
      </c>
      <c r="I91" s="4" t="s">
        <v>82</v>
      </c>
      <c r="J91" s="4" t="s">
        <v>158</v>
      </c>
      <c r="K91" s="4" t="s">
        <v>159</v>
      </c>
      <c r="L91" s="4" t="s">
        <v>139</v>
      </c>
      <c r="M91" s="5">
        <v>0</v>
      </c>
      <c r="N91" s="5">
        <v>0</v>
      </c>
      <c r="O91" s="5">
        <v>0</v>
      </c>
      <c r="P91" s="5">
        <v>10875</v>
      </c>
      <c r="Q91" s="5">
        <v>10875</v>
      </c>
      <c r="R91" s="5">
        <v>0</v>
      </c>
      <c r="S91" s="5">
        <v>10875</v>
      </c>
      <c r="T91" s="4" t="s">
        <v>554</v>
      </c>
    </row>
    <row r="92" spans="1:20">
      <c r="A92" s="4" t="s">
        <v>7</v>
      </c>
      <c r="B92" s="4" t="s">
        <v>8</v>
      </c>
      <c r="C92" s="4" t="s">
        <v>9</v>
      </c>
      <c r="D92" s="4" t="s">
        <v>335</v>
      </c>
      <c r="E92" s="4" t="s">
        <v>462</v>
      </c>
      <c r="F92" s="4" t="s">
        <v>499</v>
      </c>
      <c r="G92" s="4" t="s">
        <v>528</v>
      </c>
      <c r="H92" s="4" t="s">
        <v>413</v>
      </c>
      <c r="I92" s="4" t="s">
        <v>66</v>
      </c>
      <c r="J92" s="4" t="s">
        <v>67</v>
      </c>
      <c r="K92" s="4" t="s">
        <v>68</v>
      </c>
      <c r="L92" s="4" t="s">
        <v>47</v>
      </c>
      <c r="M92" s="5">
        <v>0</v>
      </c>
      <c r="N92" s="5">
        <v>0</v>
      </c>
      <c r="O92" s="5">
        <v>0</v>
      </c>
      <c r="P92" s="5">
        <v>9750</v>
      </c>
      <c r="Q92" s="5">
        <v>9750</v>
      </c>
      <c r="R92" s="5">
        <v>9750</v>
      </c>
      <c r="S92" s="5">
        <v>0</v>
      </c>
    </row>
    <row r="93" spans="1:20">
      <c r="A93" s="4" t="s">
        <v>7</v>
      </c>
      <c r="B93" s="4" t="s">
        <v>17</v>
      </c>
      <c r="C93" s="4" t="s">
        <v>18</v>
      </c>
      <c r="D93" s="4" t="s">
        <v>372</v>
      </c>
      <c r="E93" s="4" t="s">
        <v>465</v>
      </c>
      <c r="F93" s="4" t="s">
        <v>512</v>
      </c>
      <c r="G93" s="4" t="s">
        <v>531</v>
      </c>
      <c r="H93" s="4" t="s">
        <v>449</v>
      </c>
      <c r="I93" s="4" t="s">
        <v>200</v>
      </c>
      <c r="J93" s="4" t="s">
        <v>201</v>
      </c>
      <c r="K93" s="4" t="s">
        <v>202</v>
      </c>
      <c r="L93" s="4" t="s">
        <v>22</v>
      </c>
      <c r="M93" s="5">
        <v>0</v>
      </c>
      <c r="N93" s="5">
        <v>0</v>
      </c>
      <c r="O93" s="5">
        <v>0</v>
      </c>
      <c r="P93" s="5">
        <v>86884.5</v>
      </c>
      <c r="Q93" s="5">
        <v>86884.5</v>
      </c>
      <c r="R93" s="5">
        <v>0</v>
      </c>
      <c r="S93" s="5">
        <v>86884.5</v>
      </c>
    </row>
    <row r="94" spans="1:20">
      <c r="A94" s="4" t="s">
        <v>7</v>
      </c>
      <c r="B94" s="4" t="s">
        <v>8</v>
      </c>
      <c r="C94" s="4" t="s">
        <v>9</v>
      </c>
      <c r="D94" s="4" t="s">
        <v>389</v>
      </c>
      <c r="E94" s="4" t="s">
        <v>462</v>
      </c>
      <c r="F94" s="4" t="s">
        <v>517</v>
      </c>
      <c r="G94" s="4" t="s">
        <v>534</v>
      </c>
      <c r="H94" s="4" t="s">
        <v>458</v>
      </c>
      <c r="I94" s="4" t="s">
        <v>124</v>
      </c>
      <c r="J94" s="4" t="s">
        <v>125</v>
      </c>
      <c r="K94" s="4" t="s">
        <v>126</v>
      </c>
      <c r="L94" s="4" t="s">
        <v>13</v>
      </c>
      <c r="M94" s="5">
        <v>0</v>
      </c>
      <c r="N94" s="5">
        <v>0</v>
      </c>
      <c r="O94" s="5">
        <v>0</v>
      </c>
      <c r="P94" s="5">
        <v>55500</v>
      </c>
      <c r="Q94" s="5">
        <v>55500</v>
      </c>
      <c r="R94" s="5">
        <v>0</v>
      </c>
      <c r="S94" s="5">
        <v>55500</v>
      </c>
    </row>
    <row r="95" spans="1:20">
      <c r="A95" s="4" t="s">
        <v>7</v>
      </c>
      <c r="B95" s="4" t="s">
        <v>17</v>
      </c>
      <c r="C95" s="4" t="s">
        <v>18</v>
      </c>
      <c r="D95" s="4" t="s">
        <v>311</v>
      </c>
      <c r="E95" s="4" t="s">
        <v>468</v>
      </c>
      <c r="F95" s="4" t="s">
        <v>489</v>
      </c>
      <c r="G95" s="4" t="s">
        <v>521</v>
      </c>
      <c r="H95" s="4" t="s">
        <v>410</v>
      </c>
      <c r="I95" s="4" t="s">
        <v>211</v>
      </c>
      <c r="J95" s="4" t="s">
        <v>213</v>
      </c>
      <c r="K95" s="4" t="s">
        <v>24</v>
      </c>
      <c r="L95" s="4" t="s">
        <v>139</v>
      </c>
      <c r="M95" s="5">
        <v>57.12</v>
      </c>
      <c r="N95" s="5">
        <v>0</v>
      </c>
      <c r="O95" s="5">
        <v>15015</v>
      </c>
      <c r="P95" s="5">
        <v>375</v>
      </c>
      <c r="Q95" s="5">
        <v>30000</v>
      </c>
      <c r="R95" s="5">
        <v>30000</v>
      </c>
      <c r="S95" s="5">
        <v>0</v>
      </c>
    </row>
    <row r="96" spans="1:20">
      <c r="A96" s="4" t="s">
        <v>7</v>
      </c>
      <c r="B96" s="4" t="s">
        <v>17</v>
      </c>
      <c r="C96" s="4" t="s">
        <v>18</v>
      </c>
      <c r="D96" s="4" t="s">
        <v>312</v>
      </c>
      <c r="E96" s="4" t="s">
        <v>468</v>
      </c>
      <c r="F96" s="4" t="s">
        <v>489</v>
      </c>
      <c r="G96" s="4" t="s">
        <v>521</v>
      </c>
      <c r="H96" s="4" t="s">
        <v>411</v>
      </c>
      <c r="I96" s="4" t="s">
        <v>29</v>
      </c>
      <c r="J96" s="4" t="s">
        <v>228</v>
      </c>
      <c r="K96" s="4" t="s">
        <v>229</v>
      </c>
      <c r="L96" s="4" t="s">
        <v>142</v>
      </c>
      <c r="M96" s="5">
        <v>136.9308</v>
      </c>
      <c r="N96" s="5">
        <v>0</v>
      </c>
      <c r="O96" s="5">
        <v>4601.25</v>
      </c>
      <c r="P96" s="5">
        <v>1875</v>
      </c>
      <c r="Q96" s="5">
        <v>62667.097500000003</v>
      </c>
      <c r="R96" s="5">
        <v>62667</v>
      </c>
      <c r="S96" s="5">
        <v>9.750000000349246E-2</v>
      </c>
    </row>
    <row r="97" spans="1:20">
      <c r="A97" s="4" t="s">
        <v>7</v>
      </c>
      <c r="B97" s="4" t="s">
        <v>17</v>
      </c>
      <c r="C97" s="4" t="s">
        <v>18</v>
      </c>
      <c r="D97" s="4" t="s">
        <v>361</v>
      </c>
      <c r="E97" s="4" t="s">
        <v>464</v>
      </c>
      <c r="F97" s="4" t="s">
        <v>511</v>
      </c>
      <c r="G97" s="4" t="s">
        <v>530</v>
      </c>
      <c r="H97" s="4" t="s">
        <v>442</v>
      </c>
      <c r="I97" s="4" t="s">
        <v>217</v>
      </c>
      <c r="J97" s="4" t="s">
        <v>218</v>
      </c>
      <c r="K97" s="4" t="s">
        <v>219</v>
      </c>
      <c r="L97" s="4" t="s">
        <v>139</v>
      </c>
      <c r="M97" s="5">
        <v>44.099999999999994</v>
      </c>
      <c r="N97" s="5">
        <v>99</v>
      </c>
      <c r="O97" s="5">
        <v>0</v>
      </c>
      <c r="P97" s="5">
        <v>3000</v>
      </c>
      <c r="Q97" s="5">
        <v>22460.017499999998</v>
      </c>
      <c r="R97" s="5">
        <v>0</v>
      </c>
      <c r="S97" s="5">
        <v>22460.017499999998</v>
      </c>
    </row>
    <row r="98" spans="1:20">
      <c r="A98" s="4" t="s">
        <v>7</v>
      </c>
      <c r="B98" s="4" t="s">
        <v>8</v>
      </c>
      <c r="C98" s="4" t="s">
        <v>9</v>
      </c>
      <c r="D98" s="4" t="s">
        <v>334</v>
      </c>
      <c r="E98" s="4" t="s">
        <v>462</v>
      </c>
      <c r="F98" s="4" t="s">
        <v>498</v>
      </c>
      <c r="G98" s="4" t="s">
        <v>527</v>
      </c>
      <c r="H98" s="4" t="s">
        <v>427</v>
      </c>
      <c r="I98" s="4" t="s">
        <v>121</v>
      </c>
      <c r="J98" s="4" t="s">
        <v>122</v>
      </c>
      <c r="K98" s="4" t="s">
        <v>123</v>
      </c>
      <c r="L98" s="4" t="s">
        <v>102</v>
      </c>
      <c r="M98" s="5">
        <v>56.699999999999996</v>
      </c>
      <c r="N98" s="5">
        <v>112.125</v>
      </c>
      <c r="O98" s="5">
        <v>900</v>
      </c>
      <c r="P98" s="5">
        <v>3712.5</v>
      </c>
      <c r="Q98" s="5">
        <v>135000</v>
      </c>
      <c r="R98" s="5">
        <v>135000</v>
      </c>
      <c r="S98" s="5">
        <v>0</v>
      </c>
    </row>
    <row r="99" spans="1:20">
      <c r="A99" s="4" t="s">
        <v>7</v>
      </c>
      <c r="B99" s="4" t="s">
        <v>17</v>
      </c>
      <c r="C99" s="4" t="s">
        <v>18</v>
      </c>
      <c r="D99" s="4" t="s">
        <v>305</v>
      </c>
      <c r="E99" s="4" t="s">
        <v>464</v>
      </c>
      <c r="F99" s="4" t="s">
        <v>486</v>
      </c>
      <c r="G99" s="4" t="s">
        <v>520</v>
      </c>
      <c r="H99" s="4" t="s">
        <v>405</v>
      </c>
      <c r="I99" s="4" t="s">
        <v>72</v>
      </c>
      <c r="J99" s="4" t="s">
        <v>167</v>
      </c>
      <c r="K99" s="4" t="s">
        <v>168</v>
      </c>
      <c r="L99" s="4" t="s">
        <v>142</v>
      </c>
      <c r="M99" s="5">
        <v>0</v>
      </c>
      <c r="N99" s="5">
        <v>0</v>
      </c>
      <c r="O99" s="5">
        <v>0</v>
      </c>
      <c r="P99" s="5">
        <v>375</v>
      </c>
      <c r="Q99" s="5">
        <v>375</v>
      </c>
      <c r="R99" s="5">
        <v>375</v>
      </c>
      <c r="S99" s="5">
        <v>0</v>
      </c>
      <c r="T99" s="4" t="s">
        <v>541</v>
      </c>
    </row>
    <row r="100" spans="1:20">
      <c r="A100" s="4" t="s">
        <v>7</v>
      </c>
      <c r="B100" s="4" t="s">
        <v>8</v>
      </c>
      <c r="C100" s="4" t="s">
        <v>9</v>
      </c>
      <c r="D100" s="4" t="s">
        <v>300</v>
      </c>
      <c r="E100" s="4" t="s">
        <v>462</v>
      </c>
      <c r="F100" s="4" t="s">
        <v>486</v>
      </c>
      <c r="G100" s="4" t="s">
        <v>520</v>
      </c>
      <c r="H100" s="4" t="s">
        <v>400</v>
      </c>
      <c r="I100" s="4" t="s">
        <v>39</v>
      </c>
      <c r="J100" s="4" t="s">
        <v>40</v>
      </c>
      <c r="K100" s="4" t="s">
        <v>41</v>
      </c>
      <c r="L100" s="4" t="s">
        <v>13</v>
      </c>
      <c r="M100" s="5">
        <v>0</v>
      </c>
      <c r="N100" s="5">
        <v>0</v>
      </c>
      <c r="O100" s="5">
        <v>0</v>
      </c>
      <c r="P100" s="5">
        <v>9375</v>
      </c>
      <c r="Q100" s="5">
        <v>9375</v>
      </c>
      <c r="R100" s="5">
        <v>0</v>
      </c>
      <c r="S100" s="5">
        <v>9375</v>
      </c>
      <c r="T100" s="4" t="s">
        <v>539</v>
      </c>
    </row>
    <row r="101" spans="1:20">
      <c r="A101" s="4" t="s">
        <v>7</v>
      </c>
      <c r="B101" s="4" t="s">
        <v>17</v>
      </c>
      <c r="C101" s="4" t="s">
        <v>9</v>
      </c>
      <c r="D101" s="4" t="s">
        <v>351</v>
      </c>
      <c r="E101" s="4" t="s">
        <v>462</v>
      </c>
      <c r="F101" s="4" t="s">
        <v>507</v>
      </c>
      <c r="G101" s="4" t="s">
        <v>530</v>
      </c>
      <c r="H101" s="4" t="s">
        <v>439</v>
      </c>
      <c r="I101" s="4" t="s">
        <v>26</v>
      </c>
      <c r="J101" s="4" t="s">
        <v>140</v>
      </c>
      <c r="K101" s="4" t="s">
        <v>141</v>
      </c>
      <c r="L101" s="4" t="s">
        <v>142</v>
      </c>
      <c r="M101" s="5">
        <v>0</v>
      </c>
      <c r="N101" s="5">
        <v>35594.25</v>
      </c>
      <c r="O101" s="5">
        <v>0</v>
      </c>
      <c r="P101" s="5">
        <v>16107.75</v>
      </c>
      <c r="Q101" s="5">
        <v>51702</v>
      </c>
      <c r="R101" s="5">
        <v>0</v>
      </c>
      <c r="S101" s="5">
        <v>51702</v>
      </c>
      <c r="T101" s="4" t="s">
        <v>551</v>
      </c>
    </row>
    <row r="102" spans="1:20">
      <c r="A102" s="4" t="s">
        <v>7</v>
      </c>
      <c r="B102" s="4" t="s">
        <v>17</v>
      </c>
      <c r="C102" s="4" t="s">
        <v>18</v>
      </c>
      <c r="D102" s="4" t="s">
        <v>351</v>
      </c>
      <c r="E102" s="4" t="s">
        <v>464</v>
      </c>
      <c r="F102" s="4" t="s">
        <v>507</v>
      </c>
      <c r="G102" s="4" t="s">
        <v>530</v>
      </c>
      <c r="H102" s="4" t="s">
        <v>436</v>
      </c>
      <c r="I102" s="4" t="s">
        <v>26</v>
      </c>
      <c r="J102" s="4" t="s">
        <v>140</v>
      </c>
      <c r="K102" s="4" t="s">
        <v>141</v>
      </c>
      <c r="L102" s="4" t="s">
        <v>142</v>
      </c>
      <c r="M102" s="5">
        <v>0</v>
      </c>
      <c r="N102" s="5">
        <v>0</v>
      </c>
      <c r="O102" s="5">
        <v>0</v>
      </c>
      <c r="P102" s="5">
        <v>30375</v>
      </c>
      <c r="Q102" s="5">
        <v>30375</v>
      </c>
      <c r="R102" s="5">
        <v>0</v>
      </c>
      <c r="S102" s="5">
        <v>30375</v>
      </c>
      <c r="T102" s="4" t="s">
        <v>551</v>
      </c>
    </row>
    <row r="103" spans="1:20">
      <c r="A103" s="4" t="s">
        <v>7</v>
      </c>
      <c r="B103" s="4" t="s">
        <v>8</v>
      </c>
      <c r="C103" s="4" t="s">
        <v>9</v>
      </c>
      <c r="D103" s="4" t="s">
        <v>336</v>
      </c>
      <c r="E103" s="4" t="s">
        <v>462</v>
      </c>
      <c r="F103" s="4" t="s">
        <v>499</v>
      </c>
      <c r="G103" s="4" t="s">
        <v>528</v>
      </c>
      <c r="H103" s="4" t="s">
        <v>426</v>
      </c>
      <c r="I103" s="4" t="s">
        <v>99</v>
      </c>
      <c r="J103" s="4" t="s">
        <v>100</v>
      </c>
      <c r="K103" s="4" t="s">
        <v>101</v>
      </c>
      <c r="L103" s="4" t="s">
        <v>102</v>
      </c>
      <c r="M103" s="5">
        <v>161.28</v>
      </c>
      <c r="N103" s="5">
        <v>0</v>
      </c>
      <c r="O103" s="5">
        <v>18543.75</v>
      </c>
      <c r="P103" s="5">
        <v>1601.25</v>
      </c>
      <c r="Q103" s="5">
        <v>79278</v>
      </c>
      <c r="R103" s="5">
        <v>79278</v>
      </c>
      <c r="S103" s="5">
        <v>0</v>
      </c>
    </row>
    <row r="104" spans="1:20">
      <c r="A104" s="4" t="s">
        <v>7</v>
      </c>
      <c r="B104" s="4" t="s">
        <v>17</v>
      </c>
      <c r="C104" s="4" t="s">
        <v>18</v>
      </c>
      <c r="D104" s="4" t="s">
        <v>319</v>
      </c>
      <c r="E104" s="4" t="s">
        <v>472</v>
      </c>
      <c r="F104" s="4" t="s">
        <v>491</v>
      </c>
      <c r="G104" s="4" t="s">
        <v>523</v>
      </c>
      <c r="H104" s="4" t="s">
        <v>417</v>
      </c>
      <c r="I104" s="4" t="s">
        <v>284</v>
      </c>
      <c r="J104" s="4" t="s">
        <v>285</v>
      </c>
      <c r="K104" s="4" t="s">
        <v>286</v>
      </c>
      <c r="L104" s="4" t="s">
        <v>139</v>
      </c>
      <c r="M104" s="5">
        <v>93.24</v>
      </c>
      <c r="N104" s="5">
        <v>67.41</v>
      </c>
      <c r="O104" s="5">
        <v>6832.5</v>
      </c>
      <c r="P104" s="5">
        <v>900</v>
      </c>
      <c r="Q104" s="5">
        <v>11250</v>
      </c>
      <c r="R104" s="5">
        <v>11250</v>
      </c>
      <c r="S104" s="5">
        <v>0</v>
      </c>
    </row>
    <row r="105" spans="1:20">
      <c r="A105" s="4" t="s">
        <v>7</v>
      </c>
      <c r="B105" s="4" t="s">
        <v>17</v>
      </c>
      <c r="C105" s="4" t="s">
        <v>18</v>
      </c>
      <c r="D105" s="4" t="s">
        <v>385</v>
      </c>
      <c r="E105" s="4" t="s">
        <v>476</v>
      </c>
      <c r="F105" s="4" t="s">
        <v>515</v>
      </c>
      <c r="G105" s="4" t="s">
        <v>533</v>
      </c>
      <c r="H105" s="4" t="s">
        <v>459</v>
      </c>
      <c r="I105" s="4" t="s">
        <v>19</v>
      </c>
      <c r="J105" s="4" t="s">
        <v>20</v>
      </c>
      <c r="K105" s="4" t="s">
        <v>21</v>
      </c>
      <c r="L105" s="4" t="s">
        <v>22</v>
      </c>
      <c r="M105" s="5">
        <v>0</v>
      </c>
      <c r="N105" s="5">
        <v>0</v>
      </c>
      <c r="O105" s="5">
        <v>0</v>
      </c>
      <c r="P105" s="5">
        <v>62625</v>
      </c>
      <c r="Q105" s="5">
        <v>62625</v>
      </c>
      <c r="R105" s="5">
        <v>0</v>
      </c>
      <c r="S105" s="5">
        <v>62625</v>
      </c>
    </row>
  </sheetData>
  <autoFilter ref="A1:T105" xr:uid="{00000000-0009-0000-0000-000000000000}">
    <sortState ref="A2:T106">
      <sortCondition ref="J1:J106"/>
    </sortState>
  </autoFilter>
  <pageMargins left="0.75" right="0.75" top="1" bottom="1"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6" sqref="B16"/>
    </sheetView>
  </sheetViews>
  <sheetFormatPr baseColWidth="10" defaultRowHeight="13"/>
  <cols>
    <col min="1" max="1" width="20.33203125" customWidth="1"/>
    <col min="2" max="2" width="40.83203125" customWidth="1"/>
  </cols>
  <sheetData>
    <row r="1" spans="1:2">
      <c r="A1" s="7" t="s">
        <v>580</v>
      </c>
      <c r="B1" s="7" t="s">
        <v>581</v>
      </c>
    </row>
    <row r="2" spans="1:2">
      <c r="A2" s="6" t="s">
        <v>582</v>
      </c>
      <c r="B2" s="8" t="s">
        <v>593</v>
      </c>
    </row>
    <row r="3" spans="1:2">
      <c r="A3" s="6" t="s">
        <v>583</v>
      </c>
      <c r="B3" s="8" t="s">
        <v>593</v>
      </c>
    </row>
    <row r="4" spans="1:2">
      <c r="A4" s="6" t="s">
        <v>584</v>
      </c>
      <c r="B4" s="8" t="s">
        <v>593</v>
      </c>
    </row>
    <row r="5" spans="1:2">
      <c r="A5" s="6" t="s">
        <v>585</v>
      </c>
      <c r="B5" s="8" t="s">
        <v>593</v>
      </c>
    </row>
    <row r="6" spans="1:2">
      <c r="A6" s="6" t="s">
        <v>586</v>
      </c>
      <c r="B6" s="8" t="s">
        <v>593</v>
      </c>
    </row>
    <row r="7" spans="1:2">
      <c r="A7" s="6" t="s">
        <v>587</v>
      </c>
      <c r="B7" s="8" t="s">
        <v>593</v>
      </c>
    </row>
    <row r="8" spans="1:2">
      <c r="A8" s="6" t="s">
        <v>588</v>
      </c>
      <c r="B8" s="8" t="s">
        <v>593</v>
      </c>
    </row>
    <row r="9" spans="1:2">
      <c r="A9" s="6" t="s">
        <v>589</v>
      </c>
      <c r="B9" s="8" t="s">
        <v>594</v>
      </c>
    </row>
    <row r="10" spans="1:2">
      <c r="A10" s="6" t="s">
        <v>590</v>
      </c>
      <c r="B10" s="8" t="s">
        <v>592</v>
      </c>
    </row>
    <row r="11" spans="1:2">
      <c r="A11" s="6" t="s">
        <v>591</v>
      </c>
      <c r="B11" s="8" t="s">
        <v>593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H84"/>
  <sheetViews>
    <sheetView workbookViewId="0">
      <selection activeCell="G36" sqref="G36"/>
    </sheetView>
  </sheetViews>
  <sheetFormatPr baseColWidth="10" defaultRowHeight="13"/>
  <cols>
    <col min="1" max="1" width="11.83203125" bestFit="1" customWidth="1"/>
    <col min="2" max="2" width="14.33203125" bestFit="1" customWidth="1"/>
    <col min="3" max="6" width="17.5" bestFit="1" customWidth="1"/>
    <col min="7" max="7" width="22" bestFit="1" customWidth="1"/>
    <col min="8" max="8" width="20" bestFit="1" customWidth="1"/>
    <col min="9" max="31" width="17.5" bestFit="1" customWidth="1"/>
    <col min="32" max="32" width="22.83203125" bestFit="1" customWidth="1"/>
    <col min="33" max="33" width="20.83203125" bestFit="1" customWidth="1"/>
    <col min="34" max="65" width="17.5" bestFit="1" customWidth="1"/>
    <col min="66" max="66" width="24.33203125" bestFit="1" customWidth="1"/>
    <col min="67" max="67" width="22.5" bestFit="1" customWidth="1"/>
    <col min="68" max="68" width="22" bestFit="1" customWidth="1"/>
    <col min="69" max="69" width="20" bestFit="1" customWidth="1"/>
    <col min="70" max="70" width="11.33203125" bestFit="1" customWidth="1"/>
    <col min="71" max="73" width="8.83203125" bestFit="1" customWidth="1"/>
    <col min="74" max="74" width="11.33203125" bestFit="1" customWidth="1"/>
    <col min="75" max="75" width="8.83203125" bestFit="1" customWidth="1"/>
    <col min="76" max="76" width="11.33203125" bestFit="1" customWidth="1"/>
    <col min="77" max="77" width="8.83203125" bestFit="1" customWidth="1"/>
    <col min="78" max="78" width="11.33203125" bestFit="1" customWidth="1"/>
    <col min="79" max="79" width="8.1640625" bestFit="1" customWidth="1"/>
    <col min="80" max="80" width="10.6640625" bestFit="1" customWidth="1"/>
    <col min="81" max="81" width="10.33203125" bestFit="1" customWidth="1"/>
  </cols>
  <sheetData>
    <row r="3" spans="1:8" ht="14" thickBot="1">
      <c r="A3" s="9"/>
      <c r="B3" s="10"/>
      <c r="C3" s="14" t="s">
        <v>2</v>
      </c>
      <c r="D3" s="28" t="s">
        <v>620</v>
      </c>
      <c r="E3" s="10"/>
      <c r="F3" s="10"/>
      <c r="G3" s="10"/>
      <c r="H3" s="11"/>
    </row>
    <row r="4" spans="1:8" ht="14" thickBot="1">
      <c r="A4" s="12"/>
      <c r="B4" s="13"/>
      <c r="C4" s="72" t="s">
        <v>9</v>
      </c>
      <c r="D4" s="73"/>
      <c r="E4" s="96" t="s">
        <v>18</v>
      </c>
      <c r="F4" s="73"/>
      <c r="G4" s="60" t="s">
        <v>623</v>
      </c>
      <c r="H4" s="60" t="s">
        <v>622</v>
      </c>
    </row>
    <row r="5" spans="1:8" ht="14" thickBot="1">
      <c r="A5" s="40" t="s">
        <v>483</v>
      </c>
      <c r="B5" s="14" t="s">
        <v>536</v>
      </c>
      <c r="C5" s="95" t="s">
        <v>621</v>
      </c>
      <c r="D5" s="104" t="s">
        <v>596</v>
      </c>
      <c r="E5" s="9" t="s">
        <v>621</v>
      </c>
      <c r="F5" s="21" t="s">
        <v>596</v>
      </c>
      <c r="G5" s="98"/>
      <c r="H5" s="98"/>
    </row>
    <row r="6" spans="1:8">
      <c r="A6" s="9" t="s">
        <v>462</v>
      </c>
      <c r="B6" s="9" t="s">
        <v>519</v>
      </c>
      <c r="C6" s="74">
        <v>9375</v>
      </c>
      <c r="D6" s="75">
        <v>1</v>
      </c>
      <c r="E6" s="93"/>
      <c r="F6" s="75"/>
      <c r="G6" s="97">
        <v>9375</v>
      </c>
      <c r="H6" s="99">
        <v>1</v>
      </c>
    </row>
    <row r="7" spans="1:8">
      <c r="A7" s="12"/>
      <c r="B7" s="15" t="s">
        <v>528</v>
      </c>
      <c r="C7" s="68">
        <v>89028</v>
      </c>
      <c r="D7" s="69">
        <v>2</v>
      </c>
      <c r="E7" s="24"/>
      <c r="F7" s="69"/>
      <c r="G7" s="78">
        <v>89028</v>
      </c>
      <c r="H7" s="100">
        <v>2</v>
      </c>
    </row>
    <row r="8" spans="1:8">
      <c r="A8" s="12"/>
      <c r="B8" s="15" t="s">
        <v>529</v>
      </c>
      <c r="C8" s="68">
        <v>22039.372500000001</v>
      </c>
      <c r="D8" s="69">
        <v>2</v>
      </c>
      <c r="E8" s="24"/>
      <c r="F8" s="69"/>
      <c r="G8" s="78">
        <v>22039.372500000001</v>
      </c>
      <c r="H8" s="100">
        <v>2</v>
      </c>
    </row>
    <row r="9" spans="1:8">
      <c r="A9" s="12"/>
      <c r="B9" s="15" t="s">
        <v>530</v>
      </c>
      <c r="C9" s="68">
        <v>715692.59250000003</v>
      </c>
      <c r="D9" s="69">
        <v>9</v>
      </c>
      <c r="E9" s="24"/>
      <c r="F9" s="69"/>
      <c r="G9" s="78">
        <v>715692.59250000003</v>
      </c>
      <c r="H9" s="100">
        <v>9</v>
      </c>
    </row>
    <row r="10" spans="1:8">
      <c r="A10" s="12"/>
      <c r="B10" s="15" t="s">
        <v>532</v>
      </c>
      <c r="C10" s="68">
        <v>128186.88</v>
      </c>
      <c r="D10" s="69">
        <v>3</v>
      </c>
      <c r="E10" s="24"/>
      <c r="F10" s="69"/>
      <c r="G10" s="78">
        <v>128186.88</v>
      </c>
      <c r="H10" s="100">
        <v>3</v>
      </c>
    </row>
    <row r="11" spans="1:8">
      <c r="A11" s="12"/>
      <c r="B11" s="15" t="s">
        <v>533</v>
      </c>
      <c r="C11" s="68">
        <v>319909.56</v>
      </c>
      <c r="D11" s="69">
        <v>4</v>
      </c>
      <c r="E11" s="24"/>
      <c r="F11" s="69"/>
      <c r="G11" s="78">
        <v>319909.56</v>
      </c>
      <c r="H11" s="100">
        <v>4</v>
      </c>
    </row>
    <row r="12" spans="1:8">
      <c r="A12" s="12"/>
      <c r="B12" s="15" t="s">
        <v>534</v>
      </c>
      <c r="C12" s="68">
        <v>449835.34500000003</v>
      </c>
      <c r="D12" s="69">
        <v>5</v>
      </c>
      <c r="E12" s="24"/>
      <c r="F12" s="69"/>
      <c r="G12" s="78">
        <v>449835.34500000003</v>
      </c>
      <c r="H12" s="100">
        <v>5</v>
      </c>
    </row>
    <row r="13" spans="1:8">
      <c r="A13" s="12"/>
      <c r="B13" s="15" t="s">
        <v>520</v>
      </c>
      <c r="C13" s="68">
        <v>119203.79999999999</v>
      </c>
      <c r="D13" s="69">
        <v>5</v>
      </c>
      <c r="E13" s="24"/>
      <c r="F13" s="69"/>
      <c r="G13" s="78">
        <v>119203.79999999999</v>
      </c>
      <c r="H13" s="100">
        <v>5</v>
      </c>
    </row>
    <row r="14" spans="1:8">
      <c r="A14" s="12"/>
      <c r="B14" s="15" t="s">
        <v>521</v>
      </c>
      <c r="C14" s="68">
        <v>9750</v>
      </c>
      <c r="D14" s="69">
        <v>1</v>
      </c>
      <c r="E14" s="24"/>
      <c r="F14" s="69"/>
      <c r="G14" s="78">
        <v>9750</v>
      </c>
      <c r="H14" s="100">
        <v>1</v>
      </c>
    </row>
    <row r="15" spans="1:8">
      <c r="A15" s="12"/>
      <c r="B15" s="15" t="s">
        <v>522</v>
      </c>
      <c r="C15" s="68">
        <v>30000</v>
      </c>
      <c r="D15" s="69">
        <v>1</v>
      </c>
      <c r="E15" s="24"/>
      <c r="F15" s="69"/>
      <c r="G15" s="78">
        <v>30000</v>
      </c>
      <c r="H15" s="100">
        <v>1</v>
      </c>
    </row>
    <row r="16" spans="1:8">
      <c r="A16" s="12"/>
      <c r="B16" s="15" t="s">
        <v>523</v>
      </c>
      <c r="C16" s="68">
        <v>37338.832500000004</v>
      </c>
      <c r="D16" s="69">
        <v>1</v>
      </c>
      <c r="E16" s="24"/>
      <c r="F16" s="69"/>
      <c r="G16" s="78">
        <v>37338.832500000004</v>
      </c>
      <c r="H16" s="100">
        <v>1</v>
      </c>
    </row>
    <row r="17" spans="1:8">
      <c r="A17" s="12"/>
      <c r="B17" s="15" t="s">
        <v>524</v>
      </c>
      <c r="C17" s="68">
        <v>167250</v>
      </c>
      <c r="D17" s="69">
        <v>2</v>
      </c>
      <c r="E17" s="24"/>
      <c r="F17" s="69"/>
      <c r="G17" s="78">
        <v>167250</v>
      </c>
      <c r="H17" s="100">
        <v>2</v>
      </c>
    </row>
    <row r="18" spans="1:8">
      <c r="A18" s="12"/>
      <c r="B18" s="15" t="s">
        <v>525</v>
      </c>
      <c r="C18" s="68">
        <v>41250</v>
      </c>
      <c r="D18" s="69">
        <v>1</v>
      </c>
      <c r="E18" s="24"/>
      <c r="F18" s="69"/>
      <c r="G18" s="78">
        <v>41250</v>
      </c>
      <c r="H18" s="100">
        <v>1</v>
      </c>
    </row>
    <row r="19" spans="1:8">
      <c r="A19" s="12"/>
      <c r="B19" s="15" t="s">
        <v>526</v>
      </c>
      <c r="C19" s="68">
        <v>142499.77500000002</v>
      </c>
      <c r="D19" s="69">
        <v>1</v>
      </c>
      <c r="E19" s="24"/>
      <c r="F19" s="69"/>
      <c r="G19" s="78">
        <v>142499.77500000002</v>
      </c>
      <c r="H19" s="100">
        <v>1</v>
      </c>
    </row>
    <row r="20" spans="1:8">
      <c r="A20" s="12"/>
      <c r="B20" s="15" t="s">
        <v>527</v>
      </c>
      <c r="C20" s="68">
        <v>135000</v>
      </c>
      <c r="D20" s="69">
        <v>1</v>
      </c>
      <c r="E20" s="24"/>
      <c r="F20" s="69"/>
      <c r="G20" s="78">
        <v>135000</v>
      </c>
      <c r="H20" s="100">
        <v>1</v>
      </c>
    </row>
    <row r="21" spans="1:8">
      <c r="A21" s="9" t="s">
        <v>598</v>
      </c>
      <c r="B21" s="10"/>
      <c r="C21" s="66">
        <v>2416359.1575000002</v>
      </c>
      <c r="D21" s="67">
        <v>39</v>
      </c>
      <c r="E21" s="22"/>
      <c r="F21" s="67"/>
      <c r="G21" s="77">
        <v>2416359.1575000002</v>
      </c>
      <c r="H21" s="106">
        <v>39</v>
      </c>
    </row>
    <row r="22" spans="1:8">
      <c r="A22" s="33" t="s">
        <v>466</v>
      </c>
      <c r="B22" s="9" t="s">
        <v>530</v>
      </c>
      <c r="C22" s="102"/>
      <c r="D22" s="103"/>
      <c r="E22" s="36">
        <v>1376136.7949999999</v>
      </c>
      <c r="F22" s="103">
        <v>10</v>
      </c>
      <c r="G22" s="105">
        <v>1376136.7949999999</v>
      </c>
      <c r="H22" s="107">
        <v>10</v>
      </c>
    </row>
    <row r="23" spans="1:8">
      <c r="A23" s="108"/>
      <c r="B23" s="109" t="s">
        <v>532</v>
      </c>
      <c r="C23" s="110"/>
      <c r="D23" s="111"/>
      <c r="E23" s="112">
        <v>101171.28749999999</v>
      </c>
      <c r="F23" s="111">
        <v>1</v>
      </c>
      <c r="G23" s="113">
        <v>101171.28749999999</v>
      </c>
      <c r="H23" s="114">
        <v>1</v>
      </c>
    </row>
    <row r="24" spans="1:8">
      <c r="A24" s="108"/>
      <c r="B24" s="109" t="s">
        <v>533</v>
      </c>
      <c r="C24" s="110"/>
      <c r="D24" s="111"/>
      <c r="E24" s="112">
        <v>193397.46</v>
      </c>
      <c r="F24" s="111">
        <v>2</v>
      </c>
      <c r="G24" s="113">
        <v>193397.46</v>
      </c>
      <c r="H24" s="114">
        <v>2</v>
      </c>
    </row>
    <row r="25" spans="1:8">
      <c r="A25" s="108"/>
      <c r="B25" s="109" t="s">
        <v>534</v>
      </c>
      <c r="C25" s="110"/>
      <c r="D25" s="111"/>
      <c r="E25" s="112">
        <v>891448.21499999997</v>
      </c>
      <c r="F25" s="111">
        <v>3</v>
      </c>
      <c r="G25" s="113">
        <v>891448.21499999997</v>
      </c>
      <c r="H25" s="114">
        <v>3</v>
      </c>
    </row>
    <row r="26" spans="1:8">
      <c r="A26" s="108"/>
      <c r="B26" s="109" t="s">
        <v>535</v>
      </c>
      <c r="C26" s="110"/>
      <c r="D26" s="111"/>
      <c r="E26" s="112">
        <v>82963.237499999988</v>
      </c>
      <c r="F26" s="111">
        <v>1</v>
      </c>
      <c r="G26" s="113">
        <v>82963.237499999988</v>
      </c>
      <c r="H26" s="114">
        <v>1</v>
      </c>
    </row>
    <row r="27" spans="1:8">
      <c r="A27" s="108"/>
      <c r="B27" s="109" t="s">
        <v>520</v>
      </c>
      <c r="C27" s="110"/>
      <c r="D27" s="111"/>
      <c r="E27" s="112">
        <v>90028.132499999992</v>
      </c>
      <c r="F27" s="111">
        <v>1</v>
      </c>
      <c r="G27" s="113">
        <v>90028.132499999992</v>
      </c>
      <c r="H27" s="114">
        <v>1</v>
      </c>
    </row>
    <row r="28" spans="1:8">
      <c r="A28" s="33" t="s">
        <v>614</v>
      </c>
      <c r="B28" s="115"/>
      <c r="C28" s="102"/>
      <c r="D28" s="103"/>
      <c r="E28" s="36">
        <v>2735145.1274999999</v>
      </c>
      <c r="F28" s="103">
        <v>18</v>
      </c>
      <c r="G28" s="105">
        <v>2735145.1274999995</v>
      </c>
      <c r="H28" s="107">
        <v>18</v>
      </c>
    </row>
    <row r="29" spans="1:8">
      <c r="A29" s="9" t="s">
        <v>463</v>
      </c>
      <c r="B29" s="9" t="s">
        <v>519</v>
      </c>
      <c r="C29" s="66"/>
      <c r="D29" s="67"/>
      <c r="E29" s="22">
        <v>9375</v>
      </c>
      <c r="F29" s="67">
        <v>1</v>
      </c>
      <c r="G29" s="77">
        <v>9375</v>
      </c>
      <c r="H29" s="106">
        <v>1</v>
      </c>
    </row>
    <row r="30" spans="1:8">
      <c r="A30" s="12"/>
      <c r="B30" s="15" t="s">
        <v>520</v>
      </c>
      <c r="C30" s="68"/>
      <c r="D30" s="69"/>
      <c r="E30" s="24">
        <v>7502.61</v>
      </c>
      <c r="F30" s="69">
        <v>1</v>
      </c>
      <c r="G30" s="78">
        <v>7502.61</v>
      </c>
      <c r="H30" s="100">
        <v>1</v>
      </c>
    </row>
    <row r="31" spans="1:8">
      <c r="A31" s="12"/>
      <c r="B31" s="15" t="s">
        <v>527</v>
      </c>
      <c r="C31" s="68"/>
      <c r="D31" s="69"/>
      <c r="E31" s="24">
        <v>285000</v>
      </c>
      <c r="F31" s="69">
        <v>5</v>
      </c>
      <c r="G31" s="78">
        <v>285000</v>
      </c>
      <c r="H31" s="100">
        <v>5</v>
      </c>
    </row>
    <row r="32" spans="1:8">
      <c r="A32" s="9" t="s">
        <v>609</v>
      </c>
      <c r="B32" s="10"/>
      <c r="C32" s="66"/>
      <c r="D32" s="67"/>
      <c r="E32" s="22">
        <v>301877.61</v>
      </c>
      <c r="F32" s="67">
        <v>7</v>
      </c>
      <c r="G32" s="77">
        <v>301877.61</v>
      </c>
      <c r="H32" s="106">
        <v>7</v>
      </c>
    </row>
    <row r="33" spans="1:8">
      <c r="A33" s="9" t="s">
        <v>464</v>
      </c>
      <c r="B33" s="9" t="s">
        <v>529</v>
      </c>
      <c r="C33" s="66"/>
      <c r="D33" s="67"/>
      <c r="E33" s="22">
        <v>506.25</v>
      </c>
      <c r="F33" s="67">
        <v>1</v>
      </c>
      <c r="G33" s="77">
        <v>506.25</v>
      </c>
      <c r="H33" s="106">
        <v>1</v>
      </c>
    </row>
    <row r="34" spans="1:8">
      <c r="A34" s="12"/>
      <c r="B34" s="15" t="s">
        <v>530</v>
      </c>
      <c r="C34" s="68"/>
      <c r="D34" s="69"/>
      <c r="E34" s="24">
        <v>59157.375</v>
      </c>
      <c r="F34" s="69">
        <v>3</v>
      </c>
      <c r="G34" s="78">
        <v>59157.375</v>
      </c>
      <c r="H34" s="100">
        <v>3</v>
      </c>
    </row>
    <row r="35" spans="1:8">
      <c r="A35" s="12"/>
      <c r="B35" s="15" t="s">
        <v>532</v>
      </c>
      <c r="C35" s="68"/>
      <c r="D35" s="69"/>
      <c r="E35" s="24">
        <v>46233.75</v>
      </c>
      <c r="F35" s="69">
        <v>1</v>
      </c>
      <c r="G35" s="78">
        <v>46233.75</v>
      </c>
      <c r="H35" s="100">
        <v>1</v>
      </c>
    </row>
    <row r="36" spans="1:8">
      <c r="A36" s="12"/>
      <c r="B36" s="15" t="s">
        <v>520</v>
      </c>
      <c r="C36" s="68"/>
      <c r="D36" s="69"/>
      <c r="E36" s="24">
        <v>375</v>
      </c>
      <c r="F36" s="69">
        <v>1</v>
      </c>
      <c r="G36" s="78">
        <v>375</v>
      </c>
      <c r="H36" s="100">
        <v>1</v>
      </c>
    </row>
    <row r="37" spans="1:8">
      <c r="A37" s="9" t="s">
        <v>612</v>
      </c>
      <c r="B37" s="10"/>
      <c r="C37" s="66"/>
      <c r="D37" s="67"/>
      <c r="E37" s="22">
        <v>106272.375</v>
      </c>
      <c r="F37" s="67">
        <v>6</v>
      </c>
      <c r="G37" s="77">
        <v>106272.375</v>
      </c>
      <c r="H37" s="106">
        <v>6</v>
      </c>
    </row>
    <row r="38" spans="1:8">
      <c r="A38" s="9" t="s">
        <v>472</v>
      </c>
      <c r="B38" s="9" t="s">
        <v>529</v>
      </c>
      <c r="C38" s="66"/>
      <c r="D38" s="67"/>
      <c r="E38" s="22">
        <v>226414.875</v>
      </c>
      <c r="F38" s="67">
        <v>2</v>
      </c>
      <c r="G38" s="77">
        <v>226414.875</v>
      </c>
      <c r="H38" s="106">
        <v>2</v>
      </c>
    </row>
    <row r="39" spans="1:8">
      <c r="A39" s="12"/>
      <c r="B39" s="15" t="s">
        <v>535</v>
      </c>
      <c r="C39" s="68"/>
      <c r="D39" s="69"/>
      <c r="E39" s="24">
        <v>270290.28749999998</v>
      </c>
      <c r="F39" s="69">
        <v>1</v>
      </c>
      <c r="G39" s="78">
        <v>270290.28749999998</v>
      </c>
      <c r="H39" s="100">
        <v>1</v>
      </c>
    </row>
    <row r="40" spans="1:8">
      <c r="A40" s="12"/>
      <c r="B40" s="15" t="s">
        <v>523</v>
      </c>
      <c r="C40" s="68"/>
      <c r="D40" s="69"/>
      <c r="E40" s="24">
        <v>17250</v>
      </c>
      <c r="F40" s="69">
        <v>2</v>
      </c>
      <c r="G40" s="78">
        <v>17250</v>
      </c>
      <c r="H40" s="100">
        <v>2</v>
      </c>
    </row>
    <row r="41" spans="1:8">
      <c r="A41" s="9" t="s">
        <v>600</v>
      </c>
      <c r="B41" s="10"/>
      <c r="C41" s="66"/>
      <c r="D41" s="67"/>
      <c r="E41" s="22">
        <v>513955.16249999998</v>
      </c>
      <c r="F41" s="67">
        <v>5</v>
      </c>
      <c r="G41" s="77">
        <v>513955.16249999998</v>
      </c>
      <c r="H41" s="106">
        <v>5</v>
      </c>
    </row>
    <row r="42" spans="1:8">
      <c r="A42" s="9" t="s">
        <v>465</v>
      </c>
      <c r="B42" s="9" t="s">
        <v>530</v>
      </c>
      <c r="C42" s="66"/>
      <c r="D42" s="67"/>
      <c r="E42" s="22">
        <v>42148.327499999999</v>
      </c>
      <c r="F42" s="67">
        <v>2</v>
      </c>
      <c r="G42" s="77">
        <v>42148.327499999999</v>
      </c>
      <c r="H42" s="106">
        <v>2</v>
      </c>
    </row>
    <row r="43" spans="1:8">
      <c r="A43" s="12"/>
      <c r="B43" s="15" t="s">
        <v>531</v>
      </c>
      <c r="C43" s="68"/>
      <c r="D43" s="69"/>
      <c r="E43" s="24">
        <v>86884.5</v>
      </c>
      <c r="F43" s="69">
        <v>1</v>
      </c>
      <c r="G43" s="78">
        <v>86884.5</v>
      </c>
      <c r="H43" s="100">
        <v>1</v>
      </c>
    </row>
    <row r="44" spans="1:8">
      <c r="A44" s="12"/>
      <c r="B44" s="15" t="s">
        <v>520</v>
      </c>
      <c r="C44" s="68"/>
      <c r="D44" s="69"/>
      <c r="E44" s="24">
        <v>24456.27</v>
      </c>
      <c r="F44" s="69">
        <v>1</v>
      </c>
      <c r="G44" s="78">
        <v>24456.27</v>
      </c>
      <c r="H44" s="100">
        <v>1</v>
      </c>
    </row>
    <row r="45" spans="1:8">
      <c r="A45" s="9" t="s">
        <v>613</v>
      </c>
      <c r="B45" s="10"/>
      <c r="C45" s="66"/>
      <c r="D45" s="67"/>
      <c r="E45" s="22">
        <v>153489.0975</v>
      </c>
      <c r="F45" s="67">
        <v>4</v>
      </c>
      <c r="G45" s="77">
        <v>153489.0975</v>
      </c>
      <c r="H45" s="106">
        <v>4</v>
      </c>
    </row>
    <row r="46" spans="1:8">
      <c r="A46" s="9" t="s">
        <v>468</v>
      </c>
      <c r="B46" s="9" t="s">
        <v>529</v>
      </c>
      <c r="C46" s="66"/>
      <c r="D46" s="67"/>
      <c r="E46" s="22">
        <v>12996</v>
      </c>
      <c r="F46" s="67">
        <v>1</v>
      </c>
      <c r="G46" s="77">
        <v>12996</v>
      </c>
      <c r="H46" s="106">
        <v>1</v>
      </c>
    </row>
    <row r="47" spans="1:8">
      <c r="A47" s="12"/>
      <c r="B47" s="15" t="s">
        <v>533</v>
      </c>
      <c r="C47" s="68"/>
      <c r="D47" s="69"/>
      <c r="E47" s="24">
        <v>142500</v>
      </c>
      <c r="F47" s="69">
        <v>1</v>
      </c>
      <c r="G47" s="78">
        <v>142500</v>
      </c>
      <c r="H47" s="100">
        <v>1</v>
      </c>
    </row>
    <row r="48" spans="1:8">
      <c r="A48" s="12"/>
      <c r="B48" s="15" t="s">
        <v>521</v>
      </c>
      <c r="C48" s="68"/>
      <c r="D48" s="69"/>
      <c r="E48" s="24">
        <v>92667.097500000003</v>
      </c>
      <c r="F48" s="69">
        <v>2</v>
      </c>
      <c r="G48" s="78">
        <v>92667.097500000003</v>
      </c>
      <c r="H48" s="100">
        <v>2</v>
      </c>
    </row>
    <row r="49" spans="1:8">
      <c r="A49" s="9" t="s">
        <v>616</v>
      </c>
      <c r="B49" s="10"/>
      <c r="C49" s="66"/>
      <c r="D49" s="67"/>
      <c r="E49" s="22">
        <v>248163.0975</v>
      </c>
      <c r="F49" s="67">
        <v>4</v>
      </c>
      <c r="G49" s="77">
        <v>248163.0975</v>
      </c>
      <c r="H49" s="106">
        <v>4</v>
      </c>
    </row>
    <row r="50" spans="1:8">
      <c r="A50" s="9" t="s">
        <v>474</v>
      </c>
      <c r="B50" s="9" t="s">
        <v>529</v>
      </c>
      <c r="C50" s="66"/>
      <c r="D50" s="67"/>
      <c r="E50" s="22">
        <v>433.125</v>
      </c>
      <c r="F50" s="67">
        <v>1</v>
      </c>
      <c r="G50" s="77">
        <v>433.125</v>
      </c>
      <c r="H50" s="106">
        <v>1</v>
      </c>
    </row>
    <row r="51" spans="1:8">
      <c r="A51" s="12"/>
      <c r="B51" s="15" t="s">
        <v>533</v>
      </c>
      <c r="C51" s="68"/>
      <c r="D51" s="69"/>
      <c r="E51" s="24">
        <v>97361.25</v>
      </c>
      <c r="F51" s="69">
        <v>1</v>
      </c>
      <c r="G51" s="78">
        <v>97361.25</v>
      </c>
      <c r="H51" s="100">
        <v>1</v>
      </c>
    </row>
    <row r="52" spans="1:8">
      <c r="A52" s="12"/>
      <c r="B52" s="15" t="s">
        <v>524</v>
      </c>
      <c r="C52" s="68"/>
      <c r="D52" s="69"/>
      <c r="E52" s="24">
        <v>252000</v>
      </c>
      <c r="F52" s="69">
        <v>1</v>
      </c>
      <c r="G52" s="78">
        <v>252000</v>
      </c>
      <c r="H52" s="100">
        <v>1</v>
      </c>
    </row>
    <row r="53" spans="1:8">
      <c r="A53" s="9" t="s">
        <v>602</v>
      </c>
      <c r="B53" s="10"/>
      <c r="C53" s="66"/>
      <c r="D53" s="67"/>
      <c r="E53" s="22">
        <v>349794.375</v>
      </c>
      <c r="F53" s="67">
        <v>3</v>
      </c>
      <c r="G53" s="77">
        <v>349794.375</v>
      </c>
      <c r="H53" s="106">
        <v>3</v>
      </c>
    </row>
    <row r="54" spans="1:8">
      <c r="A54" s="9" t="s">
        <v>476</v>
      </c>
      <c r="B54" s="9" t="s">
        <v>528</v>
      </c>
      <c r="C54" s="66"/>
      <c r="D54" s="67"/>
      <c r="E54" s="22">
        <v>658.125</v>
      </c>
      <c r="F54" s="67">
        <v>1</v>
      </c>
      <c r="G54" s="77">
        <v>658.125</v>
      </c>
      <c r="H54" s="106">
        <v>1</v>
      </c>
    </row>
    <row r="55" spans="1:8">
      <c r="A55" s="12"/>
      <c r="B55" s="15" t="s">
        <v>533</v>
      </c>
      <c r="C55" s="68"/>
      <c r="D55" s="69"/>
      <c r="E55" s="24">
        <v>62625</v>
      </c>
      <c r="F55" s="69">
        <v>1</v>
      </c>
      <c r="G55" s="78">
        <v>62625</v>
      </c>
      <c r="H55" s="100">
        <v>1</v>
      </c>
    </row>
    <row r="56" spans="1:8">
      <c r="A56" s="9" t="s">
        <v>604</v>
      </c>
      <c r="B56" s="10"/>
      <c r="C56" s="66"/>
      <c r="D56" s="67"/>
      <c r="E56" s="22">
        <v>63283.125</v>
      </c>
      <c r="F56" s="67">
        <v>2</v>
      </c>
      <c r="G56" s="77">
        <v>63283.125</v>
      </c>
      <c r="H56" s="106">
        <v>2</v>
      </c>
    </row>
    <row r="57" spans="1:8">
      <c r="A57" s="9" t="s">
        <v>475</v>
      </c>
      <c r="B57" s="9" t="s">
        <v>530</v>
      </c>
      <c r="C57" s="66"/>
      <c r="D57" s="67"/>
      <c r="E57" s="22">
        <v>35235.360000000001</v>
      </c>
      <c r="F57" s="67">
        <v>1</v>
      </c>
      <c r="G57" s="77">
        <v>35235.360000000001</v>
      </c>
      <c r="H57" s="106">
        <v>1</v>
      </c>
    </row>
    <row r="58" spans="1:8">
      <c r="A58" s="12"/>
      <c r="B58" s="15" t="s">
        <v>524</v>
      </c>
      <c r="C58" s="68"/>
      <c r="D58" s="69"/>
      <c r="E58" s="24">
        <v>75000</v>
      </c>
      <c r="F58" s="69">
        <v>1</v>
      </c>
      <c r="G58" s="78">
        <v>75000</v>
      </c>
      <c r="H58" s="100">
        <v>1</v>
      </c>
    </row>
    <row r="59" spans="1:8">
      <c r="A59" s="9" t="s">
        <v>603</v>
      </c>
      <c r="B59" s="10"/>
      <c r="C59" s="66"/>
      <c r="D59" s="67"/>
      <c r="E59" s="22">
        <v>110235.36</v>
      </c>
      <c r="F59" s="67">
        <v>2</v>
      </c>
      <c r="G59" s="77">
        <v>110235.36</v>
      </c>
      <c r="H59" s="106">
        <v>2</v>
      </c>
    </row>
    <row r="60" spans="1:8">
      <c r="A60" s="9" t="s">
        <v>471</v>
      </c>
      <c r="B60" s="9" t="s">
        <v>523</v>
      </c>
      <c r="C60" s="66"/>
      <c r="D60" s="67"/>
      <c r="E60" s="22">
        <v>46500</v>
      </c>
      <c r="F60" s="67">
        <v>1</v>
      </c>
      <c r="G60" s="77">
        <v>46500</v>
      </c>
      <c r="H60" s="106">
        <v>1</v>
      </c>
    </row>
    <row r="61" spans="1:8">
      <c r="A61" s="12"/>
      <c r="B61" s="15" t="s">
        <v>524</v>
      </c>
      <c r="C61" s="68"/>
      <c r="D61" s="69"/>
      <c r="E61" s="24">
        <v>93750.225000000006</v>
      </c>
      <c r="F61" s="69">
        <v>1</v>
      </c>
      <c r="G61" s="78">
        <v>93750.225000000006</v>
      </c>
      <c r="H61" s="100">
        <v>1</v>
      </c>
    </row>
    <row r="62" spans="1:8">
      <c r="A62" s="9" t="s">
        <v>599</v>
      </c>
      <c r="B62" s="10"/>
      <c r="C62" s="66"/>
      <c r="D62" s="67"/>
      <c r="E62" s="22">
        <v>140250.22500000001</v>
      </c>
      <c r="F62" s="67">
        <v>2</v>
      </c>
      <c r="G62" s="77">
        <v>140250.22500000001</v>
      </c>
      <c r="H62" s="106">
        <v>2</v>
      </c>
    </row>
    <row r="63" spans="1:8">
      <c r="A63" s="9" t="s">
        <v>477</v>
      </c>
      <c r="B63" s="9" t="s">
        <v>530</v>
      </c>
      <c r="C63" s="66"/>
      <c r="D63" s="67"/>
      <c r="E63" s="22">
        <v>21750</v>
      </c>
      <c r="F63" s="67">
        <v>2</v>
      </c>
      <c r="G63" s="77">
        <v>21750</v>
      </c>
      <c r="H63" s="106">
        <v>2</v>
      </c>
    </row>
    <row r="64" spans="1:8">
      <c r="A64" s="9" t="s">
        <v>605</v>
      </c>
      <c r="B64" s="10"/>
      <c r="C64" s="66"/>
      <c r="D64" s="67"/>
      <c r="E64" s="22">
        <v>21750</v>
      </c>
      <c r="F64" s="67">
        <v>2</v>
      </c>
      <c r="G64" s="77">
        <v>21750</v>
      </c>
      <c r="H64" s="106">
        <v>2</v>
      </c>
    </row>
    <row r="65" spans="1:8">
      <c r="A65" s="9" t="s">
        <v>473</v>
      </c>
      <c r="B65" s="9" t="s">
        <v>524</v>
      </c>
      <c r="C65" s="66"/>
      <c r="D65" s="67"/>
      <c r="E65" s="22">
        <v>309750</v>
      </c>
      <c r="F65" s="67">
        <v>1</v>
      </c>
      <c r="G65" s="77">
        <v>309750</v>
      </c>
      <c r="H65" s="106">
        <v>1</v>
      </c>
    </row>
    <row r="66" spans="1:8">
      <c r="A66" s="12"/>
      <c r="B66" s="15" t="s">
        <v>525</v>
      </c>
      <c r="C66" s="68"/>
      <c r="D66" s="69"/>
      <c r="E66" s="24">
        <v>75000</v>
      </c>
      <c r="F66" s="69">
        <v>1</v>
      </c>
      <c r="G66" s="78">
        <v>75000</v>
      </c>
      <c r="H66" s="100">
        <v>1</v>
      </c>
    </row>
    <row r="67" spans="1:8">
      <c r="A67" s="9" t="s">
        <v>601</v>
      </c>
      <c r="B67" s="10"/>
      <c r="C67" s="66"/>
      <c r="D67" s="67"/>
      <c r="E67" s="22">
        <v>384750</v>
      </c>
      <c r="F67" s="67">
        <v>2</v>
      </c>
      <c r="G67" s="77">
        <v>384750</v>
      </c>
      <c r="H67" s="106">
        <v>2</v>
      </c>
    </row>
    <row r="68" spans="1:8">
      <c r="A68" s="9" t="s">
        <v>481</v>
      </c>
      <c r="B68" s="9" t="s">
        <v>534</v>
      </c>
      <c r="C68" s="66"/>
      <c r="D68" s="67"/>
      <c r="E68" s="22">
        <v>11045.782499999999</v>
      </c>
      <c r="F68" s="67">
        <v>1</v>
      </c>
      <c r="G68" s="77">
        <v>11045.782499999999</v>
      </c>
      <c r="H68" s="106">
        <v>1</v>
      </c>
    </row>
    <row r="69" spans="1:8">
      <c r="A69" s="9" t="s">
        <v>610</v>
      </c>
      <c r="B69" s="10"/>
      <c r="C69" s="66"/>
      <c r="D69" s="67"/>
      <c r="E69" s="22">
        <v>11045.782499999999</v>
      </c>
      <c r="F69" s="67">
        <v>1</v>
      </c>
      <c r="G69" s="77">
        <v>11045.782499999999</v>
      </c>
      <c r="H69" s="106">
        <v>1</v>
      </c>
    </row>
    <row r="70" spans="1:8">
      <c r="A70" s="9" t="s">
        <v>469</v>
      </c>
      <c r="B70" s="9" t="s">
        <v>522</v>
      </c>
      <c r="C70" s="66"/>
      <c r="D70" s="67"/>
      <c r="E70" s="22">
        <v>33750</v>
      </c>
      <c r="F70" s="67">
        <v>1</v>
      </c>
      <c r="G70" s="77">
        <v>33750</v>
      </c>
      <c r="H70" s="106">
        <v>1</v>
      </c>
    </row>
    <row r="71" spans="1:8">
      <c r="A71" s="9" t="s">
        <v>617</v>
      </c>
      <c r="B71" s="10"/>
      <c r="C71" s="66"/>
      <c r="D71" s="67"/>
      <c r="E71" s="22">
        <v>33750</v>
      </c>
      <c r="F71" s="67">
        <v>1</v>
      </c>
      <c r="G71" s="77">
        <v>33750</v>
      </c>
      <c r="H71" s="106">
        <v>1</v>
      </c>
    </row>
    <row r="72" spans="1:8">
      <c r="A72" s="9" t="s">
        <v>482</v>
      </c>
      <c r="B72" s="9" t="s">
        <v>534</v>
      </c>
      <c r="C72" s="66"/>
      <c r="D72" s="67"/>
      <c r="E72" s="22">
        <v>83736.112499999988</v>
      </c>
      <c r="F72" s="67">
        <v>1</v>
      </c>
      <c r="G72" s="77">
        <v>83736.112499999988</v>
      </c>
      <c r="H72" s="106">
        <v>1</v>
      </c>
    </row>
    <row r="73" spans="1:8">
      <c r="A73" s="9" t="s">
        <v>611</v>
      </c>
      <c r="B73" s="10"/>
      <c r="C73" s="66"/>
      <c r="D73" s="67"/>
      <c r="E73" s="22">
        <v>83736.112499999988</v>
      </c>
      <c r="F73" s="67">
        <v>1</v>
      </c>
      <c r="G73" s="77">
        <v>83736.112499999988</v>
      </c>
      <c r="H73" s="106">
        <v>1</v>
      </c>
    </row>
    <row r="74" spans="1:8">
      <c r="A74" s="9" t="s">
        <v>467</v>
      </c>
      <c r="B74" s="9" t="s">
        <v>520</v>
      </c>
      <c r="C74" s="66"/>
      <c r="D74" s="67"/>
      <c r="E74" s="22">
        <v>90000</v>
      </c>
      <c r="F74" s="67">
        <v>1</v>
      </c>
      <c r="G74" s="77">
        <v>90000</v>
      </c>
      <c r="H74" s="106">
        <v>1</v>
      </c>
    </row>
    <row r="75" spans="1:8">
      <c r="A75" s="9" t="s">
        <v>615</v>
      </c>
      <c r="B75" s="10"/>
      <c r="C75" s="66"/>
      <c r="D75" s="67"/>
      <c r="E75" s="22">
        <v>90000</v>
      </c>
      <c r="F75" s="67">
        <v>1</v>
      </c>
      <c r="G75" s="77">
        <v>90000</v>
      </c>
      <c r="H75" s="106">
        <v>1</v>
      </c>
    </row>
    <row r="76" spans="1:8">
      <c r="A76" s="9" t="s">
        <v>478</v>
      </c>
      <c r="B76" s="9" t="s">
        <v>530</v>
      </c>
      <c r="C76" s="66"/>
      <c r="D76" s="67"/>
      <c r="E76" s="22">
        <v>153701.92499999999</v>
      </c>
      <c r="F76" s="67">
        <v>1</v>
      </c>
      <c r="G76" s="77">
        <v>153701.92499999999</v>
      </c>
      <c r="H76" s="106">
        <v>1</v>
      </c>
    </row>
    <row r="77" spans="1:8">
      <c r="A77" s="9" t="s">
        <v>606</v>
      </c>
      <c r="B77" s="10"/>
      <c r="C77" s="66"/>
      <c r="D77" s="67"/>
      <c r="E77" s="22">
        <v>153701.92499999999</v>
      </c>
      <c r="F77" s="67">
        <v>1</v>
      </c>
      <c r="G77" s="77">
        <v>153701.92499999999</v>
      </c>
      <c r="H77" s="106">
        <v>1</v>
      </c>
    </row>
    <row r="78" spans="1:8">
      <c r="A78" s="9" t="s">
        <v>470</v>
      </c>
      <c r="B78" s="9" t="s">
        <v>523</v>
      </c>
      <c r="C78" s="66">
        <v>60725.497499999998</v>
      </c>
      <c r="D78" s="67">
        <v>1</v>
      </c>
      <c r="E78" s="22"/>
      <c r="F78" s="67"/>
      <c r="G78" s="77">
        <v>60725.497499999998</v>
      </c>
      <c r="H78" s="106">
        <v>1</v>
      </c>
    </row>
    <row r="79" spans="1:8">
      <c r="A79" s="9" t="s">
        <v>618</v>
      </c>
      <c r="B79" s="10"/>
      <c r="C79" s="66">
        <v>60725.497499999998</v>
      </c>
      <c r="D79" s="67">
        <v>1</v>
      </c>
      <c r="E79" s="22"/>
      <c r="F79" s="67"/>
      <c r="G79" s="77">
        <v>60725.497499999998</v>
      </c>
      <c r="H79" s="106">
        <v>1</v>
      </c>
    </row>
    <row r="80" spans="1:8">
      <c r="A80" s="9" t="s">
        <v>479</v>
      </c>
      <c r="B80" s="9" t="s">
        <v>530</v>
      </c>
      <c r="C80" s="66"/>
      <c r="D80" s="67"/>
      <c r="E80" s="22">
        <v>73646.684999999998</v>
      </c>
      <c r="F80" s="67">
        <v>1</v>
      </c>
      <c r="G80" s="77">
        <v>73646.684999999998</v>
      </c>
      <c r="H80" s="106">
        <v>1</v>
      </c>
    </row>
    <row r="81" spans="1:8">
      <c r="A81" s="9" t="s">
        <v>607</v>
      </c>
      <c r="B81" s="10"/>
      <c r="C81" s="66"/>
      <c r="D81" s="67"/>
      <c r="E81" s="22">
        <v>73646.684999999998</v>
      </c>
      <c r="F81" s="67">
        <v>1</v>
      </c>
      <c r="G81" s="77">
        <v>73646.684999999998</v>
      </c>
      <c r="H81" s="106">
        <v>1</v>
      </c>
    </row>
    <row r="82" spans="1:8">
      <c r="A82" s="9" t="s">
        <v>480</v>
      </c>
      <c r="B82" s="9" t="s">
        <v>530</v>
      </c>
      <c r="C82" s="66"/>
      <c r="D82" s="67"/>
      <c r="E82" s="22">
        <v>19896.675000000003</v>
      </c>
      <c r="F82" s="67">
        <v>1</v>
      </c>
      <c r="G82" s="77">
        <v>19896.675000000003</v>
      </c>
      <c r="H82" s="106">
        <v>1</v>
      </c>
    </row>
    <row r="83" spans="1:8">
      <c r="A83" s="9" t="s">
        <v>608</v>
      </c>
      <c r="B83" s="10"/>
      <c r="C83" s="66"/>
      <c r="D83" s="67"/>
      <c r="E83" s="22">
        <v>19896.675000000003</v>
      </c>
      <c r="F83" s="67">
        <v>1</v>
      </c>
      <c r="G83" s="77">
        <v>19896.675000000003</v>
      </c>
      <c r="H83" s="106">
        <v>1</v>
      </c>
    </row>
    <row r="84" spans="1:8" ht="14" thickBot="1">
      <c r="A84" s="16" t="s">
        <v>595</v>
      </c>
      <c r="B84" s="29"/>
      <c r="C84" s="70">
        <v>2477084.6550000003</v>
      </c>
      <c r="D84" s="71">
        <v>40</v>
      </c>
      <c r="E84" s="94">
        <v>5594742.7350000003</v>
      </c>
      <c r="F84" s="71">
        <v>64</v>
      </c>
      <c r="G84" s="79">
        <v>8071827.3899999978</v>
      </c>
      <c r="H84" s="101">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RowHeight="1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workbookViewId="0">
      <selection activeCell="F24" sqref="F24"/>
    </sheetView>
  </sheetViews>
  <sheetFormatPr baseColWidth="10" defaultRowHeight="13"/>
  <cols>
    <col min="1" max="1" width="11.83203125" bestFit="1" customWidth="1"/>
    <col min="2" max="5" width="17.5" bestFit="1" customWidth="1"/>
    <col min="6" max="6" width="22" bestFit="1" customWidth="1"/>
    <col min="7" max="7" width="20" bestFit="1" customWidth="1"/>
    <col min="8" max="27" width="15.1640625" bestFit="1" customWidth="1"/>
    <col min="28" max="28" width="10.33203125" bestFit="1" customWidth="1"/>
    <col min="29" max="30" width="9.1640625" bestFit="1" customWidth="1"/>
    <col min="31" max="31" width="11.6640625" bestFit="1" customWidth="1"/>
    <col min="32" max="32" width="10.33203125" bestFit="1" customWidth="1"/>
    <col min="33" max="64" width="7.5" bestFit="1" customWidth="1"/>
    <col min="65" max="65" width="10.33203125" bestFit="1" customWidth="1"/>
  </cols>
  <sheetData>
    <row r="1" spans="1:7">
      <c r="A1" s="45" t="s">
        <v>536</v>
      </c>
      <c r="B1" s="32" t="s">
        <v>530</v>
      </c>
    </row>
    <row r="3" spans="1:7" ht="14" thickBot="1">
      <c r="A3" s="9"/>
      <c r="B3" s="14" t="s">
        <v>2</v>
      </c>
      <c r="C3" s="28" t="s">
        <v>620</v>
      </c>
      <c r="D3" s="10"/>
      <c r="E3" s="10"/>
      <c r="F3" s="10"/>
      <c r="G3" s="11"/>
    </row>
    <row r="4" spans="1:7">
      <c r="A4" s="12"/>
      <c r="B4" s="49" t="s">
        <v>9</v>
      </c>
      <c r="C4" s="50"/>
      <c r="D4" s="49" t="s">
        <v>18</v>
      </c>
      <c r="E4" s="59"/>
      <c r="F4" s="60" t="s">
        <v>623</v>
      </c>
      <c r="G4" s="60" t="s">
        <v>622</v>
      </c>
    </row>
    <row r="5" spans="1:7">
      <c r="A5" s="46" t="s">
        <v>483</v>
      </c>
      <c r="B5" s="51" t="s">
        <v>621</v>
      </c>
      <c r="C5" s="52" t="s">
        <v>596</v>
      </c>
      <c r="D5" s="51" t="s">
        <v>621</v>
      </c>
      <c r="E5" s="52" t="s">
        <v>596</v>
      </c>
      <c r="F5" s="61"/>
      <c r="G5" s="61"/>
    </row>
    <row r="6" spans="1:7">
      <c r="A6" s="47" t="s">
        <v>466</v>
      </c>
      <c r="B6" s="53"/>
      <c r="C6" s="54"/>
      <c r="D6" s="53">
        <v>1376136.7949999999</v>
      </c>
      <c r="E6" s="54">
        <v>10</v>
      </c>
      <c r="F6" s="62">
        <v>1376136.7949999999</v>
      </c>
      <c r="G6" s="62">
        <v>10</v>
      </c>
    </row>
    <row r="7" spans="1:7">
      <c r="A7" s="47" t="s">
        <v>462</v>
      </c>
      <c r="B7" s="53">
        <v>715692.59250000003</v>
      </c>
      <c r="C7" s="54">
        <v>9</v>
      </c>
      <c r="D7" s="53"/>
      <c r="E7" s="54"/>
      <c r="F7" s="62">
        <v>715692.59250000003</v>
      </c>
      <c r="G7" s="62">
        <v>9</v>
      </c>
    </row>
    <row r="8" spans="1:7">
      <c r="A8" s="48" t="s">
        <v>478</v>
      </c>
      <c r="B8" s="53"/>
      <c r="C8" s="54"/>
      <c r="D8" s="55">
        <v>153701.92499999999</v>
      </c>
      <c r="E8" s="56">
        <v>1</v>
      </c>
      <c r="F8" s="63">
        <v>153701.92499999999</v>
      </c>
      <c r="G8" s="63">
        <v>1</v>
      </c>
    </row>
    <row r="9" spans="1:7">
      <c r="A9" s="48" t="s">
        <v>479</v>
      </c>
      <c r="B9" s="55"/>
      <c r="C9" s="56"/>
      <c r="D9" s="55">
        <v>73646.684999999998</v>
      </c>
      <c r="E9" s="56">
        <v>1</v>
      </c>
      <c r="F9" s="63">
        <v>73646.684999999998</v>
      </c>
      <c r="G9" s="63">
        <v>1</v>
      </c>
    </row>
    <row r="10" spans="1:7">
      <c r="A10" s="48" t="s">
        <v>464</v>
      </c>
      <c r="B10" s="55"/>
      <c r="C10" s="56"/>
      <c r="D10" s="55">
        <v>59157.375</v>
      </c>
      <c r="E10" s="56">
        <v>3</v>
      </c>
      <c r="F10" s="63">
        <v>59157.375</v>
      </c>
      <c r="G10" s="63">
        <v>3</v>
      </c>
    </row>
    <row r="11" spans="1:7">
      <c r="A11" s="48" t="s">
        <v>465</v>
      </c>
      <c r="B11" s="55"/>
      <c r="C11" s="56"/>
      <c r="D11" s="55">
        <v>42148.327499999999</v>
      </c>
      <c r="E11" s="56">
        <v>2</v>
      </c>
      <c r="F11" s="63">
        <v>42148.327499999999</v>
      </c>
      <c r="G11" s="63">
        <v>2</v>
      </c>
    </row>
    <row r="12" spans="1:7">
      <c r="A12" s="48" t="s">
        <v>475</v>
      </c>
      <c r="B12" s="55"/>
      <c r="C12" s="56"/>
      <c r="D12" s="55">
        <v>35235.360000000001</v>
      </c>
      <c r="E12" s="56">
        <v>1</v>
      </c>
      <c r="F12" s="63">
        <v>35235.360000000001</v>
      </c>
      <c r="G12" s="63">
        <v>1</v>
      </c>
    </row>
    <row r="13" spans="1:7">
      <c r="A13" s="48" t="s">
        <v>477</v>
      </c>
      <c r="B13" s="55"/>
      <c r="C13" s="56"/>
      <c r="D13" s="55">
        <v>21750</v>
      </c>
      <c r="E13" s="56">
        <v>2</v>
      </c>
      <c r="F13" s="63">
        <v>21750</v>
      </c>
      <c r="G13" s="63">
        <v>2</v>
      </c>
    </row>
    <row r="14" spans="1:7">
      <c r="A14" s="48" t="s">
        <v>480</v>
      </c>
      <c r="B14" s="55"/>
      <c r="C14" s="56"/>
      <c r="D14" s="55">
        <v>19896.675000000003</v>
      </c>
      <c r="E14" s="56">
        <v>1</v>
      </c>
      <c r="F14" s="63">
        <v>19896.675000000003</v>
      </c>
      <c r="G14" s="63">
        <v>1</v>
      </c>
    </row>
    <row r="15" spans="1:7" ht="14" thickBot="1">
      <c r="A15" s="48" t="s">
        <v>595</v>
      </c>
      <c r="B15" s="57">
        <v>715692.59250000003</v>
      </c>
      <c r="C15" s="58">
        <v>9</v>
      </c>
      <c r="D15" s="57">
        <v>1781673.1425000001</v>
      </c>
      <c r="E15" s="58">
        <v>21</v>
      </c>
      <c r="F15" s="64">
        <v>2497365.7349999999</v>
      </c>
      <c r="G15" s="64">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24"/>
  <sheetViews>
    <sheetView workbookViewId="0">
      <pane ySplit="1" topLeftCell="A84" activePane="bottomLeft" state="frozen"/>
      <selection pane="bottomLeft" activeCell="B115" sqref="B115"/>
    </sheetView>
  </sheetViews>
  <sheetFormatPr baseColWidth="10" defaultRowHeight="13"/>
  <cols>
    <col min="1" max="1" width="15.1640625" style="4" bestFit="1" customWidth="1"/>
    <col min="2" max="2" width="33.6640625" style="4" customWidth="1"/>
    <col min="3" max="3" width="20.5" style="4" customWidth="1"/>
    <col min="4" max="4" width="21.83203125" style="4" customWidth="1"/>
  </cols>
  <sheetData>
    <row r="1" spans="1:4" s="3" customFormat="1" ht="15">
      <c r="A1" s="1" t="s">
        <v>297</v>
      </c>
      <c r="B1" s="1" t="s">
        <v>5</v>
      </c>
      <c r="C1" s="80" t="s">
        <v>624</v>
      </c>
    </row>
    <row r="2" spans="1:4">
      <c r="A2" s="4" t="s">
        <v>348</v>
      </c>
      <c r="B2" s="4" t="s">
        <v>108</v>
      </c>
      <c r="C2" s="4">
        <f>HOUR(B2)</f>
        <v>14</v>
      </c>
      <c r="D2"/>
    </row>
    <row r="3" spans="1:4">
      <c r="A3" s="4" t="s">
        <v>384</v>
      </c>
      <c r="B3" s="4" t="s">
        <v>271</v>
      </c>
      <c r="C3" s="4">
        <f t="shared" ref="C3:C66" si="0">HOUR(B3)</f>
        <v>18</v>
      </c>
      <c r="D3"/>
    </row>
    <row r="4" spans="1:4">
      <c r="A4" s="4" t="s">
        <v>386</v>
      </c>
      <c r="B4" s="4" t="s">
        <v>53</v>
      </c>
      <c r="C4" s="4">
        <f t="shared" si="0"/>
        <v>15</v>
      </c>
      <c r="D4"/>
    </row>
    <row r="5" spans="1:4">
      <c r="A5" s="4" t="s">
        <v>394</v>
      </c>
      <c r="B5" s="4" t="s">
        <v>251</v>
      </c>
      <c r="C5" s="4">
        <f t="shared" si="0"/>
        <v>14</v>
      </c>
      <c r="D5"/>
    </row>
    <row r="6" spans="1:4">
      <c r="A6" s="4" t="s">
        <v>391</v>
      </c>
      <c r="B6" s="4" t="s">
        <v>62</v>
      </c>
      <c r="C6" s="4">
        <f t="shared" si="0"/>
        <v>17</v>
      </c>
      <c r="D6"/>
    </row>
    <row r="7" spans="1:4">
      <c r="A7" s="4" t="s">
        <v>388</v>
      </c>
      <c r="B7" s="4" t="s">
        <v>89</v>
      </c>
      <c r="C7" s="4">
        <f t="shared" si="0"/>
        <v>19</v>
      </c>
      <c r="D7"/>
    </row>
    <row r="8" spans="1:4">
      <c r="A8" s="4" t="s">
        <v>396</v>
      </c>
      <c r="B8" s="4" t="s">
        <v>254</v>
      </c>
      <c r="C8" s="4">
        <f t="shared" si="0"/>
        <v>14</v>
      </c>
      <c r="D8"/>
    </row>
    <row r="9" spans="1:4">
      <c r="A9" s="4" t="s">
        <v>301</v>
      </c>
      <c r="B9" s="4" t="s">
        <v>59</v>
      </c>
      <c r="C9" s="4">
        <f t="shared" si="0"/>
        <v>16</v>
      </c>
      <c r="D9"/>
    </row>
    <row r="10" spans="1:4">
      <c r="A10" s="4" t="s">
        <v>373</v>
      </c>
      <c r="B10" s="4" t="s">
        <v>45</v>
      </c>
      <c r="C10" s="4">
        <f t="shared" si="0"/>
        <v>15</v>
      </c>
      <c r="D10"/>
    </row>
    <row r="11" spans="1:4">
      <c r="A11" s="4" t="s">
        <v>393</v>
      </c>
      <c r="B11" s="4" t="s">
        <v>26</v>
      </c>
      <c r="C11" s="4">
        <f t="shared" si="0"/>
        <v>20</v>
      </c>
      <c r="D11"/>
    </row>
    <row r="12" spans="1:4">
      <c r="A12" s="4" t="s">
        <v>371</v>
      </c>
      <c r="B12" s="4" t="s">
        <v>283</v>
      </c>
      <c r="C12" s="4">
        <f t="shared" si="0"/>
        <v>19</v>
      </c>
      <c r="D12"/>
    </row>
    <row r="13" spans="1:4">
      <c r="A13" s="4" t="s">
        <v>309</v>
      </c>
      <c r="B13" s="4" t="s">
        <v>21</v>
      </c>
      <c r="C13" s="4">
        <f t="shared" si="0"/>
        <v>20</v>
      </c>
      <c r="D13"/>
    </row>
    <row r="14" spans="1:4">
      <c r="A14" s="4" t="s">
        <v>392</v>
      </c>
      <c r="B14" s="4" t="s">
        <v>207</v>
      </c>
      <c r="C14" s="4">
        <f t="shared" si="0"/>
        <v>20</v>
      </c>
      <c r="D14"/>
    </row>
    <row r="15" spans="1:4">
      <c r="A15" s="4" t="s">
        <v>387</v>
      </c>
      <c r="B15" s="4" t="s">
        <v>80</v>
      </c>
      <c r="C15" s="4">
        <f t="shared" si="0"/>
        <v>19</v>
      </c>
      <c r="D15"/>
    </row>
    <row r="16" spans="1:4">
      <c r="A16" s="4" t="s">
        <v>349</v>
      </c>
      <c r="B16" s="4" t="s">
        <v>120</v>
      </c>
      <c r="C16" s="4">
        <f t="shared" si="0"/>
        <v>17</v>
      </c>
      <c r="D16"/>
    </row>
    <row r="17" spans="1:4">
      <c r="A17" s="4" t="s">
        <v>374</v>
      </c>
      <c r="B17" s="4" t="s">
        <v>83</v>
      </c>
      <c r="C17" s="4">
        <f t="shared" si="0"/>
        <v>19</v>
      </c>
      <c r="D17"/>
    </row>
    <row r="18" spans="1:4">
      <c r="A18" s="4" t="s">
        <v>304</v>
      </c>
      <c r="B18" s="4" t="s">
        <v>132</v>
      </c>
      <c r="C18" s="4">
        <f t="shared" si="0"/>
        <v>19</v>
      </c>
      <c r="D18"/>
    </row>
    <row r="19" spans="1:4">
      <c r="A19" s="4" t="s">
        <v>333</v>
      </c>
      <c r="B19" s="4" t="s">
        <v>38</v>
      </c>
      <c r="C19" s="4">
        <f t="shared" si="0"/>
        <v>13</v>
      </c>
      <c r="D19"/>
    </row>
    <row r="20" spans="1:4">
      <c r="A20" s="4" t="s">
        <v>330</v>
      </c>
      <c r="B20" s="4" t="s">
        <v>29</v>
      </c>
      <c r="C20" s="4">
        <f t="shared" si="0"/>
        <v>20</v>
      </c>
      <c r="D20"/>
    </row>
    <row r="21" spans="1:4">
      <c r="A21" s="4" t="s">
        <v>332</v>
      </c>
      <c r="B21" s="4" t="s">
        <v>35</v>
      </c>
      <c r="C21" s="4">
        <f t="shared" si="0"/>
        <v>13</v>
      </c>
      <c r="D21"/>
    </row>
    <row r="22" spans="1:4">
      <c r="A22" s="4" t="s">
        <v>331</v>
      </c>
      <c r="B22" s="4" t="s">
        <v>32</v>
      </c>
      <c r="C22" s="4">
        <f t="shared" si="0"/>
        <v>13</v>
      </c>
      <c r="D22"/>
    </row>
    <row r="23" spans="1:4">
      <c r="A23" s="4" t="s">
        <v>342</v>
      </c>
      <c r="B23" s="4" t="s">
        <v>293</v>
      </c>
      <c r="C23" s="4">
        <f t="shared" si="0"/>
        <v>20</v>
      </c>
      <c r="D23"/>
    </row>
    <row r="24" spans="1:4">
      <c r="A24" s="4" t="s">
        <v>321</v>
      </c>
      <c r="B24" s="4" t="s">
        <v>95</v>
      </c>
      <c r="C24" s="4">
        <f t="shared" si="0"/>
        <v>20</v>
      </c>
      <c r="D24"/>
    </row>
    <row r="25" spans="1:4">
      <c r="A25" s="4" t="s">
        <v>341</v>
      </c>
      <c r="B25" s="4" t="s">
        <v>289</v>
      </c>
      <c r="C25" s="4">
        <f t="shared" si="0"/>
        <v>19</v>
      </c>
      <c r="D25"/>
    </row>
    <row r="26" spans="1:4">
      <c r="A26" s="4" t="s">
        <v>337</v>
      </c>
      <c r="B26" s="4" t="s">
        <v>192</v>
      </c>
      <c r="C26" s="4">
        <f t="shared" si="0"/>
        <v>19</v>
      </c>
      <c r="D26"/>
    </row>
    <row r="27" spans="1:4">
      <c r="A27" s="4" t="s">
        <v>353</v>
      </c>
      <c r="B27" s="4" t="s">
        <v>156</v>
      </c>
      <c r="C27" s="4">
        <f t="shared" si="0"/>
        <v>12</v>
      </c>
      <c r="D27"/>
    </row>
    <row r="28" spans="1:4">
      <c r="A28" s="4" t="s">
        <v>395</v>
      </c>
      <c r="B28" s="4" t="s">
        <v>224</v>
      </c>
      <c r="C28" s="4">
        <f t="shared" si="0"/>
        <v>20</v>
      </c>
      <c r="D28"/>
    </row>
    <row r="29" spans="1:4">
      <c r="A29" s="4" t="s">
        <v>323</v>
      </c>
      <c r="B29" s="4" t="s">
        <v>189</v>
      </c>
      <c r="C29" s="4">
        <f t="shared" si="0"/>
        <v>19</v>
      </c>
      <c r="D29"/>
    </row>
    <row r="30" spans="1:4">
      <c r="A30" s="4" t="s">
        <v>318</v>
      </c>
      <c r="B30" s="4" t="s">
        <v>257</v>
      </c>
      <c r="C30" s="4">
        <f t="shared" si="0"/>
        <v>16</v>
      </c>
      <c r="D30"/>
    </row>
    <row r="31" spans="1:4">
      <c r="A31" s="4" t="s">
        <v>340</v>
      </c>
      <c r="B31" s="4" t="s">
        <v>205</v>
      </c>
      <c r="C31" s="4">
        <f t="shared" si="0"/>
        <v>20</v>
      </c>
      <c r="D31"/>
    </row>
    <row r="32" spans="1:4">
      <c r="A32" s="4" t="s">
        <v>310</v>
      </c>
      <c r="B32" s="4" t="s">
        <v>44</v>
      </c>
      <c r="C32" s="4">
        <f t="shared" si="0"/>
        <v>15</v>
      </c>
      <c r="D32"/>
    </row>
    <row r="33" spans="1:4">
      <c r="A33" s="4" t="s">
        <v>299</v>
      </c>
      <c r="B33" s="4" t="s">
        <v>230</v>
      </c>
      <c r="C33" s="4">
        <f t="shared" si="0"/>
        <v>21</v>
      </c>
      <c r="D33"/>
    </row>
    <row r="34" spans="1:4">
      <c r="A34" s="4" t="s">
        <v>339</v>
      </c>
      <c r="B34" s="4" t="s">
        <v>138</v>
      </c>
      <c r="C34" s="4">
        <f t="shared" si="0"/>
        <v>14</v>
      </c>
      <c r="D34"/>
    </row>
    <row r="35" spans="1:4">
      <c r="A35" s="4" t="s">
        <v>339</v>
      </c>
      <c r="B35" s="4" t="s">
        <v>138</v>
      </c>
      <c r="C35" s="4">
        <f t="shared" si="0"/>
        <v>14</v>
      </c>
      <c r="D35"/>
    </row>
    <row r="36" spans="1:4">
      <c r="A36" s="4" t="s">
        <v>316</v>
      </c>
      <c r="B36" s="4" t="s">
        <v>145</v>
      </c>
      <c r="C36" s="4">
        <f t="shared" si="0"/>
        <v>17</v>
      </c>
      <c r="D36"/>
    </row>
    <row r="37" spans="1:4">
      <c r="A37" s="4" t="s">
        <v>314</v>
      </c>
      <c r="B37" s="4" t="s">
        <v>194</v>
      </c>
      <c r="C37" s="4">
        <f t="shared" si="0"/>
        <v>19</v>
      </c>
      <c r="D37"/>
    </row>
    <row r="38" spans="1:4">
      <c r="A38" s="4" t="s">
        <v>308</v>
      </c>
      <c r="B38" s="4" t="s">
        <v>263</v>
      </c>
      <c r="C38" s="4">
        <f t="shared" si="0"/>
        <v>17</v>
      </c>
      <c r="D38"/>
    </row>
    <row r="39" spans="1:4">
      <c r="A39" s="4" t="s">
        <v>325</v>
      </c>
      <c r="B39" s="4" t="s">
        <v>280</v>
      </c>
      <c r="C39" s="4">
        <f t="shared" si="0"/>
        <v>19</v>
      </c>
      <c r="D39"/>
    </row>
    <row r="40" spans="1:4">
      <c r="A40" s="4" t="s">
        <v>380</v>
      </c>
      <c r="B40" s="4" t="s">
        <v>135</v>
      </c>
      <c r="C40" s="4">
        <f t="shared" si="0"/>
        <v>20</v>
      </c>
      <c r="D40"/>
    </row>
    <row r="41" spans="1:4">
      <c r="A41" s="4" t="s">
        <v>329</v>
      </c>
      <c r="B41" s="4" t="s">
        <v>26</v>
      </c>
      <c r="C41" s="4">
        <f t="shared" si="0"/>
        <v>20</v>
      </c>
      <c r="D41"/>
    </row>
    <row r="42" spans="1:4">
      <c r="A42" s="4" t="s">
        <v>365</v>
      </c>
      <c r="B42" s="4" t="s">
        <v>243</v>
      </c>
      <c r="C42" s="4">
        <f t="shared" si="0"/>
        <v>13</v>
      </c>
      <c r="D42"/>
    </row>
    <row r="43" spans="1:4">
      <c r="A43" s="4" t="s">
        <v>355</v>
      </c>
      <c r="B43" s="4" t="s">
        <v>164</v>
      </c>
      <c r="C43" s="4">
        <f t="shared" si="0"/>
        <v>16</v>
      </c>
      <c r="D43"/>
    </row>
    <row r="44" spans="1:4">
      <c r="A44" s="4" t="s">
        <v>315</v>
      </c>
      <c r="B44" s="4" t="s">
        <v>114</v>
      </c>
      <c r="C44" s="4">
        <f t="shared" si="0"/>
        <v>15</v>
      </c>
      <c r="D44"/>
    </row>
    <row r="45" spans="1:4">
      <c r="A45" s="4" t="s">
        <v>322</v>
      </c>
      <c r="B45" s="4" t="s">
        <v>183</v>
      </c>
      <c r="C45" s="4">
        <f t="shared" si="0"/>
        <v>18</v>
      </c>
      <c r="D45"/>
    </row>
    <row r="46" spans="1:4">
      <c r="A46" s="4" t="s">
        <v>367</v>
      </c>
      <c r="B46" s="4" t="s">
        <v>260</v>
      </c>
      <c r="C46" s="4">
        <f t="shared" si="0"/>
        <v>17</v>
      </c>
      <c r="D46"/>
    </row>
    <row r="47" spans="1:4">
      <c r="A47" s="4" t="s">
        <v>338</v>
      </c>
      <c r="B47" s="4" t="s">
        <v>77</v>
      </c>
      <c r="C47" s="4">
        <f t="shared" si="0"/>
        <v>18</v>
      </c>
      <c r="D47"/>
    </row>
    <row r="48" spans="1:4">
      <c r="A48" s="4" t="s">
        <v>390</v>
      </c>
      <c r="B48" s="4" t="s">
        <v>151</v>
      </c>
      <c r="C48" s="4">
        <f t="shared" si="0"/>
        <v>20</v>
      </c>
      <c r="D48"/>
    </row>
    <row r="49" spans="1:4">
      <c r="A49" s="4" t="s">
        <v>390</v>
      </c>
      <c r="B49" s="4" t="s">
        <v>151</v>
      </c>
      <c r="C49" s="4">
        <f t="shared" si="0"/>
        <v>20</v>
      </c>
      <c r="D49"/>
    </row>
    <row r="50" spans="1:4">
      <c r="A50" s="4" t="s">
        <v>359</v>
      </c>
      <c r="B50" s="4" t="s">
        <v>180</v>
      </c>
      <c r="C50" s="4">
        <f t="shared" si="0"/>
        <v>18</v>
      </c>
      <c r="D50"/>
    </row>
    <row r="51" spans="1:4">
      <c r="A51" s="4" t="s">
        <v>324</v>
      </c>
      <c r="B51" s="4" t="s">
        <v>24</v>
      </c>
      <c r="C51" s="4">
        <f t="shared" si="0"/>
        <v>20</v>
      </c>
      <c r="D51"/>
    </row>
    <row r="52" spans="1:4">
      <c r="A52" s="4" t="s">
        <v>358</v>
      </c>
      <c r="B52" s="4" t="s">
        <v>177</v>
      </c>
      <c r="C52" s="4">
        <f t="shared" si="0"/>
        <v>18</v>
      </c>
      <c r="D52"/>
    </row>
    <row r="53" spans="1:4">
      <c r="A53" s="4" t="s">
        <v>370</v>
      </c>
      <c r="B53" s="4" t="s">
        <v>277</v>
      </c>
      <c r="C53" s="4">
        <f t="shared" si="0"/>
        <v>19</v>
      </c>
      <c r="D53"/>
    </row>
    <row r="54" spans="1:4">
      <c r="A54" s="4" t="s">
        <v>302</v>
      </c>
      <c r="B54" s="4" t="s">
        <v>62</v>
      </c>
      <c r="C54" s="4">
        <f t="shared" si="0"/>
        <v>17</v>
      </c>
      <c r="D54"/>
    </row>
    <row r="55" spans="1:4">
      <c r="A55" s="4" t="s">
        <v>364</v>
      </c>
      <c r="B55" s="4" t="s">
        <v>232</v>
      </c>
      <c r="C55" s="4">
        <f t="shared" si="0"/>
        <v>21</v>
      </c>
      <c r="D55"/>
    </row>
    <row r="56" spans="1:4">
      <c r="A56" s="4" t="s">
        <v>362</v>
      </c>
      <c r="B56" s="4" t="s">
        <v>222</v>
      </c>
      <c r="C56" s="4">
        <f t="shared" si="0"/>
        <v>20</v>
      </c>
      <c r="D56"/>
    </row>
    <row r="57" spans="1:4">
      <c r="A57" s="4" t="s">
        <v>369</v>
      </c>
      <c r="B57" s="4" t="s">
        <v>268</v>
      </c>
      <c r="C57" s="4">
        <f t="shared" si="0"/>
        <v>18</v>
      </c>
      <c r="D57"/>
    </row>
    <row r="58" spans="1:4">
      <c r="A58" s="4" t="s">
        <v>356</v>
      </c>
      <c r="B58" s="4" t="s">
        <v>171</v>
      </c>
      <c r="C58" s="4">
        <f t="shared" si="0"/>
        <v>18</v>
      </c>
      <c r="D58"/>
    </row>
    <row r="59" spans="1:4">
      <c r="A59" s="4" t="s">
        <v>346</v>
      </c>
      <c r="B59" s="4" t="s">
        <v>86</v>
      </c>
      <c r="C59" s="4">
        <f t="shared" si="0"/>
        <v>19</v>
      </c>
      <c r="D59"/>
    </row>
    <row r="60" spans="1:4">
      <c r="A60" s="4" t="s">
        <v>347</v>
      </c>
      <c r="B60" s="4" t="s">
        <v>92</v>
      </c>
      <c r="C60" s="4">
        <f t="shared" si="0"/>
        <v>19</v>
      </c>
      <c r="D60"/>
    </row>
    <row r="61" spans="1:4">
      <c r="A61" s="4" t="s">
        <v>382</v>
      </c>
      <c r="B61" s="4" t="s">
        <v>207</v>
      </c>
      <c r="C61" s="4">
        <f t="shared" si="0"/>
        <v>20</v>
      </c>
      <c r="D61"/>
    </row>
    <row r="62" spans="1:4">
      <c r="A62" s="4" t="s">
        <v>363</v>
      </c>
      <c r="B62" s="4" t="s">
        <v>227</v>
      </c>
      <c r="C62" s="4">
        <f t="shared" si="0"/>
        <v>20</v>
      </c>
      <c r="D62"/>
    </row>
    <row r="63" spans="1:4">
      <c r="A63" s="4" t="s">
        <v>368</v>
      </c>
      <c r="B63" s="4" t="s">
        <v>266</v>
      </c>
      <c r="C63" s="4">
        <f t="shared" si="0"/>
        <v>17</v>
      </c>
      <c r="D63"/>
    </row>
    <row r="64" spans="1:4">
      <c r="A64" s="4" t="s">
        <v>360</v>
      </c>
      <c r="B64" s="4" t="s">
        <v>92</v>
      </c>
      <c r="C64" s="4">
        <f t="shared" si="0"/>
        <v>19</v>
      </c>
      <c r="D64"/>
    </row>
    <row r="65" spans="1:4">
      <c r="A65" s="4" t="s">
        <v>357</v>
      </c>
      <c r="B65" s="4" t="s">
        <v>174</v>
      </c>
      <c r="C65" s="4">
        <f t="shared" si="0"/>
        <v>18</v>
      </c>
      <c r="D65"/>
    </row>
    <row r="66" spans="1:4">
      <c r="A66" s="4" t="s">
        <v>383</v>
      </c>
      <c r="B66" s="4" t="s">
        <v>216</v>
      </c>
      <c r="C66" s="4">
        <f t="shared" si="0"/>
        <v>20</v>
      </c>
      <c r="D66"/>
    </row>
    <row r="67" spans="1:4">
      <c r="A67" s="4" t="s">
        <v>320</v>
      </c>
      <c r="B67" s="4" t="s">
        <v>16</v>
      </c>
      <c r="C67" s="4">
        <f t="shared" ref="C67:C105" si="1">HOUR(B67)</f>
        <v>17</v>
      </c>
      <c r="D67"/>
    </row>
    <row r="68" spans="1:4">
      <c r="A68" s="4" t="s">
        <v>303</v>
      </c>
      <c r="B68" s="4" t="s">
        <v>71</v>
      </c>
      <c r="C68" s="4">
        <f t="shared" si="1"/>
        <v>18</v>
      </c>
      <c r="D68"/>
    </row>
    <row r="69" spans="1:4">
      <c r="A69" s="4" t="s">
        <v>352</v>
      </c>
      <c r="B69" s="4" t="s">
        <v>148</v>
      </c>
      <c r="C69" s="4">
        <f t="shared" si="1"/>
        <v>16</v>
      </c>
      <c r="D69"/>
    </row>
    <row r="70" spans="1:4">
      <c r="A70" s="4" t="s">
        <v>352</v>
      </c>
      <c r="B70" s="4" t="s">
        <v>148</v>
      </c>
      <c r="C70" s="4">
        <f t="shared" si="1"/>
        <v>16</v>
      </c>
      <c r="D70"/>
    </row>
    <row r="71" spans="1:4">
      <c r="A71" s="4" t="s">
        <v>350</v>
      </c>
      <c r="B71" s="4" t="s">
        <v>129</v>
      </c>
      <c r="C71" s="4">
        <f t="shared" si="1"/>
        <v>19</v>
      </c>
      <c r="D71"/>
    </row>
    <row r="72" spans="1:4">
      <c r="A72" s="4" t="s">
        <v>366</v>
      </c>
      <c r="B72" s="4" t="s">
        <v>248</v>
      </c>
      <c r="C72" s="4">
        <f t="shared" si="1"/>
        <v>13</v>
      </c>
      <c r="D72"/>
    </row>
    <row r="73" spans="1:4">
      <c r="A73" s="4" t="s">
        <v>375</v>
      </c>
      <c r="B73" s="4" t="s">
        <v>153</v>
      </c>
      <c r="C73" s="4">
        <f t="shared" si="1"/>
        <v>20</v>
      </c>
      <c r="D73"/>
    </row>
    <row r="74" spans="1:4">
      <c r="A74" s="4" t="s">
        <v>375</v>
      </c>
      <c r="B74" s="4" t="s">
        <v>153</v>
      </c>
      <c r="C74" s="4">
        <f t="shared" si="1"/>
        <v>20</v>
      </c>
      <c r="D74"/>
    </row>
    <row r="75" spans="1:4">
      <c r="A75" s="4" t="s">
        <v>343</v>
      </c>
      <c r="B75" s="4" t="s">
        <v>296</v>
      </c>
      <c r="C75" s="4">
        <f t="shared" si="1"/>
        <v>21</v>
      </c>
      <c r="D75"/>
    </row>
    <row r="76" spans="1:4">
      <c r="A76" s="4" t="s">
        <v>379</v>
      </c>
      <c r="B76" s="4" t="s">
        <v>117</v>
      </c>
      <c r="C76" s="4">
        <f t="shared" si="1"/>
        <v>16</v>
      </c>
      <c r="D76"/>
    </row>
    <row r="77" spans="1:4">
      <c r="A77" s="4" t="s">
        <v>306</v>
      </c>
      <c r="B77" s="4" t="s">
        <v>197</v>
      </c>
      <c r="C77" s="4">
        <f t="shared" si="1"/>
        <v>19</v>
      </c>
      <c r="D77"/>
    </row>
    <row r="78" spans="1:4">
      <c r="A78" s="4" t="s">
        <v>313</v>
      </c>
      <c r="B78" s="4" t="s">
        <v>56</v>
      </c>
      <c r="C78" s="4">
        <f t="shared" si="1"/>
        <v>15</v>
      </c>
      <c r="D78"/>
    </row>
    <row r="79" spans="1:4">
      <c r="A79" s="4" t="s">
        <v>378</v>
      </c>
      <c r="B79" s="4" t="s">
        <v>111</v>
      </c>
      <c r="C79" s="4">
        <f t="shared" si="1"/>
        <v>14</v>
      </c>
      <c r="D79"/>
    </row>
    <row r="80" spans="1:4">
      <c r="A80" s="4" t="s">
        <v>317</v>
      </c>
      <c r="B80" s="4" t="s">
        <v>240</v>
      </c>
      <c r="C80" s="4">
        <f t="shared" si="1"/>
        <v>16</v>
      </c>
      <c r="D80"/>
    </row>
    <row r="81" spans="1:4">
      <c r="A81" s="4" t="s">
        <v>377</v>
      </c>
      <c r="B81" s="4" t="s">
        <v>74</v>
      </c>
      <c r="C81" s="4">
        <f t="shared" si="1"/>
        <v>18</v>
      </c>
      <c r="D81"/>
    </row>
    <row r="82" spans="1:4">
      <c r="A82" s="4" t="s">
        <v>307</v>
      </c>
      <c r="B82" s="4" t="s">
        <v>237</v>
      </c>
      <c r="C82" s="4">
        <f t="shared" si="1"/>
        <v>21</v>
      </c>
      <c r="D82"/>
    </row>
    <row r="83" spans="1:4">
      <c r="A83" s="4" t="s">
        <v>298</v>
      </c>
      <c r="B83" s="4" t="s">
        <v>105</v>
      </c>
      <c r="C83" s="4">
        <f t="shared" si="1"/>
        <v>14</v>
      </c>
      <c r="D83"/>
    </row>
    <row r="84" spans="1:4">
      <c r="A84" s="4" t="s">
        <v>327</v>
      </c>
      <c r="B84" s="4" t="s">
        <v>241</v>
      </c>
      <c r="C84" s="4">
        <f t="shared" si="1"/>
        <v>13</v>
      </c>
      <c r="D84"/>
    </row>
    <row r="85" spans="1:4">
      <c r="A85" s="4" t="s">
        <v>326</v>
      </c>
      <c r="B85" s="4" t="s">
        <v>98</v>
      </c>
      <c r="C85" s="4">
        <f t="shared" si="1"/>
        <v>12</v>
      </c>
      <c r="D85"/>
    </row>
    <row r="86" spans="1:4">
      <c r="A86" s="4" t="s">
        <v>344</v>
      </c>
      <c r="B86" s="4" t="s">
        <v>50</v>
      </c>
      <c r="C86" s="4">
        <f t="shared" si="1"/>
        <v>15</v>
      </c>
      <c r="D86"/>
    </row>
    <row r="87" spans="1:4">
      <c r="A87" s="4" t="s">
        <v>328</v>
      </c>
      <c r="B87" s="4" t="s">
        <v>12</v>
      </c>
      <c r="C87" s="4">
        <f t="shared" si="1"/>
        <v>16</v>
      </c>
      <c r="D87"/>
    </row>
    <row r="88" spans="1:4">
      <c r="A88" s="4" t="s">
        <v>376</v>
      </c>
      <c r="B88" s="4" t="s">
        <v>274</v>
      </c>
      <c r="C88" s="4">
        <f t="shared" si="1"/>
        <v>18</v>
      </c>
      <c r="D88"/>
    </row>
    <row r="89" spans="1:4">
      <c r="A89" s="4" t="s">
        <v>381</v>
      </c>
      <c r="B89" s="4" t="s">
        <v>186</v>
      </c>
      <c r="C89" s="4">
        <f t="shared" si="1"/>
        <v>18</v>
      </c>
      <c r="D89"/>
    </row>
    <row r="90" spans="1:4">
      <c r="A90" s="4" t="s">
        <v>345</v>
      </c>
      <c r="B90" s="4" t="s">
        <v>65</v>
      </c>
      <c r="C90" s="4">
        <f t="shared" si="1"/>
        <v>17</v>
      </c>
      <c r="D90"/>
    </row>
    <row r="91" spans="1:4">
      <c r="A91" s="4" t="s">
        <v>354</v>
      </c>
      <c r="B91" s="4" t="s">
        <v>159</v>
      </c>
      <c r="C91" s="4">
        <f t="shared" si="1"/>
        <v>12</v>
      </c>
      <c r="D91"/>
    </row>
    <row r="92" spans="1:4">
      <c r="A92" s="4" t="s">
        <v>335</v>
      </c>
      <c r="B92" s="4" t="s">
        <v>68</v>
      </c>
      <c r="C92" s="4">
        <f t="shared" si="1"/>
        <v>17</v>
      </c>
      <c r="D92"/>
    </row>
    <row r="93" spans="1:4">
      <c r="A93" s="4" t="s">
        <v>372</v>
      </c>
      <c r="B93" s="4" t="s">
        <v>202</v>
      </c>
      <c r="C93" s="4">
        <f t="shared" si="1"/>
        <v>20</v>
      </c>
      <c r="D93"/>
    </row>
    <row r="94" spans="1:4">
      <c r="A94" s="4" t="s">
        <v>389</v>
      </c>
      <c r="B94" s="4" t="s">
        <v>126</v>
      </c>
      <c r="C94" s="4">
        <f t="shared" si="1"/>
        <v>18</v>
      </c>
      <c r="D94"/>
    </row>
    <row r="95" spans="1:4">
      <c r="A95" s="4" t="s">
        <v>311</v>
      </c>
      <c r="B95" s="4" t="s">
        <v>24</v>
      </c>
      <c r="C95" s="4">
        <f t="shared" si="1"/>
        <v>20</v>
      </c>
      <c r="D95"/>
    </row>
    <row r="96" spans="1:4">
      <c r="A96" s="4" t="s">
        <v>312</v>
      </c>
      <c r="B96" s="4" t="s">
        <v>229</v>
      </c>
      <c r="C96" s="4">
        <f t="shared" si="1"/>
        <v>20</v>
      </c>
      <c r="D96"/>
    </row>
    <row r="97" spans="1:4">
      <c r="A97" s="4" t="s">
        <v>361</v>
      </c>
      <c r="B97" s="4" t="s">
        <v>219</v>
      </c>
      <c r="C97" s="4">
        <f t="shared" si="1"/>
        <v>20</v>
      </c>
      <c r="D97"/>
    </row>
    <row r="98" spans="1:4">
      <c r="A98" s="4" t="s">
        <v>334</v>
      </c>
      <c r="B98" s="4" t="s">
        <v>123</v>
      </c>
      <c r="C98" s="4">
        <f t="shared" si="1"/>
        <v>18</v>
      </c>
      <c r="D98"/>
    </row>
    <row r="99" spans="1:4">
      <c r="A99" s="4" t="s">
        <v>305</v>
      </c>
      <c r="B99" s="4" t="s">
        <v>168</v>
      </c>
      <c r="C99" s="4">
        <f t="shared" si="1"/>
        <v>18</v>
      </c>
      <c r="D99"/>
    </row>
    <row r="100" spans="1:4">
      <c r="A100" s="4" t="s">
        <v>300</v>
      </c>
      <c r="B100" s="4" t="s">
        <v>41</v>
      </c>
      <c r="C100" s="4">
        <f t="shared" si="1"/>
        <v>13</v>
      </c>
      <c r="D100"/>
    </row>
    <row r="101" spans="1:4">
      <c r="A101" s="4" t="s">
        <v>351</v>
      </c>
      <c r="B101" s="4" t="s">
        <v>141</v>
      </c>
      <c r="C101" s="4">
        <f t="shared" si="1"/>
        <v>19</v>
      </c>
      <c r="D101"/>
    </row>
    <row r="102" spans="1:4">
      <c r="A102" s="4" t="s">
        <v>351</v>
      </c>
      <c r="B102" s="4" t="s">
        <v>141</v>
      </c>
      <c r="C102" s="4">
        <f t="shared" si="1"/>
        <v>19</v>
      </c>
      <c r="D102"/>
    </row>
    <row r="103" spans="1:4">
      <c r="A103" s="4" t="s">
        <v>336</v>
      </c>
      <c r="B103" s="4" t="s">
        <v>101</v>
      </c>
      <c r="C103" s="4">
        <f t="shared" si="1"/>
        <v>12</v>
      </c>
      <c r="D103"/>
    </row>
    <row r="104" spans="1:4">
      <c r="A104" s="4" t="s">
        <v>319</v>
      </c>
      <c r="B104" s="4" t="s">
        <v>286</v>
      </c>
      <c r="C104" s="4">
        <f t="shared" si="1"/>
        <v>19</v>
      </c>
      <c r="D104"/>
    </row>
    <row r="105" spans="1:4">
      <c r="A105" s="4" t="s">
        <v>385</v>
      </c>
      <c r="B105" s="4" t="s">
        <v>21</v>
      </c>
      <c r="C105" s="4">
        <f t="shared" si="1"/>
        <v>20</v>
      </c>
      <c r="D105"/>
    </row>
    <row r="107" spans="1:4" ht="26" customHeight="1">
      <c r="A107" s="195" t="s">
        <v>625</v>
      </c>
      <c r="B107" s="196"/>
      <c r="C107" s="4">
        <f>MODE(C1:C105)</f>
        <v>20</v>
      </c>
      <c r="D107"/>
    </row>
    <row r="108" spans="1:4">
      <c r="A108" s="195" t="s">
        <v>626</v>
      </c>
      <c r="B108" s="196"/>
      <c r="C108" s="4">
        <f>COUNTIF(C2:C105, "&lt; 12")</f>
        <v>0</v>
      </c>
      <c r="D108"/>
    </row>
    <row r="109" spans="1:4" ht="57" customHeight="1">
      <c r="A109" s="195" t="s">
        <v>627</v>
      </c>
      <c r="B109" s="196"/>
      <c r="C109" s="196"/>
      <c r="D109"/>
    </row>
    <row r="111" spans="1:4">
      <c r="B111"/>
      <c r="C111"/>
      <c r="D111"/>
    </row>
    <row r="112" spans="1:4">
      <c r="B112"/>
      <c r="C112"/>
      <c r="D112"/>
    </row>
    <row r="113" spans="2:4">
      <c r="B113"/>
      <c r="C113"/>
      <c r="D113"/>
    </row>
    <row r="114" spans="2:4">
      <c r="B114"/>
      <c r="C114"/>
      <c r="D114"/>
    </row>
    <row r="115" spans="2:4">
      <c r="B115"/>
      <c r="C115"/>
      <c r="D115"/>
    </row>
    <row r="116" spans="2:4">
      <c r="B116"/>
      <c r="C116"/>
      <c r="D116"/>
    </row>
    <row r="117" spans="2:4">
      <c r="B117"/>
      <c r="C117"/>
      <c r="D117"/>
    </row>
    <row r="118" spans="2:4">
      <c r="B118"/>
      <c r="C118"/>
      <c r="D118"/>
    </row>
    <row r="119" spans="2:4">
      <c r="B119"/>
      <c r="C119"/>
      <c r="D119"/>
    </row>
    <row r="120" spans="2:4">
      <c r="B120"/>
      <c r="C120"/>
      <c r="D120"/>
    </row>
    <row r="121" spans="2:4">
      <c r="B121"/>
      <c r="C121"/>
      <c r="D121"/>
    </row>
    <row r="122" spans="2:4">
      <c r="B122"/>
      <c r="C122"/>
      <c r="D122"/>
    </row>
    <row r="123" spans="2:4">
      <c r="B123"/>
      <c r="C123"/>
      <c r="D123"/>
    </row>
    <row r="124" spans="2:4">
      <c r="B124"/>
      <c r="C124"/>
      <c r="D124"/>
    </row>
  </sheetData>
  <autoFilter ref="A1:D105" xr:uid="{00000000-0009-0000-0000-000005000000}">
    <sortState ref="A2:C106">
      <sortCondition ref="A1:A106"/>
    </sortState>
  </autoFilter>
  <mergeCells count="3">
    <mergeCell ref="A107:B107"/>
    <mergeCell ref="A108:B108"/>
    <mergeCell ref="A109:C109"/>
  </mergeCells>
  <pageMargins left="0.75" right="0.75" top="1" bottom="1" header="0.3" footer="0.3"/>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09"/>
  <sheetViews>
    <sheetView tabSelected="1" topLeftCell="I1" workbookViewId="0">
      <pane ySplit="1" topLeftCell="A2" activePane="bottomLeft" state="frozen"/>
      <selection pane="bottomLeft" activeCell="M11" sqref="M11"/>
    </sheetView>
  </sheetViews>
  <sheetFormatPr baseColWidth="10" defaultRowHeight="13"/>
  <cols>
    <col min="1" max="1" width="13.1640625" style="4" bestFit="1" customWidth="1"/>
    <col min="2" max="3" width="14.1640625" style="4" bestFit="1" customWidth="1"/>
    <col min="4" max="5" width="15.1640625" style="4" bestFit="1" customWidth="1"/>
    <col min="6" max="6" width="14.1640625" style="4" bestFit="1" customWidth="1"/>
    <col min="7" max="7" width="15.1640625" style="4" bestFit="1" customWidth="1"/>
    <col min="8" max="8" width="12.1640625" style="4" bestFit="1" customWidth="1"/>
    <col min="9" max="9" width="18.1640625" style="4" bestFit="1" customWidth="1"/>
    <col min="10" max="10" width="18.1640625" style="88" customWidth="1"/>
    <col min="11" max="11" width="18.1640625" style="86" customWidth="1"/>
    <col min="12" max="13" width="18.1640625" style="88" customWidth="1"/>
    <col min="14" max="14" width="20.1640625" style="85" customWidth="1"/>
    <col min="15" max="15" width="16" style="4" bestFit="1" customWidth="1"/>
    <col min="16" max="16" width="6.5" style="4" bestFit="1" customWidth="1"/>
    <col min="17" max="17" width="5" style="4" bestFit="1" customWidth="1"/>
    <col min="18" max="18" width="15.1640625" style="4" bestFit="1" customWidth="1"/>
    <col min="19" max="19" width="12.1640625" style="4" bestFit="1" customWidth="1"/>
    <col min="20" max="23" width="15.1640625" style="4" bestFit="1" customWidth="1"/>
  </cols>
  <sheetData>
    <row r="1" spans="1:26" s="3" customFormat="1" ht="60">
      <c r="A1" s="1" t="s">
        <v>0</v>
      </c>
      <c r="B1" s="1" t="s">
        <v>1</v>
      </c>
      <c r="C1" s="1" t="s">
        <v>2</v>
      </c>
      <c r="D1" s="1" t="s">
        <v>297</v>
      </c>
      <c r="E1" s="1" t="s">
        <v>483</v>
      </c>
      <c r="F1" s="1" t="s">
        <v>484</v>
      </c>
      <c r="G1" s="1" t="s">
        <v>536</v>
      </c>
      <c r="H1" s="1" t="s">
        <v>397</v>
      </c>
      <c r="I1" s="1" t="s">
        <v>3</v>
      </c>
      <c r="J1" s="87" t="s">
        <v>4</v>
      </c>
      <c r="K1" s="87" t="s">
        <v>630</v>
      </c>
      <c r="L1" s="87" t="s">
        <v>5</v>
      </c>
      <c r="M1" s="87" t="s">
        <v>631</v>
      </c>
      <c r="N1" s="84" t="s">
        <v>629</v>
      </c>
      <c r="O1" s="1" t="s">
        <v>6</v>
      </c>
      <c r="P1" s="1" t="s">
        <v>574</v>
      </c>
      <c r="Q1" s="1" t="s">
        <v>578</v>
      </c>
      <c r="R1" s="1" t="s">
        <v>579</v>
      </c>
      <c r="S1" s="1" t="s">
        <v>573</v>
      </c>
      <c r="T1" s="2" t="s">
        <v>575</v>
      </c>
      <c r="U1" s="2" t="s">
        <v>576</v>
      </c>
      <c r="V1" s="2" t="s">
        <v>577</v>
      </c>
      <c r="W1" s="2" t="s">
        <v>537</v>
      </c>
    </row>
    <row r="2" spans="1:26">
      <c r="A2" s="4" t="s">
        <v>7</v>
      </c>
      <c r="B2" s="4" t="s">
        <v>8</v>
      </c>
      <c r="C2" s="4" t="s">
        <v>9</v>
      </c>
      <c r="D2" s="4" t="s">
        <v>348</v>
      </c>
      <c r="E2" s="4" t="s">
        <v>462</v>
      </c>
      <c r="F2" s="4" t="s">
        <v>504</v>
      </c>
      <c r="G2" s="4" t="s">
        <v>530</v>
      </c>
      <c r="H2" s="4" t="s">
        <v>437</v>
      </c>
      <c r="I2" s="4" t="s">
        <v>106</v>
      </c>
      <c r="J2" s="88" t="s">
        <v>107</v>
      </c>
      <c r="K2" s="90">
        <f>DATE(VALUE(MID(J2,7,4)), VALUE(MID(J2,4,2)), VALUE(LEFT(J2,2)))</f>
        <v>43313</v>
      </c>
      <c r="L2" s="88" t="s">
        <v>108</v>
      </c>
      <c r="M2" s="88">
        <f>DATE(VALUE(MID(L2,7,4)), VALUE(MID(L2,4,2)), VALUE(LEFT(L2,2)))</f>
        <v>43314</v>
      </c>
      <c r="N2" s="85">
        <f>M2-K2</f>
        <v>1</v>
      </c>
      <c r="O2" s="4" t="s">
        <v>47</v>
      </c>
      <c r="P2" s="5">
        <v>78.457499999999996</v>
      </c>
      <c r="Q2" s="5">
        <v>0</v>
      </c>
      <c r="R2" s="5">
        <v>1496.25</v>
      </c>
      <c r="S2" s="5">
        <v>6000</v>
      </c>
      <c r="T2" s="5">
        <v>8501.3024999999998</v>
      </c>
      <c r="U2" s="5">
        <v>0</v>
      </c>
      <c r="V2" s="5">
        <v>8501.3024999999998</v>
      </c>
    </row>
    <row r="3" spans="1:26">
      <c r="A3" s="4" t="s">
        <v>7</v>
      </c>
      <c r="B3" s="4" t="s">
        <v>17</v>
      </c>
      <c r="C3" s="4" t="s">
        <v>18</v>
      </c>
      <c r="D3" s="4" t="s">
        <v>384</v>
      </c>
      <c r="E3" s="4" t="s">
        <v>466</v>
      </c>
      <c r="F3" s="4" t="s">
        <v>515</v>
      </c>
      <c r="G3" s="4" t="s">
        <v>533</v>
      </c>
      <c r="H3" s="4" t="s">
        <v>458</v>
      </c>
      <c r="I3" s="4" t="s">
        <v>269</v>
      </c>
      <c r="J3" s="88" t="s">
        <v>270</v>
      </c>
      <c r="K3" s="90">
        <f>DATE(VALUE(MID(J3,7,4)), VALUE(MID(J3,4,2)), VALUE(LEFT(J3,2)))</f>
        <v>43313</v>
      </c>
      <c r="L3" s="88" t="s">
        <v>271</v>
      </c>
      <c r="M3" s="88">
        <f t="shared" ref="M3:M66" si="0">DATE(VALUE(MID(L3,7,4)), VALUE(MID(L3,4,2)), VALUE(LEFT(L3,2)))</f>
        <v>43314</v>
      </c>
      <c r="N3" s="85">
        <f t="shared" ref="N3:N66" si="1">M3-K3</f>
        <v>1</v>
      </c>
      <c r="O3" s="4" t="s">
        <v>157</v>
      </c>
      <c r="P3" s="5">
        <v>0</v>
      </c>
      <c r="Q3" s="5">
        <v>41266.5</v>
      </c>
      <c r="R3" s="5">
        <v>0</v>
      </c>
      <c r="S3" s="5">
        <v>3750</v>
      </c>
      <c r="T3" s="5">
        <v>135016.5</v>
      </c>
      <c r="U3" s="5">
        <v>0</v>
      </c>
      <c r="V3" s="5">
        <v>135016.5</v>
      </c>
      <c r="W3" s="4" t="s">
        <v>567</v>
      </c>
    </row>
    <row r="4" spans="1:26">
      <c r="A4" s="4" t="s">
        <v>7</v>
      </c>
      <c r="B4" s="4" t="s">
        <v>8</v>
      </c>
      <c r="C4" s="4" t="s">
        <v>9</v>
      </c>
      <c r="D4" s="4" t="s">
        <v>386</v>
      </c>
      <c r="E4" s="4" t="s">
        <v>462</v>
      </c>
      <c r="F4" s="4" t="s">
        <v>516</v>
      </c>
      <c r="G4" s="4" t="s">
        <v>534</v>
      </c>
      <c r="H4" s="4" t="s">
        <v>405</v>
      </c>
      <c r="I4" s="4" t="s">
        <v>51</v>
      </c>
      <c r="J4" s="88" t="s">
        <v>52</v>
      </c>
      <c r="K4" s="90">
        <f t="shared" ref="K4:K67" si="2">DATE(VALUE(MID(J4,7,4)), VALUE(MID(J4,4,2)), VALUE(LEFT(J4,2)))</f>
        <v>43313</v>
      </c>
      <c r="L4" s="88" t="s">
        <v>53</v>
      </c>
      <c r="M4" s="88">
        <f t="shared" si="0"/>
        <v>43313</v>
      </c>
      <c r="N4" s="85">
        <f t="shared" si="1"/>
        <v>0</v>
      </c>
      <c r="O4" s="4" t="s">
        <v>47</v>
      </c>
      <c r="P4" s="5">
        <v>0</v>
      </c>
      <c r="Q4" s="5">
        <v>29838.75</v>
      </c>
      <c r="R4" s="5">
        <v>0</v>
      </c>
      <c r="S4" s="5">
        <v>106875</v>
      </c>
      <c r="T4" s="5">
        <v>136713.75</v>
      </c>
      <c r="U4" s="5">
        <v>0</v>
      </c>
      <c r="V4" s="5">
        <v>136713.75</v>
      </c>
    </row>
    <row r="5" spans="1:26">
      <c r="A5" s="4" t="s">
        <v>7</v>
      </c>
      <c r="B5" s="4" t="s">
        <v>17</v>
      </c>
      <c r="C5" s="4" t="s">
        <v>18</v>
      </c>
      <c r="D5" s="4" t="s">
        <v>394</v>
      </c>
      <c r="E5" s="4" t="s">
        <v>466</v>
      </c>
      <c r="F5" s="4" t="s">
        <v>516</v>
      </c>
      <c r="G5" s="4" t="s">
        <v>534</v>
      </c>
      <c r="H5" s="4" t="s">
        <v>415</v>
      </c>
      <c r="I5" s="4" t="s">
        <v>249</v>
      </c>
      <c r="J5" s="88" t="s">
        <v>250</v>
      </c>
      <c r="K5" s="90">
        <f t="shared" si="2"/>
        <v>43313</v>
      </c>
      <c r="L5" s="88" t="s">
        <v>251</v>
      </c>
      <c r="M5" s="88">
        <f t="shared" si="0"/>
        <v>43314</v>
      </c>
      <c r="N5" s="85">
        <f t="shared" si="1"/>
        <v>1</v>
      </c>
      <c r="O5" s="4" t="s">
        <v>157</v>
      </c>
      <c r="P5" s="5">
        <v>42.286499999999997</v>
      </c>
      <c r="Q5" s="5">
        <v>5207.9775</v>
      </c>
      <c r="R5" s="5">
        <v>1451.25</v>
      </c>
      <c r="S5" s="5">
        <v>300</v>
      </c>
      <c r="T5" s="5">
        <v>105035.43</v>
      </c>
      <c r="U5" s="5">
        <v>0</v>
      </c>
      <c r="V5" s="5">
        <v>105035.43</v>
      </c>
      <c r="W5" s="4" t="s">
        <v>570</v>
      </c>
    </row>
    <row r="6" spans="1:26">
      <c r="A6" s="4" t="s">
        <v>7</v>
      </c>
      <c r="B6" s="4" t="s">
        <v>17</v>
      </c>
      <c r="C6" s="4" t="s">
        <v>18</v>
      </c>
      <c r="D6" s="4" t="s">
        <v>391</v>
      </c>
      <c r="E6" s="4" t="s">
        <v>466</v>
      </c>
      <c r="F6" s="4" t="s">
        <v>516</v>
      </c>
      <c r="G6" s="4" t="s">
        <v>534</v>
      </c>
      <c r="H6" s="4" t="s">
        <v>435</v>
      </c>
      <c r="I6" s="4" t="s">
        <v>145</v>
      </c>
      <c r="J6" s="88" t="s">
        <v>166</v>
      </c>
      <c r="K6" s="90">
        <f t="shared" si="2"/>
        <v>43313</v>
      </c>
      <c r="L6" s="88" t="s">
        <v>62</v>
      </c>
      <c r="M6" s="88">
        <f t="shared" si="0"/>
        <v>43313</v>
      </c>
      <c r="N6" s="85">
        <f t="shared" si="1"/>
        <v>0</v>
      </c>
      <c r="O6" s="4" t="s">
        <v>165</v>
      </c>
      <c r="P6" s="5">
        <v>29984.693850000003</v>
      </c>
      <c r="Q6" s="5">
        <v>0</v>
      </c>
      <c r="R6" s="5">
        <v>44625</v>
      </c>
      <c r="S6" s="5">
        <v>9135</v>
      </c>
      <c r="T6" s="5">
        <v>701249.22750000004</v>
      </c>
      <c r="U6" s="5">
        <v>551250</v>
      </c>
      <c r="V6" s="5">
        <v>149999.22750000004</v>
      </c>
      <c r="W6" s="4" t="s">
        <v>568</v>
      </c>
    </row>
    <row r="7" spans="1:26">
      <c r="A7" s="4" t="s">
        <v>7</v>
      </c>
      <c r="B7" s="4" t="s">
        <v>8</v>
      </c>
      <c r="C7" s="4" t="s">
        <v>9</v>
      </c>
      <c r="D7" s="4" t="s">
        <v>388</v>
      </c>
      <c r="E7" s="4" t="s">
        <v>462</v>
      </c>
      <c r="F7" s="4" t="s">
        <v>516</v>
      </c>
      <c r="G7" s="4" t="s">
        <v>534</v>
      </c>
      <c r="H7" s="4" t="s">
        <v>456</v>
      </c>
      <c r="I7" s="4" t="s">
        <v>87</v>
      </c>
      <c r="J7" s="88" t="s">
        <v>88</v>
      </c>
      <c r="K7" s="90">
        <f t="shared" si="2"/>
        <v>43313</v>
      </c>
      <c r="L7" s="88" t="s">
        <v>89</v>
      </c>
      <c r="M7" s="88">
        <f t="shared" si="0"/>
        <v>43313</v>
      </c>
      <c r="N7" s="85">
        <f t="shared" si="1"/>
        <v>0</v>
      </c>
      <c r="O7" s="4" t="s">
        <v>47</v>
      </c>
      <c r="P7" s="5">
        <v>85.679999999999993</v>
      </c>
      <c r="Q7" s="5">
        <v>0</v>
      </c>
      <c r="R7" s="5">
        <v>48956.25</v>
      </c>
      <c r="S7" s="5">
        <v>258.75</v>
      </c>
      <c r="T7" s="5">
        <v>115557.6225</v>
      </c>
      <c r="U7" s="5">
        <v>12750</v>
      </c>
      <c r="V7" s="5">
        <v>102807.6225</v>
      </c>
    </row>
    <row r="8" spans="1:26">
      <c r="A8" s="4" t="s">
        <v>7</v>
      </c>
      <c r="B8" s="4" t="s">
        <v>17</v>
      </c>
      <c r="C8" s="4" t="s">
        <v>18</v>
      </c>
      <c r="D8" s="4" t="s">
        <v>396</v>
      </c>
      <c r="E8" s="4" t="s">
        <v>466</v>
      </c>
      <c r="F8" s="4" t="s">
        <v>518</v>
      </c>
      <c r="G8" s="4" t="s">
        <v>535</v>
      </c>
      <c r="H8" s="4" t="s">
        <v>455</v>
      </c>
      <c r="I8" s="4" t="s">
        <v>252</v>
      </c>
      <c r="J8" s="88" t="s">
        <v>253</v>
      </c>
      <c r="K8" s="90">
        <f t="shared" si="2"/>
        <v>43313</v>
      </c>
      <c r="L8" s="88" t="s">
        <v>254</v>
      </c>
      <c r="M8" s="88">
        <f t="shared" si="0"/>
        <v>43314</v>
      </c>
      <c r="N8" s="85">
        <f t="shared" si="1"/>
        <v>1</v>
      </c>
      <c r="O8" s="4" t="s">
        <v>157</v>
      </c>
      <c r="P8" s="5">
        <v>8.19</v>
      </c>
      <c r="Q8" s="5">
        <v>0</v>
      </c>
      <c r="R8" s="5">
        <v>24451.875</v>
      </c>
      <c r="S8" s="5">
        <v>21789</v>
      </c>
      <c r="T8" s="5">
        <v>82963.237499999988</v>
      </c>
      <c r="U8" s="5">
        <v>0</v>
      </c>
      <c r="V8" s="5">
        <v>82963.237499999988</v>
      </c>
      <c r="W8" s="4" t="s">
        <v>572</v>
      </c>
    </row>
    <row r="9" spans="1:26">
      <c r="A9" s="4" t="s">
        <v>7</v>
      </c>
      <c r="B9" s="4" t="s">
        <v>8</v>
      </c>
      <c r="C9" s="4" t="s">
        <v>9</v>
      </c>
      <c r="D9" s="4" t="s">
        <v>301</v>
      </c>
      <c r="E9" s="4" t="s">
        <v>462</v>
      </c>
      <c r="F9" s="4" t="s">
        <v>486</v>
      </c>
      <c r="G9" s="4" t="s">
        <v>520</v>
      </c>
      <c r="H9" s="4" t="s">
        <v>401</v>
      </c>
      <c r="I9" s="4" t="s">
        <v>57</v>
      </c>
      <c r="J9" s="88" t="s">
        <v>58</v>
      </c>
      <c r="K9" s="90">
        <f t="shared" si="2"/>
        <v>43313</v>
      </c>
      <c r="L9" s="88" t="s">
        <v>59</v>
      </c>
      <c r="M9" s="88">
        <f t="shared" si="0"/>
        <v>43313</v>
      </c>
      <c r="N9" s="85">
        <f t="shared" si="1"/>
        <v>0</v>
      </c>
      <c r="O9" s="4" t="s">
        <v>13</v>
      </c>
      <c r="P9" s="5">
        <v>0</v>
      </c>
      <c r="Q9" s="5">
        <v>0</v>
      </c>
      <c r="R9" s="5">
        <v>0</v>
      </c>
      <c r="S9" s="5">
        <v>9375</v>
      </c>
      <c r="T9" s="5">
        <v>9375</v>
      </c>
      <c r="U9" s="5">
        <v>0</v>
      </c>
      <c r="V9" s="5">
        <v>9375</v>
      </c>
      <c r="W9" s="4" t="s">
        <v>540</v>
      </c>
    </row>
    <row r="10" spans="1:26">
      <c r="A10" s="4" t="s">
        <v>7</v>
      </c>
      <c r="B10" s="4" t="s">
        <v>8</v>
      </c>
      <c r="C10" s="4" t="s">
        <v>9</v>
      </c>
      <c r="D10" s="4" t="s">
        <v>373</v>
      </c>
      <c r="E10" s="4" t="s">
        <v>462</v>
      </c>
      <c r="F10" s="4" t="s">
        <v>513</v>
      </c>
      <c r="G10" s="4" t="s">
        <v>532</v>
      </c>
      <c r="H10" s="4" t="s">
        <v>440</v>
      </c>
      <c r="I10" s="4" t="s">
        <v>45</v>
      </c>
      <c r="J10" s="88" t="s">
        <v>46</v>
      </c>
      <c r="K10" s="90">
        <f t="shared" si="2"/>
        <v>43313</v>
      </c>
      <c r="L10" s="88" t="s">
        <v>45</v>
      </c>
      <c r="M10" s="88">
        <f t="shared" si="0"/>
        <v>43313</v>
      </c>
      <c r="N10" s="85">
        <f t="shared" si="1"/>
        <v>0</v>
      </c>
      <c r="O10" s="4" t="s">
        <v>47</v>
      </c>
      <c r="P10" s="5">
        <v>0</v>
      </c>
      <c r="Q10" s="5">
        <v>0</v>
      </c>
      <c r="R10" s="5">
        <v>0</v>
      </c>
      <c r="S10" s="5">
        <v>45882.75</v>
      </c>
      <c r="T10" s="5">
        <v>45882.75</v>
      </c>
      <c r="U10" s="5">
        <v>0</v>
      </c>
      <c r="V10" s="5">
        <v>45882.75</v>
      </c>
    </row>
    <row r="11" spans="1:26">
      <c r="A11" s="4" t="s">
        <v>7</v>
      </c>
      <c r="B11" s="4" t="s">
        <v>17</v>
      </c>
      <c r="C11" s="4" t="s">
        <v>18</v>
      </c>
      <c r="D11" s="4" t="s">
        <v>393</v>
      </c>
      <c r="E11" s="4" t="s">
        <v>481</v>
      </c>
      <c r="F11" s="4" t="s">
        <v>516</v>
      </c>
      <c r="G11" s="4" t="s">
        <v>534</v>
      </c>
      <c r="H11" s="4" t="s">
        <v>439</v>
      </c>
      <c r="I11" s="4" t="s">
        <v>24</v>
      </c>
      <c r="J11" s="88" t="s">
        <v>210</v>
      </c>
      <c r="K11" s="90">
        <f t="shared" si="2"/>
        <v>43313</v>
      </c>
      <c r="L11" s="88" t="s">
        <v>26</v>
      </c>
      <c r="M11" s="88">
        <f t="shared" si="0"/>
        <v>43313</v>
      </c>
      <c r="N11" s="85">
        <f t="shared" si="1"/>
        <v>0</v>
      </c>
      <c r="O11" s="4" t="s">
        <v>22</v>
      </c>
      <c r="P11" s="5">
        <v>205.63229999999999</v>
      </c>
      <c r="Q11" s="5">
        <v>0</v>
      </c>
      <c r="R11" s="5">
        <v>0</v>
      </c>
      <c r="S11" s="5">
        <v>187.5</v>
      </c>
      <c r="T11" s="5">
        <v>11045.782499999999</v>
      </c>
      <c r="U11" s="5">
        <v>0</v>
      </c>
      <c r="V11" s="5">
        <v>11045.782499999999</v>
      </c>
      <c r="W11" s="4" t="s">
        <v>569</v>
      </c>
    </row>
    <row r="12" spans="1:26">
      <c r="A12" s="4" t="s">
        <v>7</v>
      </c>
      <c r="B12" s="4" t="s">
        <v>17</v>
      </c>
      <c r="C12" s="4" t="s">
        <v>18</v>
      </c>
      <c r="D12" s="4" t="s">
        <v>371</v>
      </c>
      <c r="E12" s="4" t="s">
        <v>466</v>
      </c>
      <c r="F12" s="4" t="s">
        <v>504</v>
      </c>
      <c r="G12" s="4" t="s">
        <v>530</v>
      </c>
      <c r="H12" s="4" t="s">
        <v>404</v>
      </c>
      <c r="I12" s="4" t="s">
        <v>281</v>
      </c>
      <c r="J12" s="88" t="s">
        <v>282</v>
      </c>
      <c r="K12" s="90">
        <f t="shared" si="2"/>
        <v>43313</v>
      </c>
      <c r="L12" s="88" t="s">
        <v>283</v>
      </c>
      <c r="M12" s="88">
        <f t="shared" si="0"/>
        <v>43314</v>
      </c>
      <c r="N12" s="85">
        <f t="shared" si="1"/>
        <v>1</v>
      </c>
      <c r="O12" s="4" t="s">
        <v>157</v>
      </c>
      <c r="P12" s="5">
        <v>51.772500000000001</v>
      </c>
      <c r="Q12" s="5">
        <v>1221</v>
      </c>
      <c r="R12" s="5">
        <v>0</v>
      </c>
      <c r="S12" s="5">
        <v>90000</v>
      </c>
      <c r="T12" s="5">
        <v>151695.45000000001</v>
      </c>
      <c r="U12" s="5">
        <v>18795</v>
      </c>
      <c r="V12" s="5">
        <v>132900.45000000001</v>
      </c>
      <c r="W12" s="4" t="s">
        <v>560</v>
      </c>
      <c r="Y12" s="83"/>
    </row>
    <row r="13" spans="1:26">
      <c r="A13" s="4" t="s">
        <v>7</v>
      </c>
      <c r="B13" s="4" t="s">
        <v>17</v>
      </c>
      <c r="C13" s="4" t="s">
        <v>18</v>
      </c>
      <c r="D13" s="4" t="s">
        <v>309</v>
      </c>
      <c r="E13" s="4" t="s">
        <v>467</v>
      </c>
      <c r="F13" s="4" t="s">
        <v>486</v>
      </c>
      <c r="G13" s="4" t="s">
        <v>520</v>
      </c>
      <c r="H13" s="4" t="s">
        <v>408</v>
      </c>
      <c r="I13" s="4" t="s">
        <v>21</v>
      </c>
      <c r="J13" s="88" t="s">
        <v>290</v>
      </c>
      <c r="K13" s="90">
        <f t="shared" si="2"/>
        <v>43313</v>
      </c>
      <c r="L13" s="88" t="s">
        <v>21</v>
      </c>
      <c r="M13" s="88">
        <f t="shared" si="0"/>
        <v>43314</v>
      </c>
      <c r="N13" s="85">
        <f t="shared" si="1"/>
        <v>1</v>
      </c>
      <c r="O13" s="4" t="s">
        <v>139</v>
      </c>
      <c r="P13" s="5">
        <v>984.47159999999997</v>
      </c>
      <c r="Q13" s="5">
        <v>1665.8999999999999</v>
      </c>
      <c r="R13" s="5">
        <v>0</v>
      </c>
      <c r="S13" s="5">
        <v>68625</v>
      </c>
      <c r="T13" s="5">
        <v>90000</v>
      </c>
      <c r="U13" s="5">
        <v>90000</v>
      </c>
      <c r="V13" s="5">
        <v>0</v>
      </c>
      <c r="W13" s="4" t="s">
        <v>541</v>
      </c>
      <c r="Y13" s="83"/>
    </row>
    <row r="14" spans="1:26">
      <c r="A14" s="4" t="s">
        <v>7</v>
      </c>
      <c r="B14" s="4" t="s">
        <v>17</v>
      </c>
      <c r="C14" s="4" t="s">
        <v>18</v>
      </c>
      <c r="D14" s="4" t="s">
        <v>392</v>
      </c>
      <c r="E14" s="4" t="s">
        <v>466</v>
      </c>
      <c r="F14" s="4" t="s">
        <v>517</v>
      </c>
      <c r="G14" s="4" t="s">
        <v>534</v>
      </c>
      <c r="H14" s="4" t="s">
        <v>460</v>
      </c>
      <c r="I14" s="4" t="s">
        <v>208</v>
      </c>
      <c r="J14" s="88" t="s">
        <v>209</v>
      </c>
      <c r="K14" s="90">
        <f t="shared" si="2"/>
        <v>43313</v>
      </c>
      <c r="L14" s="88" t="s">
        <v>207</v>
      </c>
      <c r="M14" s="88">
        <f t="shared" si="0"/>
        <v>43313</v>
      </c>
      <c r="N14" s="85">
        <f t="shared" si="1"/>
        <v>0</v>
      </c>
      <c r="O14" s="4" t="s">
        <v>157</v>
      </c>
      <c r="P14" s="5">
        <v>154.59359999999998</v>
      </c>
      <c r="Q14" s="5">
        <v>0</v>
      </c>
      <c r="R14" s="5">
        <v>16815</v>
      </c>
      <c r="S14" s="5">
        <v>2625</v>
      </c>
      <c r="T14" s="5">
        <v>85163.557499999995</v>
      </c>
      <c r="U14" s="5">
        <v>0</v>
      </c>
      <c r="V14" s="5">
        <v>85163.557499999995</v>
      </c>
      <c r="W14" s="4" t="s">
        <v>568</v>
      </c>
      <c r="Y14" s="83"/>
    </row>
    <row r="15" spans="1:26">
      <c r="A15" s="4" t="s">
        <v>7</v>
      </c>
      <c r="B15" s="4" t="s">
        <v>8</v>
      </c>
      <c r="C15" s="4" t="s">
        <v>9</v>
      </c>
      <c r="D15" s="4" t="s">
        <v>387</v>
      </c>
      <c r="E15" s="4" t="s">
        <v>462</v>
      </c>
      <c r="F15" s="4" t="s">
        <v>516</v>
      </c>
      <c r="G15" s="4" t="s">
        <v>534</v>
      </c>
      <c r="H15" s="4" t="s">
        <v>449</v>
      </c>
      <c r="I15" s="4" t="s">
        <v>78</v>
      </c>
      <c r="J15" s="88" t="s">
        <v>79</v>
      </c>
      <c r="K15" s="90">
        <f t="shared" si="2"/>
        <v>43313</v>
      </c>
      <c r="L15" s="88" t="s">
        <v>80</v>
      </c>
      <c r="M15" s="88">
        <f t="shared" si="0"/>
        <v>43313</v>
      </c>
      <c r="N15" s="85">
        <f t="shared" si="1"/>
        <v>0</v>
      </c>
      <c r="O15" s="4" t="s">
        <v>47</v>
      </c>
      <c r="P15" s="5">
        <v>138.11339999999998</v>
      </c>
      <c r="Q15" s="5">
        <v>975.44999999999993</v>
      </c>
      <c r="R15" s="5">
        <v>2658.75</v>
      </c>
      <c r="S15" s="5">
        <v>684.375</v>
      </c>
      <c r="T15" s="5">
        <v>130559.32500000001</v>
      </c>
      <c r="U15" s="5">
        <v>8011.5</v>
      </c>
      <c r="V15" s="5">
        <v>122547.82500000001</v>
      </c>
      <c r="Y15" s="8" t="s">
        <v>633</v>
      </c>
      <c r="Z15" s="6">
        <v>2</v>
      </c>
    </row>
    <row r="16" spans="1:26">
      <c r="A16" s="4" t="s">
        <v>7</v>
      </c>
      <c r="B16" s="4" t="s">
        <v>8</v>
      </c>
      <c r="C16" s="4" t="s">
        <v>9</v>
      </c>
      <c r="D16" s="4" t="s">
        <v>349</v>
      </c>
      <c r="E16" s="4" t="s">
        <v>462</v>
      </c>
      <c r="F16" s="4" t="s">
        <v>503</v>
      </c>
      <c r="G16" s="4" t="s">
        <v>530</v>
      </c>
      <c r="H16" s="4" t="s">
        <v>438</v>
      </c>
      <c r="I16" s="4" t="s">
        <v>118</v>
      </c>
      <c r="J16" s="88" t="s">
        <v>119</v>
      </c>
      <c r="K16" s="90">
        <f t="shared" si="2"/>
        <v>43313</v>
      </c>
      <c r="L16" s="88" t="s">
        <v>120</v>
      </c>
      <c r="M16" s="88">
        <f t="shared" si="0"/>
        <v>43314</v>
      </c>
      <c r="N16" s="85">
        <f t="shared" si="1"/>
        <v>1</v>
      </c>
      <c r="O16" s="4" t="s">
        <v>13</v>
      </c>
      <c r="P16" s="5">
        <v>0</v>
      </c>
      <c r="Q16" s="5">
        <v>41266.5</v>
      </c>
      <c r="R16" s="5">
        <v>0</v>
      </c>
      <c r="S16" s="5">
        <v>3750</v>
      </c>
      <c r="T16" s="5">
        <v>135016.5</v>
      </c>
      <c r="U16" s="5">
        <v>0</v>
      </c>
      <c r="V16" s="5">
        <v>135016.5</v>
      </c>
      <c r="Y16" s="91" t="s">
        <v>634</v>
      </c>
      <c r="Z16" s="6"/>
    </row>
    <row r="17" spans="1:26">
      <c r="A17" s="4" t="s">
        <v>7</v>
      </c>
      <c r="B17" s="4" t="s">
        <v>8</v>
      </c>
      <c r="C17" s="4" t="s">
        <v>9</v>
      </c>
      <c r="D17" s="4" t="s">
        <v>374</v>
      </c>
      <c r="E17" s="4" t="s">
        <v>462</v>
      </c>
      <c r="F17" s="4" t="s">
        <v>514</v>
      </c>
      <c r="G17" s="4" t="s">
        <v>532</v>
      </c>
      <c r="H17" s="4" t="s">
        <v>450</v>
      </c>
      <c r="I17" s="4" t="s">
        <v>81</v>
      </c>
      <c r="J17" s="88" t="s">
        <v>82</v>
      </c>
      <c r="K17" s="90">
        <f t="shared" si="2"/>
        <v>43313</v>
      </c>
      <c r="L17" s="88" t="s">
        <v>83</v>
      </c>
      <c r="M17" s="88">
        <f t="shared" si="0"/>
        <v>43313</v>
      </c>
      <c r="N17" s="85">
        <f t="shared" si="1"/>
        <v>0</v>
      </c>
      <c r="O17" s="4" t="s">
        <v>47</v>
      </c>
      <c r="P17" s="5">
        <v>85.679999999999993</v>
      </c>
      <c r="Q17" s="5">
        <v>0</v>
      </c>
      <c r="R17" s="5">
        <v>7443.75</v>
      </c>
      <c r="S17" s="5">
        <v>215.625</v>
      </c>
      <c r="T17" s="5">
        <v>19292.13</v>
      </c>
      <c r="U17" s="5">
        <v>621</v>
      </c>
      <c r="V17" s="5">
        <v>18671.13</v>
      </c>
      <c r="Y17" s="92">
        <v>0</v>
      </c>
      <c r="Z17" s="6">
        <f t="array" ref="Z17:Z35">FREQUENCY(N:N,Y17:Y35)</f>
        <v>10</v>
      </c>
    </row>
    <row r="18" spans="1:26">
      <c r="A18" s="4" t="s">
        <v>7</v>
      </c>
      <c r="B18" s="4" t="s">
        <v>8</v>
      </c>
      <c r="C18" s="4" t="s">
        <v>9</v>
      </c>
      <c r="D18" s="4" t="s">
        <v>304</v>
      </c>
      <c r="E18" s="4" t="s">
        <v>462</v>
      </c>
      <c r="F18" s="4" t="s">
        <v>486</v>
      </c>
      <c r="G18" s="4" t="s">
        <v>520</v>
      </c>
      <c r="H18" s="4" t="s">
        <v>404</v>
      </c>
      <c r="I18" s="4" t="s">
        <v>130</v>
      </c>
      <c r="J18" s="88" t="s">
        <v>131</v>
      </c>
      <c r="K18" s="90">
        <f t="shared" si="2"/>
        <v>43314</v>
      </c>
      <c r="L18" s="88" t="s">
        <v>132</v>
      </c>
      <c r="M18" s="88">
        <f t="shared" si="0"/>
        <v>43314</v>
      </c>
      <c r="N18" s="85">
        <f t="shared" si="1"/>
        <v>0</v>
      </c>
      <c r="O18" s="4" t="s">
        <v>102</v>
      </c>
      <c r="P18" s="5">
        <v>240.81960000000001</v>
      </c>
      <c r="Q18" s="5">
        <v>0</v>
      </c>
      <c r="R18" s="5">
        <v>10740</v>
      </c>
      <c r="S18" s="5">
        <v>30375</v>
      </c>
      <c r="T18" s="5">
        <v>75516.299999999988</v>
      </c>
      <c r="U18" s="5">
        <v>75516</v>
      </c>
      <c r="V18" s="5">
        <v>0.29999999998835847</v>
      </c>
      <c r="W18" s="4" t="s">
        <v>540</v>
      </c>
      <c r="Y18" s="92">
        <f>Y17+$Z$15</f>
        <v>2</v>
      </c>
      <c r="Z18" s="6">
        <v>49</v>
      </c>
    </row>
    <row r="19" spans="1:26">
      <c r="A19" s="4" t="s">
        <v>23</v>
      </c>
      <c r="B19" s="4" t="s">
        <v>17</v>
      </c>
      <c r="C19" s="4" t="s">
        <v>18</v>
      </c>
      <c r="D19" s="4" t="s">
        <v>333</v>
      </c>
      <c r="E19" s="4" t="s">
        <v>463</v>
      </c>
      <c r="F19" s="4" t="s">
        <v>497</v>
      </c>
      <c r="G19" s="4" t="s">
        <v>527</v>
      </c>
      <c r="H19" s="4" t="s">
        <v>426</v>
      </c>
      <c r="I19" s="4" t="s">
        <v>36</v>
      </c>
      <c r="J19" s="88" t="s">
        <v>37</v>
      </c>
      <c r="K19" s="90">
        <f t="shared" si="2"/>
        <v>43285</v>
      </c>
      <c r="L19" s="88" t="s">
        <v>38</v>
      </c>
      <c r="M19" s="88">
        <f t="shared" si="0"/>
        <v>43314</v>
      </c>
      <c r="N19" s="85">
        <f t="shared" si="1"/>
        <v>29</v>
      </c>
      <c r="O19" s="4" t="s">
        <v>13</v>
      </c>
      <c r="P19" s="5">
        <v>57.12</v>
      </c>
      <c r="Q19" s="5">
        <v>92.887499999999989</v>
      </c>
      <c r="R19" s="5">
        <v>63.75</v>
      </c>
      <c r="S19" s="5">
        <v>4425</v>
      </c>
      <c r="T19" s="5">
        <v>7500</v>
      </c>
      <c r="U19" s="5">
        <v>7500</v>
      </c>
      <c r="V19" s="5">
        <v>0</v>
      </c>
      <c r="W19" s="4" t="s">
        <v>545</v>
      </c>
      <c r="Y19" s="92">
        <f t="shared" ref="Y19:Y35" si="3">Y18+$Z$15</f>
        <v>4</v>
      </c>
      <c r="Z19" s="6">
        <v>19</v>
      </c>
    </row>
    <row r="20" spans="1:26">
      <c r="A20" s="4" t="s">
        <v>23</v>
      </c>
      <c r="B20" s="4" t="s">
        <v>17</v>
      </c>
      <c r="C20" s="4" t="s">
        <v>18</v>
      </c>
      <c r="D20" s="4" t="s">
        <v>330</v>
      </c>
      <c r="E20" s="4" t="s">
        <v>463</v>
      </c>
      <c r="F20" s="4" t="s">
        <v>497</v>
      </c>
      <c r="G20" s="4" t="s">
        <v>527</v>
      </c>
      <c r="H20" s="4" t="s">
        <v>400</v>
      </c>
      <c r="I20" s="4" t="s">
        <v>27</v>
      </c>
      <c r="J20" s="88" t="s">
        <v>28</v>
      </c>
      <c r="K20" s="90">
        <f t="shared" si="2"/>
        <v>43288</v>
      </c>
      <c r="L20" s="88" t="s">
        <v>29</v>
      </c>
      <c r="M20" s="88">
        <f t="shared" si="0"/>
        <v>43313</v>
      </c>
      <c r="N20" s="85">
        <f t="shared" si="1"/>
        <v>25</v>
      </c>
      <c r="O20" s="4" t="s">
        <v>13</v>
      </c>
      <c r="P20" s="5">
        <v>43.3125</v>
      </c>
      <c r="Q20" s="5">
        <v>5.25</v>
      </c>
      <c r="R20" s="5">
        <v>7751.25</v>
      </c>
      <c r="S20" s="5">
        <v>17688.75</v>
      </c>
      <c r="T20" s="5">
        <v>150000</v>
      </c>
      <c r="U20" s="5">
        <v>150000</v>
      </c>
      <c r="V20" s="5">
        <v>0</v>
      </c>
      <c r="W20" s="4" t="s">
        <v>545</v>
      </c>
      <c r="Y20" s="92">
        <f t="shared" si="3"/>
        <v>6</v>
      </c>
      <c r="Z20" s="6">
        <v>16</v>
      </c>
    </row>
    <row r="21" spans="1:26">
      <c r="A21" s="4" t="s">
        <v>23</v>
      </c>
      <c r="B21" s="4" t="s">
        <v>17</v>
      </c>
      <c r="C21" s="4" t="s">
        <v>18</v>
      </c>
      <c r="D21" s="4" t="s">
        <v>332</v>
      </c>
      <c r="E21" s="4" t="s">
        <v>463</v>
      </c>
      <c r="F21" s="4" t="s">
        <v>497</v>
      </c>
      <c r="G21" s="4" t="s">
        <v>527</v>
      </c>
      <c r="H21" s="4" t="s">
        <v>423</v>
      </c>
      <c r="I21" s="4" t="s">
        <v>33</v>
      </c>
      <c r="J21" s="88" t="s">
        <v>34</v>
      </c>
      <c r="K21" s="90">
        <f t="shared" si="2"/>
        <v>43290</v>
      </c>
      <c r="L21" s="88" t="s">
        <v>35</v>
      </c>
      <c r="M21" s="88">
        <f t="shared" si="0"/>
        <v>43314</v>
      </c>
      <c r="N21" s="85">
        <f t="shared" si="1"/>
        <v>24</v>
      </c>
      <c r="O21" s="4" t="s">
        <v>13</v>
      </c>
      <c r="P21" s="5">
        <v>54.599999999999994</v>
      </c>
      <c r="Q21" s="5">
        <v>0</v>
      </c>
      <c r="R21" s="5">
        <v>926.25</v>
      </c>
      <c r="S21" s="5">
        <v>1263.75</v>
      </c>
      <c r="T21" s="5">
        <v>26250</v>
      </c>
      <c r="U21" s="5">
        <v>26250</v>
      </c>
      <c r="V21" s="5">
        <v>0</v>
      </c>
      <c r="W21" s="4" t="s">
        <v>545</v>
      </c>
      <c r="Y21" s="92">
        <f t="shared" si="3"/>
        <v>8</v>
      </c>
      <c r="Z21" s="6">
        <v>4</v>
      </c>
    </row>
    <row r="22" spans="1:26">
      <c r="A22" s="4" t="s">
        <v>23</v>
      </c>
      <c r="B22" s="4" t="s">
        <v>17</v>
      </c>
      <c r="C22" s="4" t="s">
        <v>18</v>
      </c>
      <c r="D22" s="4" t="s">
        <v>331</v>
      </c>
      <c r="E22" s="4" t="s">
        <v>463</v>
      </c>
      <c r="F22" s="4" t="s">
        <v>497</v>
      </c>
      <c r="G22" s="4" t="s">
        <v>527</v>
      </c>
      <c r="H22" s="4" t="s">
        <v>416</v>
      </c>
      <c r="I22" s="4" t="s">
        <v>30</v>
      </c>
      <c r="J22" s="88" t="s">
        <v>31</v>
      </c>
      <c r="K22" s="90">
        <f t="shared" si="2"/>
        <v>43292</v>
      </c>
      <c r="L22" s="88" t="s">
        <v>32</v>
      </c>
      <c r="M22" s="88">
        <f t="shared" si="0"/>
        <v>43314</v>
      </c>
      <c r="N22" s="85">
        <f t="shared" si="1"/>
        <v>22</v>
      </c>
      <c r="O22" s="4" t="s">
        <v>13</v>
      </c>
      <c r="P22" s="5">
        <v>264.7176</v>
      </c>
      <c r="Q22" s="5">
        <v>99</v>
      </c>
      <c r="R22" s="5">
        <v>191.25</v>
      </c>
      <c r="S22" s="5">
        <v>2613.75</v>
      </c>
      <c r="T22" s="5">
        <v>30000</v>
      </c>
      <c r="U22" s="5">
        <v>30000</v>
      </c>
      <c r="V22" s="5">
        <v>0</v>
      </c>
      <c r="W22" s="4" t="s">
        <v>545</v>
      </c>
      <c r="Y22" s="92">
        <f t="shared" si="3"/>
        <v>10</v>
      </c>
      <c r="Z22" s="6">
        <v>1</v>
      </c>
    </row>
    <row r="23" spans="1:26">
      <c r="A23" s="4" t="s">
        <v>7</v>
      </c>
      <c r="B23" s="4" t="s">
        <v>17</v>
      </c>
      <c r="C23" s="4" t="s">
        <v>18</v>
      </c>
      <c r="D23" s="4" t="s">
        <v>342</v>
      </c>
      <c r="E23" s="4" t="s">
        <v>472</v>
      </c>
      <c r="F23" s="4" t="s">
        <v>501</v>
      </c>
      <c r="G23" s="4" t="s">
        <v>529</v>
      </c>
      <c r="H23" s="4" t="s">
        <v>433</v>
      </c>
      <c r="I23" s="4" t="s">
        <v>291</v>
      </c>
      <c r="J23" s="88" t="s">
        <v>292</v>
      </c>
      <c r="K23" s="90">
        <f t="shared" si="2"/>
        <v>43295</v>
      </c>
      <c r="L23" s="88" t="s">
        <v>293</v>
      </c>
      <c r="M23" s="88">
        <f t="shared" si="0"/>
        <v>43313</v>
      </c>
      <c r="N23" s="85">
        <f t="shared" si="1"/>
        <v>18</v>
      </c>
      <c r="O23" s="4" t="s">
        <v>139</v>
      </c>
      <c r="P23" s="5">
        <v>0</v>
      </c>
      <c r="Q23" s="5">
        <v>82533</v>
      </c>
      <c r="R23" s="5">
        <v>0</v>
      </c>
      <c r="S23" s="5">
        <v>135000</v>
      </c>
      <c r="T23" s="5">
        <v>225033</v>
      </c>
      <c r="U23" s="5">
        <v>0</v>
      </c>
      <c r="V23" s="5">
        <v>225033</v>
      </c>
      <c r="W23" s="4" t="s">
        <v>547</v>
      </c>
      <c r="Y23" s="92">
        <f t="shared" si="3"/>
        <v>12</v>
      </c>
      <c r="Z23" s="6">
        <v>1</v>
      </c>
    </row>
    <row r="24" spans="1:26">
      <c r="A24" s="4" t="s">
        <v>7</v>
      </c>
      <c r="B24" s="4" t="s">
        <v>8</v>
      </c>
      <c r="C24" s="4" t="s">
        <v>9</v>
      </c>
      <c r="D24" s="4" t="s">
        <v>321</v>
      </c>
      <c r="E24" s="4" t="s">
        <v>462</v>
      </c>
      <c r="F24" s="4" t="s">
        <v>493</v>
      </c>
      <c r="G24" s="4" t="s">
        <v>524</v>
      </c>
      <c r="H24" s="4" t="s">
        <v>419</v>
      </c>
      <c r="I24" s="4" t="s">
        <v>93</v>
      </c>
      <c r="J24" s="88" t="s">
        <v>94</v>
      </c>
      <c r="K24" s="90">
        <f t="shared" si="2"/>
        <v>43296</v>
      </c>
      <c r="L24" s="88" t="s">
        <v>95</v>
      </c>
      <c r="M24" s="88">
        <f t="shared" si="0"/>
        <v>43313</v>
      </c>
      <c r="N24" s="85">
        <f t="shared" si="1"/>
        <v>17</v>
      </c>
      <c r="O24" s="4" t="s">
        <v>13</v>
      </c>
      <c r="P24" s="5">
        <v>0</v>
      </c>
      <c r="Q24" s="5">
        <v>24.674999999999997</v>
      </c>
      <c r="R24" s="5">
        <v>0</v>
      </c>
      <c r="S24" s="5">
        <v>1125</v>
      </c>
      <c r="T24" s="5">
        <v>7500</v>
      </c>
      <c r="U24" s="5">
        <v>7500</v>
      </c>
      <c r="V24" s="5">
        <v>0</v>
      </c>
      <c r="Y24" s="92">
        <f t="shared" si="3"/>
        <v>14</v>
      </c>
      <c r="Z24" s="6">
        <v>0</v>
      </c>
    </row>
    <row r="25" spans="1:26">
      <c r="A25" s="4" t="s">
        <v>7</v>
      </c>
      <c r="B25" s="4" t="s">
        <v>17</v>
      </c>
      <c r="C25" s="4" t="s">
        <v>18</v>
      </c>
      <c r="D25" s="4" t="s">
        <v>341</v>
      </c>
      <c r="E25" s="4" t="s">
        <v>474</v>
      </c>
      <c r="F25" s="4" t="s">
        <v>502</v>
      </c>
      <c r="G25" s="4" t="s">
        <v>529</v>
      </c>
      <c r="H25" s="4" t="s">
        <v>432</v>
      </c>
      <c r="I25" s="4" t="s">
        <v>287</v>
      </c>
      <c r="J25" s="88" t="s">
        <v>288</v>
      </c>
      <c r="K25" s="90">
        <f t="shared" si="2"/>
        <v>43302</v>
      </c>
      <c r="L25" s="88" t="s">
        <v>289</v>
      </c>
      <c r="M25" s="88">
        <f t="shared" si="0"/>
        <v>43314</v>
      </c>
      <c r="N25" s="85">
        <f t="shared" si="1"/>
        <v>12</v>
      </c>
      <c r="O25" s="4" t="s">
        <v>22</v>
      </c>
      <c r="P25" s="5">
        <v>0</v>
      </c>
      <c r="Q25" s="5">
        <v>0</v>
      </c>
      <c r="R25" s="5">
        <v>0</v>
      </c>
      <c r="S25" s="5">
        <v>433.125</v>
      </c>
      <c r="T25" s="5">
        <v>433.125</v>
      </c>
      <c r="U25" s="5">
        <v>433.5</v>
      </c>
      <c r="V25" s="5">
        <v>-0.375</v>
      </c>
      <c r="Y25" s="92">
        <f t="shared" si="3"/>
        <v>16</v>
      </c>
      <c r="Z25" s="6">
        <v>0</v>
      </c>
    </row>
    <row r="26" spans="1:26">
      <c r="A26" s="4" t="s">
        <v>7</v>
      </c>
      <c r="B26" s="4" t="s">
        <v>17</v>
      </c>
      <c r="C26" s="4" t="s">
        <v>18</v>
      </c>
      <c r="D26" s="4" t="s">
        <v>337</v>
      </c>
      <c r="E26" s="4" t="s">
        <v>476</v>
      </c>
      <c r="F26" s="4" t="s">
        <v>500</v>
      </c>
      <c r="G26" s="4" t="s">
        <v>528</v>
      </c>
      <c r="H26" s="4" t="s">
        <v>428</v>
      </c>
      <c r="I26" s="4" t="s">
        <v>190</v>
      </c>
      <c r="J26" s="88" t="s">
        <v>191</v>
      </c>
      <c r="K26" s="90">
        <f t="shared" si="2"/>
        <v>43303</v>
      </c>
      <c r="L26" s="88" t="s">
        <v>192</v>
      </c>
      <c r="M26" s="88">
        <f t="shared" si="0"/>
        <v>43313</v>
      </c>
      <c r="N26" s="85">
        <f t="shared" si="1"/>
        <v>10</v>
      </c>
      <c r="O26" s="4" t="s">
        <v>22</v>
      </c>
      <c r="P26" s="5">
        <v>0</v>
      </c>
      <c r="Q26" s="5">
        <v>0</v>
      </c>
      <c r="R26" s="5">
        <v>0</v>
      </c>
      <c r="S26" s="5">
        <v>658.125</v>
      </c>
      <c r="T26" s="5">
        <v>658.125</v>
      </c>
      <c r="U26" s="5">
        <v>658.5</v>
      </c>
      <c r="V26" s="5">
        <v>-0.375</v>
      </c>
      <c r="W26" s="4" t="s">
        <v>546</v>
      </c>
      <c r="Y26" s="92">
        <f t="shared" si="3"/>
        <v>18</v>
      </c>
      <c r="Z26" s="6">
        <v>2</v>
      </c>
    </row>
    <row r="27" spans="1:26">
      <c r="A27" s="4" t="s">
        <v>7</v>
      </c>
      <c r="B27" s="4" t="s">
        <v>17</v>
      </c>
      <c r="C27" s="4" t="s">
        <v>18</v>
      </c>
      <c r="D27" s="4" t="s">
        <v>353</v>
      </c>
      <c r="E27" s="4" t="s">
        <v>466</v>
      </c>
      <c r="F27" s="4" t="s">
        <v>508</v>
      </c>
      <c r="G27" s="4" t="s">
        <v>530</v>
      </c>
      <c r="H27" s="4" t="s">
        <v>425</v>
      </c>
      <c r="I27" s="4" t="s">
        <v>154</v>
      </c>
      <c r="J27" s="88" t="s">
        <v>155</v>
      </c>
      <c r="K27" s="90">
        <f t="shared" si="2"/>
        <v>43305</v>
      </c>
      <c r="L27" s="88" t="s">
        <v>156</v>
      </c>
      <c r="M27" s="88">
        <f t="shared" si="0"/>
        <v>43313</v>
      </c>
      <c r="N27" s="85">
        <f t="shared" si="1"/>
        <v>8</v>
      </c>
      <c r="O27" s="4" t="s">
        <v>157</v>
      </c>
      <c r="P27" s="5">
        <v>1871.9759999999999</v>
      </c>
      <c r="Q27" s="5">
        <v>0</v>
      </c>
      <c r="R27" s="5">
        <v>43117.5</v>
      </c>
      <c r="S27" s="5">
        <v>5700</v>
      </c>
      <c r="T27" s="5">
        <v>112083.39749999999</v>
      </c>
      <c r="U27" s="5">
        <v>3432.75</v>
      </c>
      <c r="V27" s="5">
        <v>108650.64749999999</v>
      </c>
      <c r="W27" s="4" t="s">
        <v>553</v>
      </c>
      <c r="Y27" s="92">
        <f t="shared" si="3"/>
        <v>20</v>
      </c>
      <c r="Z27" s="6">
        <v>0</v>
      </c>
    </row>
    <row r="28" spans="1:26">
      <c r="A28" s="4" t="s">
        <v>7</v>
      </c>
      <c r="B28" s="4" t="s">
        <v>17</v>
      </c>
      <c r="C28" s="4" t="s">
        <v>18</v>
      </c>
      <c r="D28" s="4" t="s">
        <v>395</v>
      </c>
      <c r="E28" s="4" t="s">
        <v>472</v>
      </c>
      <c r="F28" s="4" t="s">
        <v>518</v>
      </c>
      <c r="G28" s="4" t="s">
        <v>535</v>
      </c>
      <c r="H28" s="4" t="s">
        <v>461</v>
      </c>
      <c r="I28" s="4" t="s">
        <v>220</v>
      </c>
      <c r="J28" s="88" t="s">
        <v>223</v>
      </c>
      <c r="K28" s="90">
        <f t="shared" si="2"/>
        <v>43306</v>
      </c>
      <c r="L28" s="88" t="s">
        <v>224</v>
      </c>
      <c r="M28" s="88">
        <f t="shared" si="0"/>
        <v>43313</v>
      </c>
      <c r="N28" s="85">
        <f t="shared" si="1"/>
        <v>7</v>
      </c>
      <c r="O28" s="4" t="s">
        <v>139</v>
      </c>
      <c r="P28" s="5">
        <v>956.28967499999999</v>
      </c>
      <c r="Q28" s="5">
        <v>0</v>
      </c>
      <c r="R28" s="5">
        <v>22272.75</v>
      </c>
      <c r="S28" s="5">
        <v>1599</v>
      </c>
      <c r="T28" s="5">
        <v>270290.28749999998</v>
      </c>
      <c r="U28" s="5">
        <v>0</v>
      </c>
      <c r="V28" s="5">
        <v>270290.28749999998</v>
      </c>
      <c r="W28" s="4" t="s">
        <v>571</v>
      </c>
      <c r="Y28" s="92">
        <f t="shared" si="3"/>
        <v>22</v>
      </c>
      <c r="Z28" s="6">
        <v>1</v>
      </c>
    </row>
    <row r="29" spans="1:26">
      <c r="A29" s="4" t="s">
        <v>7</v>
      </c>
      <c r="B29" s="4" t="s">
        <v>17</v>
      </c>
      <c r="C29" s="4" t="s">
        <v>18</v>
      </c>
      <c r="D29" s="4" t="s">
        <v>323</v>
      </c>
      <c r="E29" s="4" t="s">
        <v>474</v>
      </c>
      <c r="F29" s="4" t="s">
        <v>493</v>
      </c>
      <c r="G29" s="4" t="s">
        <v>524</v>
      </c>
      <c r="H29" s="4" t="s">
        <v>420</v>
      </c>
      <c r="I29" s="4" t="s">
        <v>187</v>
      </c>
      <c r="J29" s="88" t="s">
        <v>188</v>
      </c>
      <c r="K29" s="90">
        <f t="shared" si="2"/>
        <v>43306</v>
      </c>
      <c r="L29" s="88" t="s">
        <v>189</v>
      </c>
      <c r="M29" s="88">
        <f t="shared" si="0"/>
        <v>43313</v>
      </c>
      <c r="N29" s="85">
        <f t="shared" si="1"/>
        <v>7</v>
      </c>
      <c r="O29" s="4" t="s">
        <v>22</v>
      </c>
      <c r="P29" s="5">
        <v>111.13560000000001</v>
      </c>
      <c r="Q29" s="5">
        <v>0</v>
      </c>
      <c r="R29" s="5">
        <v>49980</v>
      </c>
      <c r="S29" s="5">
        <v>10632.75</v>
      </c>
      <c r="T29" s="5">
        <v>252000</v>
      </c>
      <c r="U29" s="5">
        <v>252000</v>
      </c>
      <c r="V29" s="5">
        <v>0</v>
      </c>
      <c r="Y29" s="92">
        <f t="shared" si="3"/>
        <v>24</v>
      </c>
      <c r="Z29" s="6">
        <v>1</v>
      </c>
    </row>
    <row r="30" spans="1:26">
      <c r="A30" s="4" t="s">
        <v>7</v>
      </c>
      <c r="B30" s="4" t="s">
        <v>17</v>
      </c>
      <c r="C30" s="4" t="s">
        <v>18</v>
      </c>
      <c r="D30" s="4" t="s">
        <v>318</v>
      </c>
      <c r="E30" s="4" t="s">
        <v>472</v>
      </c>
      <c r="F30" s="4" t="s">
        <v>491</v>
      </c>
      <c r="G30" s="4" t="s">
        <v>523</v>
      </c>
      <c r="H30" s="4" t="s">
        <v>414</v>
      </c>
      <c r="I30" s="4" t="s">
        <v>255</v>
      </c>
      <c r="J30" s="88" t="s">
        <v>256</v>
      </c>
      <c r="K30" s="90">
        <f t="shared" si="2"/>
        <v>43306</v>
      </c>
      <c r="L30" s="88" t="s">
        <v>257</v>
      </c>
      <c r="M30" s="88">
        <f>DATE(VALUE(MID(L30,7,4)), VALUE(MID(L30,4,2)), VALUE(LEFT(L30,2)))</f>
        <v>43314</v>
      </c>
      <c r="N30" s="85">
        <f t="shared" si="1"/>
        <v>8</v>
      </c>
      <c r="O30" s="4" t="s">
        <v>139</v>
      </c>
      <c r="P30" s="5">
        <v>0</v>
      </c>
      <c r="Q30" s="5">
        <v>36</v>
      </c>
      <c r="R30" s="5">
        <v>0</v>
      </c>
      <c r="S30" s="5">
        <v>1125</v>
      </c>
      <c r="T30" s="5">
        <v>6000</v>
      </c>
      <c r="U30" s="5">
        <v>6000</v>
      </c>
      <c r="V30" s="5">
        <v>0</v>
      </c>
      <c r="Y30" s="92">
        <f t="shared" si="3"/>
        <v>26</v>
      </c>
      <c r="Z30" s="6">
        <v>1</v>
      </c>
    </row>
    <row r="31" spans="1:26">
      <c r="A31" s="4" t="s">
        <v>7</v>
      </c>
      <c r="B31" s="4" t="s">
        <v>17</v>
      </c>
      <c r="C31" s="4" t="s">
        <v>18</v>
      </c>
      <c r="D31" s="4" t="s">
        <v>340</v>
      </c>
      <c r="E31" s="4" t="s">
        <v>472</v>
      </c>
      <c r="F31" s="4" t="s">
        <v>501</v>
      </c>
      <c r="G31" s="4" t="s">
        <v>529</v>
      </c>
      <c r="H31" s="4" t="s">
        <v>431</v>
      </c>
      <c r="I31" s="4" t="s">
        <v>203</v>
      </c>
      <c r="J31" s="88" t="s">
        <v>204</v>
      </c>
      <c r="K31" s="90">
        <f t="shared" si="2"/>
        <v>43307</v>
      </c>
      <c r="L31" s="88" t="s">
        <v>205</v>
      </c>
      <c r="M31" s="88">
        <f t="shared" si="0"/>
        <v>43313</v>
      </c>
      <c r="N31" s="85">
        <f t="shared" si="1"/>
        <v>6</v>
      </c>
      <c r="O31" s="4" t="s">
        <v>139</v>
      </c>
      <c r="P31" s="5">
        <v>0</v>
      </c>
      <c r="Q31" s="5">
        <v>0</v>
      </c>
      <c r="R31" s="5">
        <v>0</v>
      </c>
      <c r="S31" s="5">
        <v>1381.875</v>
      </c>
      <c r="T31" s="5">
        <v>1381.875</v>
      </c>
      <c r="U31" s="5">
        <v>1382.25</v>
      </c>
      <c r="V31" s="5">
        <v>-0.375</v>
      </c>
      <c r="Y31" s="92">
        <f t="shared" si="3"/>
        <v>28</v>
      </c>
      <c r="Z31" s="6">
        <v>0</v>
      </c>
    </row>
    <row r="32" spans="1:26">
      <c r="A32" s="4" t="s">
        <v>7</v>
      </c>
      <c r="B32" s="4" t="s">
        <v>8</v>
      </c>
      <c r="C32" s="4" t="s">
        <v>9</v>
      </c>
      <c r="D32" s="4" t="s">
        <v>310</v>
      </c>
      <c r="E32" s="4" t="s">
        <v>462</v>
      </c>
      <c r="F32" s="4" t="s">
        <v>489</v>
      </c>
      <c r="G32" s="4" t="s">
        <v>521</v>
      </c>
      <c r="H32" s="4" t="s">
        <v>409</v>
      </c>
      <c r="I32" s="4" t="s">
        <v>42</v>
      </c>
      <c r="J32" s="88" t="s">
        <v>43</v>
      </c>
      <c r="K32" s="90">
        <f t="shared" si="2"/>
        <v>43307</v>
      </c>
      <c r="L32" s="88" t="s">
        <v>44</v>
      </c>
      <c r="M32" s="88">
        <f t="shared" si="0"/>
        <v>43313</v>
      </c>
      <c r="N32" s="85">
        <f t="shared" si="1"/>
        <v>6</v>
      </c>
      <c r="O32" s="4" t="s">
        <v>13</v>
      </c>
      <c r="P32" s="5">
        <v>0</v>
      </c>
      <c r="Q32" s="5">
        <v>0</v>
      </c>
      <c r="R32" s="5">
        <v>0</v>
      </c>
      <c r="S32" s="5">
        <v>9750</v>
      </c>
      <c r="T32" s="5">
        <v>9750</v>
      </c>
      <c r="U32" s="5">
        <v>9750</v>
      </c>
      <c r="V32" s="5">
        <v>0</v>
      </c>
      <c r="Y32" s="92">
        <f t="shared" si="3"/>
        <v>30</v>
      </c>
      <c r="Z32" s="6">
        <v>1</v>
      </c>
    </row>
    <row r="33" spans="1:26">
      <c r="A33" s="4" t="s">
        <v>7</v>
      </c>
      <c r="B33" s="4" t="s">
        <v>17</v>
      </c>
      <c r="C33" s="4" t="s">
        <v>18</v>
      </c>
      <c r="D33" s="4" t="s">
        <v>299</v>
      </c>
      <c r="E33" s="4" t="s">
        <v>463</v>
      </c>
      <c r="F33" s="4" t="s">
        <v>485</v>
      </c>
      <c r="G33" s="4" t="s">
        <v>519</v>
      </c>
      <c r="H33" s="4" t="s">
        <v>399</v>
      </c>
      <c r="I33" s="4" t="s">
        <v>233</v>
      </c>
      <c r="J33" s="88" t="s">
        <v>234</v>
      </c>
      <c r="K33" s="90">
        <f t="shared" si="2"/>
        <v>43307</v>
      </c>
      <c r="L33" s="88" t="s">
        <v>230</v>
      </c>
      <c r="M33" s="88">
        <f t="shared" si="0"/>
        <v>43313</v>
      </c>
      <c r="N33" s="85">
        <f t="shared" si="1"/>
        <v>6</v>
      </c>
      <c r="O33" s="4" t="s">
        <v>13</v>
      </c>
      <c r="P33" s="5">
        <v>0</v>
      </c>
      <c r="Q33" s="5">
        <v>0</v>
      </c>
      <c r="R33" s="5">
        <v>0</v>
      </c>
      <c r="S33" s="5">
        <v>9375</v>
      </c>
      <c r="T33" s="5">
        <v>9375</v>
      </c>
      <c r="U33" s="5">
        <v>0</v>
      </c>
      <c r="V33" s="5">
        <v>9375</v>
      </c>
      <c r="W33" s="4" t="s">
        <v>538</v>
      </c>
      <c r="Y33" s="92">
        <f>Y32+$Z$15</f>
        <v>32</v>
      </c>
      <c r="Z33" s="6">
        <v>0</v>
      </c>
    </row>
    <row r="34" spans="1:26">
      <c r="A34" s="4" t="s">
        <v>7</v>
      </c>
      <c r="B34" s="4" t="s">
        <v>17</v>
      </c>
      <c r="C34" s="4" t="s">
        <v>9</v>
      </c>
      <c r="D34" s="4" t="s">
        <v>339</v>
      </c>
      <c r="E34" s="4" t="s">
        <v>462</v>
      </c>
      <c r="F34" s="4" t="s">
        <v>502</v>
      </c>
      <c r="G34" s="4" t="s">
        <v>529</v>
      </c>
      <c r="H34" s="4" t="s">
        <v>430</v>
      </c>
      <c r="I34" s="4" t="s">
        <v>136</v>
      </c>
      <c r="J34" s="88" t="s">
        <v>137</v>
      </c>
      <c r="K34" s="90">
        <f t="shared" si="2"/>
        <v>43308</v>
      </c>
      <c r="L34" s="88" t="s">
        <v>138</v>
      </c>
      <c r="M34" s="88">
        <f t="shared" si="0"/>
        <v>43313</v>
      </c>
      <c r="N34" s="85">
        <f t="shared" si="1"/>
        <v>5</v>
      </c>
      <c r="O34" s="4" t="s">
        <v>139</v>
      </c>
      <c r="P34" s="5">
        <v>114.24</v>
      </c>
      <c r="Q34" s="5">
        <v>0</v>
      </c>
      <c r="R34" s="5">
        <v>3846.75</v>
      </c>
      <c r="S34" s="5">
        <v>802.5</v>
      </c>
      <c r="T34" s="5">
        <v>21965.872500000001</v>
      </c>
      <c r="U34" s="5">
        <v>0</v>
      </c>
      <c r="V34" s="5">
        <v>21965.872500000001</v>
      </c>
      <c r="Y34" s="92">
        <f t="shared" si="3"/>
        <v>34</v>
      </c>
      <c r="Z34" s="6">
        <v>1</v>
      </c>
    </row>
    <row r="35" spans="1:26">
      <c r="A35" s="4" t="s">
        <v>7</v>
      </c>
      <c r="B35" s="4" t="s">
        <v>17</v>
      </c>
      <c r="C35" s="4" t="s">
        <v>18</v>
      </c>
      <c r="D35" s="4" t="s">
        <v>339</v>
      </c>
      <c r="E35" s="4" t="s">
        <v>464</v>
      </c>
      <c r="F35" s="4" t="s">
        <v>502</v>
      </c>
      <c r="G35" s="4" t="s">
        <v>529</v>
      </c>
      <c r="H35" s="4" t="s">
        <v>430</v>
      </c>
      <c r="I35" s="4" t="s">
        <v>160</v>
      </c>
      <c r="J35" s="88" t="s">
        <v>137</v>
      </c>
      <c r="K35" s="90">
        <f t="shared" si="2"/>
        <v>43308</v>
      </c>
      <c r="L35" s="88" t="s">
        <v>138</v>
      </c>
      <c r="M35" s="88">
        <f t="shared" si="0"/>
        <v>43313</v>
      </c>
      <c r="N35" s="85">
        <f t="shared" si="1"/>
        <v>5</v>
      </c>
      <c r="O35" s="4" t="s">
        <v>139</v>
      </c>
      <c r="P35" s="5">
        <v>0</v>
      </c>
      <c r="Q35" s="5">
        <v>0</v>
      </c>
      <c r="R35" s="5">
        <v>0</v>
      </c>
      <c r="S35" s="5">
        <v>506.25</v>
      </c>
      <c r="T35" s="5">
        <v>506.25</v>
      </c>
      <c r="U35" s="5">
        <v>506.25</v>
      </c>
      <c r="V35" s="5">
        <v>0</v>
      </c>
      <c r="Y35" s="92">
        <f t="shared" si="3"/>
        <v>36</v>
      </c>
      <c r="Z35" s="6">
        <v>0</v>
      </c>
    </row>
    <row r="36" spans="1:26">
      <c r="A36" s="4" t="s">
        <v>7</v>
      </c>
      <c r="B36" s="4" t="s">
        <v>17</v>
      </c>
      <c r="C36" s="4" t="s">
        <v>9</v>
      </c>
      <c r="D36" s="4" t="s">
        <v>316</v>
      </c>
      <c r="E36" s="4" t="s">
        <v>470</v>
      </c>
      <c r="F36" s="4" t="s">
        <v>491</v>
      </c>
      <c r="G36" s="4" t="s">
        <v>523</v>
      </c>
      <c r="H36" s="4" t="s">
        <v>415</v>
      </c>
      <c r="I36" s="4" t="s">
        <v>143</v>
      </c>
      <c r="J36" s="88" t="s">
        <v>144</v>
      </c>
      <c r="K36" s="90">
        <f t="shared" si="2"/>
        <v>43308</v>
      </c>
      <c r="L36" s="88" t="s">
        <v>145</v>
      </c>
      <c r="M36" s="88">
        <f t="shared" si="0"/>
        <v>43313</v>
      </c>
      <c r="N36" s="85">
        <f t="shared" si="1"/>
        <v>5</v>
      </c>
      <c r="O36" s="4" t="s">
        <v>47</v>
      </c>
      <c r="P36" s="5">
        <v>48.513150000000003</v>
      </c>
      <c r="Q36" s="5">
        <v>3717.75</v>
      </c>
      <c r="R36" s="5">
        <v>0</v>
      </c>
      <c r="S36" s="5">
        <v>4800</v>
      </c>
      <c r="T36" s="5">
        <v>60725.497499999998</v>
      </c>
      <c r="U36" s="5">
        <v>60725.25</v>
      </c>
      <c r="V36" s="5">
        <v>0.24749999999767169</v>
      </c>
      <c r="Y36" s="92" t="s">
        <v>635</v>
      </c>
      <c r="Z36" s="6">
        <f>SUM(Z17:Z35)</f>
        <v>107</v>
      </c>
    </row>
    <row r="37" spans="1:26">
      <c r="A37" s="4" t="s">
        <v>7</v>
      </c>
      <c r="B37" s="4" t="s">
        <v>17</v>
      </c>
      <c r="C37" s="4" t="s">
        <v>18</v>
      </c>
      <c r="D37" s="4" t="s">
        <v>314</v>
      </c>
      <c r="E37" s="4" t="s">
        <v>469</v>
      </c>
      <c r="F37" s="4" t="s">
        <v>490</v>
      </c>
      <c r="G37" s="4" t="s">
        <v>522</v>
      </c>
      <c r="H37" s="4" t="s">
        <v>413</v>
      </c>
      <c r="I37" s="4" t="s">
        <v>78</v>
      </c>
      <c r="J37" s="88" t="s">
        <v>193</v>
      </c>
      <c r="K37" s="90">
        <f t="shared" si="2"/>
        <v>43308</v>
      </c>
      <c r="L37" s="88" t="s">
        <v>194</v>
      </c>
      <c r="M37" s="88">
        <f t="shared" si="0"/>
        <v>43313</v>
      </c>
      <c r="N37" s="85">
        <f t="shared" si="1"/>
        <v>5</v>
      </c>
      <c r="O37" s="4" t="s">
        <v>142</v>
      </c>
      <c r="P37" s="5">
        <v>57.12</v>
      </c>
      <c r="Q37" s="5">
        <v>0</v>
      </c>
      <c r="R37" s="5">
        <v>4623.75</v>
      </c>
      <c r="S37" s="5">
        <v>9000</v>
      </c>
      <c r="T37" s="5">
        <v>33750</v>
      </c>
      <c r="U37" s="5">
        <v>33750</v>
      </c>
      <c r="V37" s="5">
        <v>0</v>
      </c>
      <c r="W37" s="4" t="s">
        <v>544</v>
      </c>
      <c r="Y37" s="25"/>
    </row>
    <row r="38" spans="1:26">
      <c r="A38" s="4" t="s">
        <v>7</v>
      </c>
      <c r="B38" s="4" t="s">
        <v>17</v>
      </c>
      <c r="C38" s="4" t="s">
        <v>18</v>
      </c>
      <c r="D38" s="4" t="s">
        <v>308</v>
      </c>
      <c r="E38" s="4" t="s">
        <v>466</v>
      </c>
      <c r="F38" s="4" t="s">
        <v>488</v>
      </c>
      <c r="G38" s="4" t="s">
        <v>520</v>
      </c>
      <c r="H38" s="4" t="s">
        <v>407</v>
      </c>
      <c r="I38" s="4" t="s">
        <v>261</v>
      </c>
      <c r="J38" s="88" t="s">
        <v>262</v>
      </c>
      <c r="K38" s="90">
        <f t="shared" si="2"/>
        <v>43308</v>
      </c>
      <c r="L38" s="88" t="s">
        <v>263</v>
      </c>
      <c r="M38" s="88">
        <f t="shared" si="0"/>
        <v>43314</v>
      </c>
      <c r="N38" s="85">
        <f t="shared" si="1"/>
        <v>6</v>
      </c>
      <c r="O38" s="4" t="s">
        <v>157</v>
      </c>
      <c r="P38" s="5">
        <v>28.56</v>
      </c>
      <c r="Q38" s="5">
        <v>86.625</v>
      </c>
      <c r="R38" s="5">
        <v>0</v>
      </c>
      <c r="S38" s="5">
        <v>66000</v>
      </c>
      <c r="T38" s="5">
        <v>90028.132499999992</v>
      </c>
      <c r="U38" s="5">
        <v>90028.5</v>
      </c>
      <c r="V38" s="5">
        <v>-0.367500000007567</v>
      </c>
      <c r="W38" s="4" t="s">
        <v>543</v>
      </c>
      <c r="Y38" s="25"/>
    </row>
    <row r="39" spans="1:26">
      <c r="A39" s="4" t="s">
        <v>7</v>
      </c>
      <c r="B39" s="4" t="s">
        <v>17</v>
      </c>
      <c r="C39" s="4" t="s">
        <v>18</v>
      </c>
      <c r="D39" s="4" t="s">
        <v>325</v>
      </c>
      <c r="E39" s="4" t="s">
        <v>475</v>
      </c>
      <c r="F39" s="4" t="s">
        <v>492</v>
      </c>
      <c r="G39" s="4" t="s">
        <v>524</v>
      </c>
      <c r="H39" s="4" t="s">
        <v>422</v>
      </c>
      <c r="I39" s="4" t="s">
        <v>278</v>
      </c>
      <c r="J39" s="88" t="s">
        <v>279</v>
      </c>
      <c r="K39" s="90">
        <f t="shared" si="2"/>
        <v>43308</v>
      </c>
      <c r="L39" s="88" t="s">
        <v>280</v>
      </c>
      <c r="M39" s="88">
        <f t="shared" si="0"/>
        <v>43314</v>
      </c>
      <c r="N39" s="85">
        <f t="shared" si="1"/>
        <v>6</v>
      </c>
      <c r="O39" s="4" t="s">
        <v>22</v>
      </c>
      <c r="P39" s="5">
        <v>68.733900000000006</v>
      </c>
      <c r="Q39" s="5">
        <v>7.5</v>
      </c>
      <c r="R39" s="5">
        <v>0</v>
      </c>
      <c r="S39" s="5">
        <v>300</v>
      </c>
      <c r="T39" s="5">
        <v>75000</v>
      </c>
      <c r="U39" s="5">
        <v>75000</v>
      </c>
      <c r="V39" s="5">
        <v>0</v>
      </c>
      <c r="Y39" s="25"/>
    </row>
    <row r="40" spans="1:26">
      <c r="A40" s="4" t="s">
        <v>7</v>
      </c>
      <c r="B40" s="4" t="s">
        <v>8</v>
      </c>
      <c r="C40" s="4" t="s">
        <v>9</v>
      </c>
      <c r="D40" s="4" t="s">
        <v>380</v>
      </c>
      <c r="E40" s="4" t="s">
        <v>462</v>
      </c>
      <c r="F40" s="4" t="s">
        <v>515</v>
      </c>
      <c r="G40" s="4" t="s">
        <v>533</v>
      </c>
      <c r="H40" s="4" t="s">
        <v>408</v>
      </c>
      <c r="I40" s="4" t="s">
        <v>133</v>
      </c>
      <c r="J40" s="88" t="s">
        <v>134</v>
      </c>
      <c r="K40" s="90">
        <f t="shared" si="2"/>
        <v>43308</v>
      </c>
      <c r="L40" s="88" t="s">
        <v>135</v>
      </c>
      <c r="M40" s="88">
        <f t="shared" si="0"/>
        <v>43314</v>
      </c>
      <c r="N40" s="85">
        <f t="shared" si="1"/>
        <v>6</v>
      </c>
      <c r="O40" s="4" t="s">
        <v>13</v>
      </c>
      <c r="P40" s="5">
        <v>3.0576000000000003</v>
      </c>
      <c r="Q40" s="5">
        <v>1813.5</v>
      </c>
      <c r="R40" s="5">
        <v>1001.25</v>
      </c>
      <c r="S40" s="5">
        <v>75</v>
      </c>
      <c r="T40" s="5">
        <v>91995.854999999996</v>
      </c>
      <c r="U40" s="5">
        <v>7989</v>
      </c>
      <c r="V40" s="5">
        <v>84006.854999999996</v>
      </c>
      <c r="Y40" s="25"/>
    </row>
    <row r="41" spans="1:26">
      <c r="A41" s="4" t="s">
        <v>23</v>
      </c>
      <c r="B41" s="4" t="s">
        <v>17</v>
      </c>
      <c r="C41" s="4" t="s">
        <v>18</v>
      </c>
      <c r="D41" s="4" t="s">
        <v>329</v>
      </c>
      <c r="E41" s="4" t="s">
        <v>463</v>
      </c>
      <c r="F41" s="4" t="s">
        <v>497</v>
      </c>
      <c r="G41" s="4" t="s">
        <v>527</v>
      </c>
      <c r="H41" s="4" t="s">
        <v>425</v>
      </c>
      <c r="I41" s="4" t="s">
        <v>24</v>
      </c>
      <c r="J41" s="88" t="s">
        <v>25</v>
      </c>
      <c r="K41" s="90">
        <f t="shared" si="2"/>
        <v>43279</v>
      </c>
      <c r="L41" s="88" t="s">
        <v>26</v>
      </c>
      <c r="M41" s="88">
        <f t="shared" si="0"/>
        <v>43313</v>
      </c>
      <c r="N41" s="85">
        <f t="shared" si="1"/>
        <v>34</v>
      </c>
      <c r="O41" s="4" t="s">
        <v>13</v>
      </c>
      <c r="P41" s="5">
        <v>324.01619999999997</v>
      </c>
      <c r="Q41" s="5">
        <v>0</v>
      </c>
      <c r="R41" s="5">
        <v>5928.75</v>
      </c>
      <c r="S41" s="5">
        <v>11917.5</v>
      </c>
      <c r="T41" s="5">
        <v>71250</v>
      </c>
      <c r="U41" s="5">
        <v>71250</v>
      </c>
      <c r="V41" s="5">
        <v>0</v>
      </c>
      <c r="W41" s="4" t="s">
        <v>545</v>
      </c>
      <c r="Y41" s="25"/>
    </row>
    <row r="42" spans="1:26">
      <c r="A42" s="4" t="s">
        <v>7</v>
      </c>
      <c r="B42" s="4" t="s">
        <v>17</v>
      </c>
      <c r="C42" s="4" t="s">
        <v>18</v>
      </c>
      <c r="D42" s="4" t="s">
        <v>365</v>
      </c>
      <c r="E42" s="4" t="s">
        <v>466</v>
      </c>
      <c r="F42" s="4" t="s">
        <v>508</v>
      </c>
      <c r="G42" s="4" t="s">
        <v>530</v>
      </c>
      <c r="H42" s="4" t="s">
        <v>426</v>
      </c>
      <c r="I42" s="4" t="s">
        <v>241</v>
      </c>
      <c r="J42" s="88" t="s">
        <v>242</v>
      </c>
      <c r="K42" s="90">
        <f t="shared" si="2"/>
        <v>43309</v>
      </c>
      <c r="L42" s="88" t="s">
        <v>243</v>
      </c>
      <c r="M42" s="88">
        <f t="shared" si="0"/>
        <v>43314</v>
      </c>
      <c r="N42" s="85">
        <f t="shared" si="1"/>
        <v>5</v>
      </c>
      <c r="O42" s="4" t="s">
        <v>157</v>
      </c>
      <c r="P42" s="5">
        <v>0</v>
      </c>
      <c r="Q42" s="5">
        <v>0</v>
      </c>
      <c r="R42" s="5">
        <v>13128.75</v>
      </c>
      <c r="S42" s="5">
        <v>7111.125</v>
      </c>
      <c r="T42" s="5">
        <v>25749.375</v>
      </c>
      <c r="U42" s="5">
        <v>0</v>
      </c>
      <c r="V42" s="5">
        <v>25749.375</v>
      </c>
      <c r="W42" s="4" t="s">
        <v>560</v>
      </c>
      <c r="Y42" s="25"/>
    </row>
    <row r="43" spans="1:26">
      <c r="A43" s="4" t="s">
        <v>7</v>
      </c>
      <c r="B43" s="4" t="s">
        <v>17</v>
      </c>
      <c r="C43" s="4" t="s">
        <v>18</v>
      </c>
      <c r="D43" s="4" t="s">
        <v>355</v>
      </c>
      <c r="E43" s="4" t="s">
        <v>466</v>
      </c>
      <c r="F43" s="4" t="s">
        <v>511</v>
      </c>
      <c r="G43" s="4" t="s">
        <v>530</v>
      </c>
      <c r="H43" s="4" t="s">
        <v>440</v>
      </c>
      <c r="I43" s="4" t="s">
        <v>162</v>
      </c>
      <c r="J43" s="88" t="s">
        <v>163</v>
      </c>
      <c r="K43" s="90">
        <f t="shared" si="2"/>
        <v>43309</v>
      </c>
      <c r="L43" s="88" t="s">
        <v>164</v>
      </c>
      <c r="M43" s="88">
        <f t="shared" si="0"/>
        <v>43313</v>
      </c>
      <c r="N43" s="85">
        <f t="shared" si="1"/>
        <v>4</v>
      </c>
      <c r="O43" s="4" t="s">
        <v>165</v>
      </c>
      <c r="P43" s="5">
        <v>427.34999999999997</v>
      </c>
      <c r="Q43" s="5">
        <v>216.75</v>
      </c>
      <c r="R43" s="5">
        <v>24720</v>
      </c>
      <c r="S43" s="5">
        <v>50250</v>
      </c>
      <c r="T43" s="5">
        <v>630000.29249999998</v>
      </c>
      <c r="U43" s="5">
        <v>142500</v>
      </c>
      <c r="V43" s="5">
        <v>487500.29249999998</v>
      </c>
      <c r="W43" s="4" t="s">
        <v>555</v>
      </c>
    </row>
    <row r="44" spans="1:26">
      <c r="A44" s="4" t="s">
        <v>7</v>
      </c>
      <c r="B44" s="4" t="s">
        <v>8</v>
      </c>
      <c r="C44" s="4" t="s">
        <v>9</v>
      </c>
      <c r="D44" s="4" t="s">
        <v>315</v>
      </c>
      <c r="E44" s="4" t="s">
        <v>462</v>
      </c>
      <c r="F44" s="4" t="s">
        <v>491</v>
      </c>
      <c r="G44" s="4" t="s">
        <v>523</v>
      </c>
      <c r="H44" s="4" t="s">
        <v>414</v>
      </c>
      <c r="I44" s="4" t="s">
        <v>112</v>
      </c>
      <c r="J44" s="88" t="s">
        <v>113</v>
      </c>
      <c r="K44" s="90">
        <f t="shared" si="2"/>
        <v>43309</v>
      </c>
      <c r="L44" s="88" t="s">
        <v>114</v>
      </c>
      <c r="M44" s="88">
        <f t="shared" si="0"/>
        <v>43314</v>
      </c>
      <c r="N44" s="85">
        <f t="shared" si="1"/>
        <v>5</v>
      </c>
      <c r="O44" s="4" t="s">
        <v>102</v>
      </c>
      <c r="P44" s="5">
        <v>1.3440000000000001</v>
      </c>
      <c r="Q44" s="5">
        <v>0</v>
      </c>
      <c r="R44" s="5">
        <v>5823.75</v>
      </c>
      <c r="S44" s="5">
        <v>648.75</v>
      </c>
      <c r="T44" s="5">
        <v>37338.832500000004</v>
      </c>
      <c r="U44" s="5">
        <v>37338.75</v>
      </c>
      <c r="V44" s="5">
        <v>8.2500000004074536E-2</v>
      </c>
    </row>
    <row r="45" spans="1:26">
      <c r="A45" s="4" t="s">
        <v>7</v>
      </c>
      <c r="B45" s="4" t="s">
        <v>17</v>
      </c>
      <c r="C45" s="4" t="s">
        <v>18</v>
      </c>
      <c r="D45" s="4" t="s">
        <v>322</v>
      </c>
      <c r="E45" s="4" t="s">
        <v>473</v>
      </c>
      <c r="F45" s="4" t="s">
        <v>492</v>
      </c>
      <c r="G45" s="4" t="s">
        <v>524</v>
      </c>
      <c r="H45" s="4" t="s">
        <v>418</v>
      </c>
      <c r="I45" s="4" t="s">
        <v>181</v>
      </c>
      <c r="J45" s="88" t="s">
        <v>182</v>
      </c>
      <c r="K45" s="90">
        <f t="shared" si="2"/>
        <v>43309</v>
      </c>
      <c r="L45" s="88" t="s">
        <v>183</v>
      </c>
      <c r="M45" s="88">
        <f t="shared" si="0"/>
        <v>43313</v>
      </c>
      <c r="N45" s="85">
        <f t="shared" si="1"/>
        <v>4</v>
      </c>
      <c r="O45" s="4" t="s">
        <v>22</v>
      </c>
      <c r="P45" s="5">
        <v>0</v>
      </c>
      <c r="Q45" s="5">
        <v>0</v>
      </c>
      <c r="R45" s="5">
        <v>0</v>
      </c>
      <c r="S45" s="5">
        <v>315000</v>
      </c>
      <c r="T45" s="5">
        <v>309750</v>
      </c>
      <c r="U45" s="5">
        <v>309750</v>
      </c>
      <c r="V45" s="5">
        <v>0</v>
      </c>
    </row>
    <row r="46" spans="1:26">
      <c r="A46" s="4" t="s">
        <v>7</v>
      </c>
      <c r="B46" s="4" t="s">
        <v>17</v>
      </c>
      <c r="C46" s="4" t="s">
        <v>18</v>
      </c>
      <c r="D46" s="4" t="s">
        <v>367</v>
      </c>
      <c r="E46" s="4" t="s">
        <v>466</v>
      </c>
      <c r="F46" s="4" t="s">
        <v>510</v>
      </c>
      <c r="G46" s="4" t="s">
        <v>530</v>
      </c>
      <c r="H46" s="4" t="s">
        <v>447</v>
      </c>
      <c r="I46" s="4" t="s">
        <v>258</v>
      </c>
      <c r="J46" s="88" t="s">
        <v>259</v>
      </c>
      <c r="K46" s="90">
        <f t="shared" si="2"/>
        <v>43309</v>
      </c>
      <c r="L46" s="88" t="s">
        <v>260</v>
      </c>
      <c r="M46" s="88">
        <f t="shared" si="0"/>
        <v>43314</v>
      </c>
      <c r="N46" s="85">
        <f t="shared" si="1"/>
        <v>5</v>
      </c>
      <c r="O46" s="4" t="s">
        <v>157</v>
      </c>
      <c r="P46" s="5">
        <v>0</v>
      </c>
      <c r="Q46" s="5">
        <v>41266.5</v>
      </c>
      <c r="R46" s="5">
        <v>0</v>
      </c>
      <c r="S46" s="5">
        <v>68250</v>
      </c>
      <c r="T46" s="5">
        <v>113221.5</v>
      </c>
      <c r="U46" s="5">
        <v>0</v>
      </c>
      <c r="V46" s="5">
        <v>113221.5</v>
      </c>
    </row>
    <row r="47" spans="1:26">
      <c r="A47" s="4" t="s">
        <v>7</v>
      </c>
      <c r="B47" s="4" t="s">
        <v>8</v>
      </c>
      <c r="C47" s="4" t="s">
        <v>9</v>
      </c>
      <c r="D47" s="4" t="s">
        <v>338</v>
      </c>
      <c r="E47" s="4" t="s">
        <v>462</v>
      </c>
      <c r="F47" s="4" t="s">
        <v>501</v>
      </c>
      <c r="G47" s="4" t="s">
        <v>529</v>
      </c>
      <c r="H47" s="4" t="s">
        <v>429</v>
      </c>
      <c r="I47" s="4" t="s">
        <v>75</v>
      </c>
      <c r="J47" s="88" t="s">
        <v>76</v>
      </c>
      <c r="K47" s="90">
        <f t="shared" si="2"/>
        <v>43309</v>
      </c>
      <c r="L47" s="88" t="s">
        <v>77</v>
      </c>
      <c r="M47" s="88">
        <f t="shared" si="0"/>
        <v>43313</v>
      </c>
      <c r="N47" s="85">
        <f t="shared" si="1"/>
        <v>4</v>
      </c>
      <c r="O47" s="4" t="s">
        <v>47</v>
      </c>
      <c r="P47" s="5">
        <v>0</v>
      </c>
      <c r="Q47" s="5">
        <v>0</v>
      </c>
      <c r="R47" s="5">
        <v>0</v>
      </c>
      <c r="S47" s="5">
        <v>73.5</v>
      </c>
      <c r="T47" s="5">
        <v>73.5</v>
      </c>
      <c r="U47" s="5">
        <v>73.5</v>
      </c>
      <c r="V47" s="5">
        <v>0</v>
      </c>
    </row>
    <row r="48" spans="1:26">
      <c r="A48" s="4" t="s">
        <v>7</v>
      </c>
      <c r="B48" s="4" t="s">
        <v>17</v>
      </c>
      <c r="C48" s="4" t="s">
        <v>9</v>
      </c>
      <c r="D48" s="4" t="s">
        <v>390</v>
      </c>
      <c r="E48" s="4" t="s">
        <v>462</v>
      </c>
      <c r="F48" s="4" t="s">
        <v>517</v>
      </c>
      <c r="G48" s="4" t="s">
        <v>534</v>
      </c>
      <c r="H48" s="4" t="s">
        <v>432</v>
      </c>
      <c r="I48" s="4" t="s">
        <v>149</v>
      </c>
      <c r="J48" s="88" t="s">
        <v>150</v>
      </c>
      <c r="K48" s="90">
        <f t="shared" si="2"/>
        <v>43309</v>
      </c>
      <c r="L48" s="88" t="s">
        <v>151</v>
      </c>
      <c r="M48" s="88">
        <f t="shared" si="0"/>
        <v>43314</v>
      </c>
      <c r="N48" s="85">
        <f t="shared" si="1"/>
        <v>5</v>
      </c>
      <c r="O48" s="4" t="s">
        <v>139</v>
      </c>
      <c r="P48" s="5">
        <v>159.83257499999999</v>
      </c>
      <c r="Q48" s="5">
        <v>0</v>
      </c>
      <c r="R48" s="5">
        <v>689.25</v>
      </c>
      <c r="S48" s="5">
        <v>2430</v>
      </c>
      <c r="T48" s="5">
        <v>11504.647500000001</v>
      </c>
      <c r="U48" s="5">
        <v>0</v>
      </c>
      <c r="V48" s="5">
        <v>11504.647500000001</v>
      </c>
    </row>
    <row r="49" spans="1:23">
      <c r="A49" s="4" t="s">
        <v>7</v>
      </c>
      <c r="B49" s="4" t="s">
        <v>17</v>
      </c>
      <c r="C49" s="4" t="s">
        <v>18</v>
      </c>
      <c r="D49" s="4" t="s">
        <v>390</v>
      </c>
      <c r="E49" s="4" t="s">
        <v>482</v>
      </c>
      <c r="F49" s="4" t="s">
        <v>517</v>
      </c>
      <c r="G49" s="4" t="s">
        <v>534</v>
      </c>
      <c r="H49" s="4" t="s">
        <v>451</v>
      </c>
      <c r="I49" s="4" t="s">
        <v>149</v>
      </c>
      <c r="J49" s="88" t="s">
        <v>150</v>
      </c>
      <c r="K49" s="90">
        <f t="shared" si="2"/>
        <v>43309</v>
      </c>
      <c r="L49" s="88" t="s">
        <v>151</v>
      </c>
      <c r="M49" s="88">
        <f t="shared" si="0"/>
        <v>43314</v>
      </c>
      <c r="N49" s="85">
        <f t="shared" si="1"/>
        <v>5</v>
      </c>
      <c r="O49" s="4" t="s">
        <v>139</v>
      </c>
      <c r="P49" s="5">
        <v>1.3008</v>
      </c>
      <c r="Q49" s="5">
        <v>0</v>
      </c>
      <c r="R49" s="5">
        <v>1526.25</v>
      </c>
      <c r="S49" s="5">
        <v>12937.5</v>
      </c>
      <c r="T49" s="5">
        <v>83736.112499999988</v>
      </c>
      <c r="U49" s="5">
        <v>11268</v>
      </c>
      <c r="V49" s="5">
        <v>72468.112499999988</v>
      </c>
    </row>
    <row r="50" spans="1:23">
      <c r="A50" s="4" t="s">
        <v>7</v>
      </c>
      <c r="B50" s="4" t="s">
        <v>17</v>
      </c>
      <c r="C50" s="4" t="s">
        <v>18</v>
      </c>
      <c r="D50" s="4" t="s">
        <v>359</v>
      </c>
      <c r="E50" s="4" t="s">
        <v>475</v>
      </c>
      <c r="F50" s="4" t="s">
        <v>504</v>
      </c>
      <c r="G50" s="4" t="s">
        <v>530</v>
      </c>
      <c r="H50" s="4" t="s">
        <v>441</v>
      </c>
      <c r="I50" s="4" t="s">
        <v>178</v>
      </c>
      <c r="J50" s="88" t="s">
        <v>179</v>
      </c>
      <c r="K50" s="90">
        <f t="shared" si="2"/>
        <v>43310</v>
      </c>
      <c r="L50" s="88" t="s">
        <v>180</v>
      </c>
      <c r="M50" s="88">
        <f t="shared" si="0"/>
        <v>43313</v>
      </c>
      <c r="N50" s="85">
        <f t="shared" si="1"/>
        <v>3</v>
      </c>
      <c r="O50" s="4" t="s">
        <v>22</v>
      </c>
      <c r="P50" s="5">
        <v>6.6374999999999993</v>
      </c>
      <c r="Q50" s="5">
        <v>5.25</v>
      </c>
      <c r="R50" s="5">
        <v>0</v>
      </c>
      <c r="S50" s="5">
        <v>3937.5</v>
      </c>
      <c r="T50" s="5">
        <v>35235.360000000001</v>
      </c>
      <c r="U50" s="5">
        <v>2575.5</v>
      </c>
      <c r="V50" s="5">
        <v>32659.86</v>
      </c>
      <c r="W50" s="4" t="s">
        <v>557</v>
      </c>
    </row>
    <row r="51" spans="1:23">
      <c r="A51" s="4" t="s">
        <v>7</v>
      </c>
      <c r="B51" s="4" t="s">
        <v>17</v>
      </c>
      <c r="C51" s="4" t="s">
        <v>18</v>
      </c>
      <c r="D51" s="4" t="s">
        <v>324</v>
      </c>
      <c r="E51" s="4" t="s">
        <v>471</v>
      </c>
      <c r="F51" s="4" t="s">
        <v>494</v>
      </c>
      <c r="G51" s="4" t="s">
        <v>524</v>
      </c>
      <c r="H51" s="4" t="s">
        <v>421</v>
      </c>
      <c r="I51" s="4" t="s">
        <v>211</v>
      </c>
      <c r="J51" s="88" t="s">
        <v>212</v>
      </c>
      <c r="K51" s="90">
        <f t="shared" si="2"/>
        <v>43310</v>
      </c>
      <c r="L51" s="88" t="s">
        <v>24</v>
      </c>
      <c r="M51" s="88">
        <f t="shared" si="0"/>
        <v>43313</v>
      </c>
      <c r="N51" s="85">
        <f t="shared" si="1"/>
        <v>3</v>
      </c>
      <c r="O51" s="4" t="s">
        <v>22</v>
      </c>
      <c r="P51" s="5">
        <v>174.678</v>
      </c>
      <c r="Q51" s="5">
        <v>1516.5</v>
      </c>
      <c r="R51" s="5">
        <v>2760</v>
      </c>
      <c r="S51" s="5">
        <v>46269.75</v>
      </c>
      <c r="T51" s="5">
        <v>93750.225000000006</v>
      </c>
      <c r="U51" s="5">
        <v>93750</v>
      </c>
      <c r="V51" s="5">
        <v>0.22500000000582077</v>
      </c>
    </row>
    <row r="52" spans="1:23">
      <c r="A52" s="4" t="s">
        <v>7</v>
      </c>
      <c r="B52" s="4" t="s">
        <v>17</v>
      </c>
      <c r="C52" s="4" t="s">
        <v>18</v>
      </c>
      <c r="D52" s="4" t="s">
        <v>358</v>
      </c>
      <c r="E52" s="4" t="s">
        <v>478</v>
      </c>
      <c r="F52" s="4" t="s">
        <v>504</v>
      </c>
      <c r="G52" s="4" t="s">
        <v>530</v>
      </c>
      <c r="H52" s="4" t="s">
        <v>401</v>
      </c>
      <c r="I52" s="4" t="s">
        <v>175</v>
      </c>
      <c r="J52" s="88" t="s">
        <v>176</v>
      </c>
      <c r="K52" s="90">
        <f t="shared" si="2"/>
        <v>43310</v>
      </c>
      <c r="L52" s="88" t="s">
        <v>177</v>
      </c>
      <c r="M52" s="88">
        <f t="shared" si="0"/>
        <v>43313</v>
      </c>
      <c r="N52" s="85">
        <f t="shared" si="1"/>
        <v>3</v>
      </c>
      <c r="O52" s="4" t="s">
        <v>139</v>
      </c>
      <c r="P52" s="5">
        <v>46.410000000000004</v>
      </c>
      <c r="Q52" s="5">
        <v>1121.25</v>
      </c>
      <c r="R52" s="5">
        <v>0</v>
      </c>
      <c r="S52" s="5">
        <v>90000</v>
      </c>
      <c r="T52" s="5">
        <v>153701.92499999999</v>
      </c>
      <c r="U52" s="5">
        <v>33924</v>
      </c>
      <c r="V52" s="5">
        <v>119777.92499999999</v>
      </c>
      <c r="W52" s="4" t="s">
        <v>554</v>
      </c>
    </row>
    <row r="53" spans="1:23">
      <c r="A53" s="4" t="s">
        <v>7</v>
      </c>
      <c r="B53" s="4" t="s">
        <v>17</v>
      </c>
      <c r="C53" s="4" t="s">
        <v>18</v>
      </c>
      <c r="D53" s="4" t="s">
        <v>370</v>
      </c>
      <c r="E53" s="4" t="s">
        <v>480</v>
      </c>
      <c r="F53" s="4" t="s">
        <v>504</v>
      </c>
      <c r="G53" s="4" t="s">
        <v>530</v>
      </c>
      <c r="H53" s="4" t="s">
        <v>448</v>
      </c>
      <c r="I53" s="4" t="s">
        <v>275</v>
      </c>
      <c r="J53" s="88" t="s">
        <v>276</v>
      </c>
      <c r="K53" s="90">
        <f t="shared" si="2"/>
        <v>43310</v>
      </c>
      <c r="L53" s="88" t="s">
        <v>277</v>
      </c>
      <c r="M53" s="88">
        <f t="shared" si="0"/>
        <v>43314</v>
      </c>
      <c r="N53" s="85">
        <f t="shared" si="1"/>
        <v>4</v>
      </c>
      <c r="O53" s="4" t="s">
        <v>22</v>
      </c>
      <c r="P53" s="5">
        <v>56.699999999999996</v>
      </c>
      <c r="Q53" s="5">
        <v>0</v>
      </c>
      <c r="R53" s="5">
        <v>10756.125</v>
      </c>
      <c r="S53" s="5">
        <v>2025</v>
      </c>
      <c r="T53" s="5">
        <v>19896.675000000003</v>
      </c>
      <c r="U53" s="5">
        <v>0</v>
      </c>
      <c r="V53" s="5">
        <v>19896.675000000003</v>
      </c>
      <c r="W53" s="4" t="s">
        <v>562</v>
      </c>
    </row>
    <row r="54" spans="1:23">
      <c r="A54" s="4" t="s">
        <v>7</v>
      </c>
      <c r="B54" s="4" t="s">
        <v>8</v>
      </c>
      <c r="C54" s="4" t="s">
        <v>9</v>
      </c>
      <c r="D54" s="4" t="s">
        <v>302</v>
      </c>
      <c r="E54" s="4" t="s">
        <v>462</v>
      </c>
      <c r="F54" s="4" t="s">
        <v>487</v>
      </c>
      <c r="G54" s="4" t="s">
        <v>520</v>
      </c>
      <c r="H54" s="4" t="s">
        <v>402</v>
      </c>
      <c r="I54" s="4" t="s">
        <v>60</v>
      </c>
      <c r="J54" s="88" t="s">
        <v>61</v>
      </c>
      <c r="K54" s="90">
        <f t="shared" si="2"/>
        <v>43311</v>
      </c>
      <c r="L54" s="88" t="s">
        <v>62</v>
      </c>
      <c r="M54" s="88">
        <f t="shared" si="0"/>
        <v>43313</v>
      </c>
      <c r="N54" s="85">
        <f t="shared" si="1"/>
        <v>2</v>
      </c>
      <c r="O54" s="4" t="s">
        <v>13</v>
      </c>
      <c r="P54" s="5">
        <v>0</v>
      </c>
      <c r="Q54" s="5">
        <v>0</v>
      </c>
      <c r="R54" s="5">
        <v>0</v>
      </c>
      <c r="S54" s="5">
        <v>9375</v>
      </c>
      <c r="T54" s="5">
        <v>9375</v>
      </c>
      <c r="U54" s="5">
        <v>0</v>
      </c>
      <c r="V54" s="5">
        <v>9375</v>
      </c>
      <c r="W54" s="4" t="s">
        <v>541</v>
      </c>
    </row>
    <row r="55" spans="1:23">
      <c r="A55" s="4" t="s">
        <v>7</v>
      </c>
      <c r="B55" s="4" t="s">
        <v>17</v>
      </c>
      <c r="C55" s="4" t="s">
        <v>18</v>
      </c>
      <c r="D55" s="4" t="s">
        <v>364</v>
      </c>
      <c r="E55" s="4" t="s">
        <v>465</v>
      </c>
      <c r="F55" s="4" t="s">
        <v>505</v>
      </c>
      <c r="G55" s="4" t="s">
        <v>530</v>
      </c>
      <c r="H55" s="4" t="s">
        <v>445</v>
      </c>
      <c r="I55" s="4" t="s">
        <v>230</v>
      </c>
      <c r="J55" s="88" t="s">
        <v>231</v>
      </c>
      <c r="K55" s="90">
        <f t="shared" si="2"/>
        <v>43311</v>
      </c>
      <c r="L55" s="88" t="s">
        <v>232</v>
      </c>
      <c r="M55" s="88">
        <f t="shared" si="0"/>
        <v>43313</v>
      </c>
      <c r="N55" s="85">
        <f t="shared" si="1"/>
        <v>2</v>
      </c>
      <c r="O55" s="4" t="s">
        <v>22</v>
      </c>
      <c r="P55" s="5">
        <v>114.24</v>
      </c>
      <c r="Q55" s="5">
        <v>0</v>
      </c>
      <c r="R55" s="5">
        <v>10061.25</v>
      </c>
      <c r="S55" s="5">
        <v>3000</v>
      </c>
      <c r="T55" s="5">
        <v>32585.827499999999</v>
      </c>
      <c r="U55" s="5">
        <v>8073</v>
      </c>
      <c r="V55" s="5">
        <v>24512.827499999999</v>
      </c>
      <c r="W55" s="4" t="s">
        <v>558</v>
      </c>
    </row>
    <row r="56" spans="1:23">
      <c r="A56" s="4" t="s">
        <v>7</v>
      </c>
      <c r="B56" s="4" t="s">
        <v>17</v>
      </c>
      <c r="C56" s="4" t="s">
        <v>18</v>
      </c>
      <c r="D56" s="4" t="s">
        <v>362</v>
      </c>
      <c r="E56" s="4" t="s">
        <v>477</v>
      </c>
      <c r="F56" s="4" t="s">
        <v>510</v>
      </c>
      <c r="G56" s="4" t="s">
        <v>530</v>
      </c>
      <c r="H56" s="4" t="s">
        <v>443</v>
      </c>
      <c r="I56" s="4" t="s">
        <v>220</v>
      </c>
      <c r="J56" s="88" t="s">
        <v>221</v>
      </c>
      <c r="K56" s="90">
        <f t="shared" si="2"/>
        <v>43311</v>
      </c>
      <c r="L56" s="88" t="s">
        <v>222</v>
      </c>
      <c r="M56" s="88">
        <f t="shared" si="0"/>
        <v>43313</v>
      </c>
      <c r="N56" s="85">
        <f t="shared" si="1"/>
        <v>2</v>
      </c>
      <c r="O56" s="4" t="s">
        <v>142</v>
      </c>
      <c r="P56" s="5">
        <v>0</v>
      </c>
      <c r="Q56" s="5">
        <v>0</v>
      </c>
      <c r="R56" s="5">
        <v>0</v>
      </c>
      <c r="S56" s="5">
        <v>10875</v>
      </c>
      <c r="T56" s="5">
        <v>10875</v>
      </c>
      <c r="U56" s="5">
        <v>0</v>
      </c>
      <c r="V56" s="5">
        <v>10875</v>
      </c>
      <c r="W56" s="4" t="s">
        <v>559</v>
      </c>
    </row>
    <row r="57" spans="1:23">
      <c r="A57" s="4" t="s">
        <v>7</v>
      </c>
      <c r="B57" s="4" t="s">
        <v>17</v>
      </c>
      <c r="C57" s="4" t="s">
        <v>18</v>
      </c>
      <c r="D57" s="4" t="s">
        <v>369</v>
      </c>
      <c r="E57" s="4" t="s">
        <v>466</v>
      </c>
      <c r="F57" s="4" t="s">
        <v>510</v>
      </c>
      <c r="G57" s="4" t="s">
        <v>530</v>
      </c>
      <c r="H57" s="4" t="s">
        <v>427</v>
      </c>
      <c r="I57" s="4" t="s">
        <v>121</v>
      </c>
      <c r="J57" s="88" t="s">
        <v>267</v>
      </c>
      <c r="K57" s="90">
        <f t="shared" si="2"/>
        <v>43311</v>
      </c>
      <c r="L57" s="88" t="s">
        <v>268</v>
      </c>
      <c r="M57" s="88">
        <f t="shared" si="0"/>
        <v>43314</v>
      </c>
      <c r="N57" s="85">
        <f t="shared" si="1"/>
        <v>3</v>
      </c>
      <c r="O57" s="4" t="s">
        <v>157</v>
      </c>
      <c r="P57" s="5">
        <v>0</v>
      </c>
      <c r="Q57" s="5">
        <v>41266.5</v>
      </c>
      <c r="R57" s="5">
        <v>0</v>
      </c>
      <c r="S57" s="5">
        <v>90000</v>
      </c>
      <c r="T57" s="5">
        <v>131266.5</v>
      </c>
      <c r="U57" s="5">
        <v>9000</v>
      </c>
      <c r="V57" s="5">
        <v>122266.5</v>
      </c>
      <c r="W57" s="4" t="s">
        <v>553</v>
      </c>
    </row>
    <row r="58" spans="1:23">
      <c r="A58" s="4" t="s">
        <v>7</v>
      </c>
      <c r="B58" s="4" t="s">
        <v>17</v>
      </c>
      <c r="C58" s="4" t="s">
        <v>18</v>
      </c>
      <c r="D58" s="4" t="s">
        <v>356</v>
      </c>
      <c r="E58" s="4" t="s">
        <v>466</v>
      </c>
      <c r="F58" s="4" t="s">
        <v>510</v>
      </c>
      <c r="G58" s="4" t="s">
        <v>530</v>
      </c>
      <c r="H58" s="4" t="s">
        <v>412</v>
      </c>
      <c r="I58" s="4" t="s">
        <v>169</v>
      </c>
      <c r="J58" s="88" t="s">
        <v>170</v>
      </c>
      <c r="K58" s="90">
        <f t="shared" si="2"/>
        <v>43311</v>
      </c>
      <c r="L58" s="88" t="s">
        <v>171</v>
      </c>
      <c r="M58" s="88">
        <f t="shared" si="0"/>
        <v>43313</v>
      </c>
      <c r="N58" s="85">
        <f t="shared" si="1"/>
        <v>2</v>
      </c>
      <c r="O58" s="4" t="s">
        <v>157</v>
      </c>
      <c r="P58" s="5">
        <v>12.8352</v>
      </c>
      <c r="Q58" s="5">
        <v>0</v>
      </c>
      <c r="R58" s="5">
        <v>9232.5</v>
      </c>
      <c r="S58" s="5">
        <v>3750</v>
      </c>
      <c r="T58" s="5">
        <v>133381.38</v>
      </c>
      <c r="U58" s="5">
        <v>0</v>
      </c>
      <c r="V58" s="5">
        <v>133381.38</v>
      </c>
      <c r="W58" s="4" t="s">
        <v>556</v>
      </c>
    </row>
    <row r="59" spans="1:23">
      <c r="A59" s="4" t="s">
        <v>7</v>
      </c>
      <c r="B59" s="4" t="s">
        <v>8</v>
      </c>
      <c r="C59" s="4" t="s">
        <v>9</v>
      </c>
      <c r="D59" s="4" t="s">
        <v>346</v>
      </c>
      <c r="E59" s="4" t="s">
        <v>462</v>
      </c>
      <c r="F59" s="4" t="s">
        <v>505</v>
      </c>
      <c r="G59" s="4" t="s">
        <v>530</v>
      </c>
      <c r="H59" s="4" t="s">
        <v>431</v>
      </c>
      <c r="I59" s="4" t="s">
        <v>84</v>
      </c>
      <c r="J59" s="88" t="s">
        <v>85</v>
      </c>
      <c r="K59" s="90">
        <f t="shared" si="2"/>
        <v>43311</v>
      </c>
      <c r="L59" s="88" t="s">
        <v>86</v>
      </c>
      <c r="M59" s="88">
        <f t="shared" si="0"/>
        <v>43313</v>
      </c>
      <c r="N59" s="85">
        <f t="shared" si="1"/>
        <v>2</v>
      </c>
      <c r="O59" s="4" t="s">
        <v>13</v>
      </c>
      <c r="P59" s="5">
        <v>0</v>
      </c>
      <c r="Q59" s="5">
        <v>41266.5</v>
      </c>
      <c r="R59" s="5">
        <v>0</v>
      </c>
      <c r="S59" s="5">
        <v>90000</v>
      </c>
      <c r="T59" s="5">
        <v>135016.5</v>
      </c>
      <c r="U59" s="5">
        <v>0</v>
      </c>
      <c r="V59" s="5">
        <v>135016.5</v>
      </c>
      <c r="W59" s="4" t="s">
        <v>549</v>
      </c>
    </row>
    <row r="60" spans="1:23">
      <c r="A60" s="4" t="s">
        <v>7</v>
      </c>
      <c r="B60" s="4" t="s">
        <v>8</v>
      </c>
      <c r="C60" s="4" t="s">
        <v>9</v>
      </c>
      <c r="D60" s="4" t="s">
        <v>347</v>
      </c>
      <c r="E60" s="4" t="s">
        <v>462</v>
      </c>
      <c r="F60" s="4" t="s">
        <v>505</v>
      </c>
      <c r="G60" s="4" t="s">
        <v>530</v>
      </c>
      <c r="H60" s="4" t="s">
        <v>436</v>
      </c>
      <c r="I60" s="4" t="s">
        <v>90</v>
      </c>
      <c r="J60" s="88" t="s">
        <v>91</v>
      </c>
      <c r="K60" s="90">
        <f t="shared" si="2"/>
        <v>43311</v>
      </c>
      <c r="L60" s="88" t="s">
        <v>92</v>
      </c>
      <c r="M60" s="88">
        <f t="shared" si="0"/>
        <v>43313</v>
      </c>
      <c r="N60" s="85">
        <f t="shared" si="1"/>
        <v>2</v>
      </c>
      <c r="O60" s="4" t="s">
        <v>13</v>
      </c>
      <c r="P60" s="5">
        <v>0</v>
      </c>
      <c r="Q60" s="5">
        <v>0</v>
      </c>
      <c r="R60" s="5">
        <v>0</v>
      </c>
      <c r="S60" s="5">
        <v>10875</v>
      </c>
      <c r="T60" s="5">
        <v>10875</v>
      </c>
      <c r="U60" s="5">
        <v>0</v>
      </c>
      <c r="V60" s="5">
        <v>10875</v>
      </c>
      <c r="W60" s="4" t="s">
        <v>550</v>
      </c>
    </row>
    <row r="61" spans="1:23">
      <c r="A61" s="4" t="s">
        <v>7</v>
      </c>
      <c r="B61" s="4" t="s">
        <v>17</v>
      </c>
      <c r="C61" s="4" t="s">
        <v>18</v>
      </c>
      <c r="D61" s="4" t="s">
        <v>382</v>
      </c>
      <c r="E61" s="4" t="s">
        <v>474</v>
      </c>
      <c r="F61" s="4" t="s">
        <v>515</v>
      </c>
      <c r="G61" s="4" t="s">
        <v>533</v>
      </c>
      <c r="H61" s="4" t="s">
        <v>456</v>
      </c>
      <c r="I61" s="4" t="s">
        <v>203</v>
      </c>
      <c r="J61" s="88" t="s">
        <v>206</v>
      </c>
      <c r="K61" s="90">
        <f t="shared" si="2"/>
        <v>43311</v>
      </c>
      <c r="L61" s="88" t="s">
        <v>207</v>
      </c>
      <c r="M61" s="88">
        <f t="shared" si="0"/>
        <v>43313</v>
      </c>
      <c r="N61" s="85">
        <f t="shared" si="1"/>
        <v>2</v>
      </c>
      <c r="O61" s="4" t="s">
        <v>22</v>
      </c>
      <c r="P61" s="5">
        <v>0</v>
      </c>
      <c r="Q61" s="5">
        <v>0</v>
      </c>
      <c r="R61" s="5">
        <v>0</v>
      </c>
      <c r="S61" s="5">
        <v>17718.75</v>
      </c>
      <c r="T61" s="5">
        <v>97361.25</v>
      </c>
      <c r="U61" s="5">
        <v>0</v>
      </c>
      <c r="V61" s="5">
        <v>97361.25</v>
      </c>
      <c r="W61" s="4" t="s">
        <v>566</v>
      </c>
    </row>
    <row r="62" spans="1:23">
      <c r="A62" s="4" t="s">
        <v>7</v>
      </c>
      <c r="B62" s="4" t="s">
        <v>17</v>
      </c>
      <c r="C62" s="4" t="s">
        <v>18</v>
      </c>
      <c r="D62" s="4" t="s">
        <v>363</v>
      </c>
      <c r="E62" s="4" t="s">
        <v>465</v>
      </c>
      <c r="F62" s="4" t="s">
        <v>505</v>
      </c>
      <c r="G62" s="4" t="s">
        <v>530</v>
      </c>
      <c r="H62" s="4" t="s">
        <v>444</v>
      </c>
      <c r="I62" s="4" t="s">
        <v>225</v>
      </c>
      <c r="J62" s="88" t="s">
        <v>226</v>
      </c>
      <c r="K62" s="90">
        <f t="shared" si="2"/>
        <v>43311</v>
      </c>
      <c r="L62" s="88" t="s">
        <v>227</v>
      </c>
      <c r="M62" s="88">
        <f t="shared" si="0"/>
        <v>43313</v>
      </c>
      <c r="N62" s="85">
        <f t="shared" si="1"/>
        <v>2</v>
      </c>
      <c r="O62" s="4" t="s">
        <v>22</v>
      </c>
      <c r="P62" s="5">
        <v>0</v>
      </c>
      <c r="Q62" s="5">
        <v>0</v>
      </c>
      <c r="R62" s="5">
        <v>0</v>
      </c>
      <c r="S62" s="5">
        <v>9562.5</v>
      </c>
      <c r="T62" s="5">
        <v>9562.5</v>
      </c>
      <c r="U62" s="5">
        <v>0</v>
      </c>
      <c r="V62" s="5">
        <v>9562.5</v>
      </c>
      <c r="W62" s="4" t="s">
        <v>558</v>
      </c>
    </row>
    <row r="63" spans="1:23">
      <c r="A63" s="4" t="s">
        <v>7</v>
      </c>
      <c r="B63" s="4" t="s">
        <v>17</v>
      </c>
      <c r="C63" s="4" t="s">
        <v>18</v>
      </c>
      <c r="D63" s="4" t="s">
        <v>368</v>
      </c>
      <c r="E63" s="4" t="s">
        <v>466</v>
      </c>
      <c r="F63" s="4" t="s">
        <v>510</v>
      </c>
      <c r="G63" s="4" t="s">
        <v>530</v>
      </c>
      <c r="H63" s="4" t="s">
        <v>438</v>
      </c>
      <c r="I63" s="4" t="s">
        <v>264</v>
      </c>
      <c r="J63" s="88" t="s">
        <v>265</v>
      </c>
      <c r="K63" s="90">
        <f t="shared" si="2"/>
        <v>43311</v>
      </c>
      <c r="L63" s="88" t="s">
        <v>266</v>
      </c>
      <c r="M63" s="88">
        <f t="shared" si="0"/>
        <v>43314</v>
      </c>
      <c r="N63" s="85">
        <f t="shared" si="1"/>
        <v>3</v>
      </c>
      <c r="O63" s="4" t="s">
        <v>157</v>
      </c>
      <c r="P63" s="5">
        <v>28.56</v>
      </c>
      <c r="Q63" s="5">
        <v>0</v>
      </c>
      <c r="R63" s="5">
        <v>1779.75</v>
      </c>
      <c r="S63" s="5">
        <v>8927.25</v>
      </c>
      <c r="T63" s="5">
        <v>19792.695</v>
      </c>
      <c r="U63" s="5">
        <v>0</v>
      </c>
      <c r="V63" s="5">
        <v>19792.695</v>
      </c>
      <c r="W63" s="4" t="s">
        <v>553</v>
      </c>
    </row>
    <row r="64" spans="1:23">
      <c r="A64" s="4" t="s">
        <v>7</v>
      </c>
      <c r="B64" s="4" t="s">
        <v>17</v>
      </c>
      <c r="C64" s="4" t="s">
        <v>18</v>
      </c>
      <c r="D64" s="4" t="s">
        <v>360</v>
      </c>
      <c r="E64" s="4" t="s">
        <v>479</v>
      </c>
      <c r="F64" s="4" t="s">
        <v>505</v>
      </c>
      <c r="G64" s="4" t="s">
        <v>530</v>
      </c>
      <c r="H64" s="4" t="s">
        <v>429</v>
      </c>
      <c r="I64" s="4" t="s">
        <v>198</v>
      </c>
      <c r="J64" s="88" t="s">
        <v>199</v>
      </c>
      <c r="K64" s="90">
        <f t="shared" si="2"/>
        <v>43311</v>
      </c>
      <c r="L64" s="88" t="s">
        <v>92</v>
      </c>
      <c r="M64" s="88">
        <f t="shared" si="0"/>
        <v>43313</v>
      </c>
      <c r="N64" s="85">
        <f t="shared" si="1"/>
        <v>2</v>
      </c>
      <c r="O64" s="4" t="s">
        <v>22</v>
      </c>
      <c r="P64" s="5">
        <v>307.35000000000002</v>
      </c>
      <c r="Q64" s="5">
        <v>0</v>
      </c>
      <c r="R64" s="5">
        <v>9955.5</v>
      </c>
      <c r="S64" s="5">
        <v>4252.5</v>
      </c>
      <c r="T64" s="5">
        <v>73646.684999999998</v>
      </c>
      <c r="U64" s="5">
        <v>0</v>
      </c>
      <c r="V64" s="5">
        <v>73646.684999999998</v>
      </c>
      <c r="W64" s="4" t="s">
        <v>558</v>
      </c>
    </row>
    <row r="65" spans="1:23">
      <c r="A65" s="4" t="s">
        <v>7</v>
      </c>
      <c r="B65" s="4" t="s">
        <v>17</v>
      </c>
      <c r="C65" s="4" t="s">
        <v>18</v>
      </c>
      <c r="D65" s="4" t="s">
        <v>357</v>
      </c>
      <c r="E65" s="4" t="s">
        <v>466</v>
      </c>
      <c r="F65" s="4" t="s">
        <v>510</v>
      </c>
      <c r="G65" s="4" t="s">
        <v>530</v>
      </c>
      <c r="H65" s="4" t="s">
        <v>424</v>
      </c>
      <c r="I65" s="4" t="s">
        <v>172</v>
      </c>
      <c r="J65" s="88" t="s">
        <v>173</v>
      </c>
      <c r="K65" s="90">
        <f t="shared" si="2"/>
        <v>43311</v>
      </c>
      <c r="L65" s="88" t="s">
        <v>174</v>
      </c>
      <c r="M65" s="88">
        <f t="shared" si="0"/>
        <v>43313</v>
      </c>
      <c r="N65" s="85">
        <f t="shared" si="1"/>
        <v>2</v>
      </c>
      <c r="O65" s="4" t="s">
        <v>157</v>
      </c>
      <c r="P65" s="5">
        <v>85.679999999999993</v>
      </c>
      <c r="Q65" s="5">
        <v>0</v>
      </c>
      <c r="R65" s="5">
        <v>4305</v>
      </c>
      <c r="S65" s="5">
        <v>5478.75</v>
      </c>
      <c r="T65" s="5">
        <v>17132.2425</v>
      </c>
      <c r="U65" s="5">
        <v>2550.75</v>
      </c>
      <c r="V65" s="5">
        <v>14581.4925</v>
      </c>
      <c r="W65" s="4" t="s">
        <v>555</v>
      </c>
    </row>
    <row r="66" spans="1:23">
      <c r="A66" s="4" t="s">
        <v>7</v>
      </c>
      <c r="B66" s="4" t="s">
        <v>17</v>
      </c>
      <c r="C66" s="4" t="s">
        <v>18</v>
      </c>
      <c r="D66" s="4" t="s">
        <v>383</v>
      </c>
      <c r="E66" s="4" t="s">
        <v>468</v>
      </c>
      <c r="F66" s="4" t="s">
        <v>515</v>
      </c>
      <c r="G66" s="4" t="s">
        <v>533</v>
      </c>
      <c r="H66" s="4" t="s">
        <v>457</v>
      </c>
      <c r="I66" s="4" t="s">
        <v>214</v>
      </c>
      <c r="J66" s="88" t="s">
        <v>215</v>
      </c>
      <c r="K66" s="90">
        <f t="shared" si="2"/>
        <v>43311</v>
      </c>
      <c r="L66" s="88" t="s">
        <v>216</v>
      </c>
      <c r="M66" s="88">
        <f t="shared" si="0"/>
        <v>43313</v>
      </c>
      <c r="N66" s="85">
        <f t="shared" si="1"/>
        <v>2</v>
      </c>
      <c r="O66" s="4" t="s">
        <v>142</v>
      </c>
      <c r="P66" s="5">
        <v>0</v>
      </c>
      <c r="Q66" s="5">
        <v>0</v>
      </c>
      <c r="R66" s="5">
        <v>0</v>
      </c>
      <c r="S66" s="5">
        <v>52500</v>
      </c>
      <c r="T66" s="5">
        <v>142500</v>
      </c>
      <c r="U66" s="5">
        <v>0</v>
      </c>
      <c r="V66" s="5">
        <v>142500</v>
      </c>
    </row>
    <row r="67" spans="1:23">
      <c r="A67" s="4" t="s">
        <v>7</v>
      </c>
      <c r="B67" s="4" t="s">
        <v>8</v>
      </c>
      <c r="C67" s="4" t="s">
        <v>9</v>
      </c>
      <c r="D67" s="4" t="s">
        <v>320</v>
      </c>
      <c r="E67" s="4" t="s">
        <v>462</v>
      </c>
      <c r="F67" s="4" t="s">
        <v>492</v>
      </c>
      <c r="G67" s="4" t="s">
        <v>524</v>
      </c>
      <c r="H67" s="4" t="s">
        <v>418</v>
      </c>
      <c r="I67" s="4" t="s">
        <v>14</v>
      </c>
      <c r="J67" s="88" t="s">
        <v>15</v>
      </c>
      <c r="K67" s="90">
        <f t="shared" si="2"/>
        <v>43311</v>
      </c>
      <c r="L67" s="88" t="s">
        <v>16</v>
      </c>
      <c r="M67" s="88">
        <f t="shared" ref="M67:M105" si="4">DATE(VALUE(MID(L67,7,4)), VALUE(MID(L67,4,2)), VALUE(LEFT(L67,2)))</f>
        <v>43313</v>
      </c>
      <c r="N67" s="85">
        <f t="shared" ref="N67:N105" si="5">M67-K67</f>
        <v>2</v>
      </c>
      <c r="O67" s="4" t="s">
        <v>13</v>
      </c>
      <c r="P67" s="5">
        <v>0</v>
      </c>
      <c r="Q67" s="5">
        <v>0</v>
      </c>
      <c r="R67" s="5">
        <v>0</v>
      </c>
      <c r="S67" s="5">
        <v>163500</v>
      </c>
      <c r="T67" s="5">
        <v>159750</v>
      </c>
      <c r="U67" s="5">
        <v>159750</v>
      </c>
      <c r="V67" s="5">
        <v>0</v>
      </c>
    </row>
    <row r="68" spans="1:23">
      <c r="A68" s="4" t="s">
        <v>7</v>
      </c>
      <c r="B68" s="4" t="s">
        <v>8</v>
      </c>
      <c r="C68" s="4" t="s">
        <v>9</v>
      </c>
      <c r="D68" s="4" t="s">
        <v>303</v>
      </c>
      <c r="E68" s="4" t="s">
        <v>462</v>
      </c>
      <c r="F68" s="4" t="s">
        <v>486</v>
      </c>
      <c r="G68" s="4" t="s">
        <v>520</v>
      </c>
      <c r="H68" s="4" t="s">
        <v>403</v>
      </c>
      <c r="I68" s="4" t="s">
        <v>69</v>
      </c>
      <c r="J68" s="88" t="s">
        <v>70</v>
      </c>
      <c r="K68" s="90">
        <f t="shared" ref="K68:K105" si="6">DATE(VALUE(MID(J68,7,4)), VALUE(MID(J68,4,2)), VALUE(LEFT(J68,2)))</f>
        <v>43311</v>
      </c>
      <c r="L68" s="88" t="s">
        <v>71</v>
      </c>
      <c r="M68" s="88">
        <f t="shared" si="4"/>
        <v>43313</v>
      </c>
      <c r="N68" s="85">
        <f t="shared" si="5"/>
        <v>2</v>
      </c>
      <c r="O68" s="4" t="s">
        <v>47</v>
      </c>
      <c r="P68" s="5">
        <v>0</v>
      </c>
      <c r="Q68" s="5">
        <v>0</v>
      </c>
      <c r="R68" s="5">
        <v>0</v>
      </c>
      <c r="S68" s="5">
        <v>15562.5</v>
      </c>
      <c r="T68" s="5">
        <v>15562.5</v>
      </c>
      <c r="U68" s="5">
        <v>15562.5</v>
      </c>
      <c r="V68" s="5">
        <v>0</v>
      </c>
    </row>
    <row r="69" spans="1:23">
      <c r="A69" s="4" t="s">
        <v>7</v>
      </c>
      <c r="B69" s="4" t="s">
        <v>17</v>
      </c>
      <c r="C69" s="4" t="s">
        <v>9</v>
      </c>
      <c r="D69" s="4" t="s">
        <v>352</v>
      </c>
      <c r="E69" s="4" t="s">
        <v>462</v>
      </c>
      <c r="F69" s="4" t="s">
        <v>507</v>
      </c>
      <c r="G69" s="4" t="s">
        <v>530</v>
      </c>
      <c r="H69" s="4" t="s">
        <v>407</v>
      </c>
      <c r="I69" s="4" t="s">
        <v>146</v>
      </c>
      <c r="J69" s="88" t="s">
        <v>147</v>
      </c>
      <c r="K69" s="90">
        <f t="shared" si="6"/>
        <v>43311</v>
      </c>
      <c r="L69" s="88" t="s">
        <v>148</v>
      </c>
      <c r="M69" s="88">
        <f t="shared" si="4"/>
        <v>43314</v>
      </c>
      <c r="N69" s="85">
        <f t="shared" si="5"/>
        <v>3</v>
      </c>
      <c r="O69" s="4" t="s">
        <v>139</v>
      </c>
      <c r="P69" s="5">
        <v>30082.5</v>
      </c>
      <c r="Q69" s="5">
        <v>0</v>
      </c>
      <c r="R69" s="5">
        <v>0</v>
      </c>
      <c r="S69" s="5">
        <v>5081.25</v>
      </c>
      <c r="T69" s="5">
        <v>77623.049999999988</v>
      </c>
      <c r="U69" s="5">
        <v>3459</v>
      </c>
      <c r="V69" s="5">
        <v>74164.049999999988</v>
      </c>
      <c r="W69" s="4" t="s">
        <v>552</v>
      </c>
    </row>
    <row r="70" spans="1:23">
      <c r="A70" s="4" t="s">
        <v>7</v>
      </c>
      <c r="B70" s="4" t="s">
        <v>17</v>
      </c>
      <c r="C70" s="4" t="s">
        <v>18</v>
      </c>
      <c r="D70" s="4" t="s">
        <v>352</v>
      </c>
      <c r="E70" s="4" t="s">
        <v>464</v>
      </c>
      <c r="F70" s="4" t="s">
        <v>507</v>
      </c>
      <c r="G70" s="4" t="s">
        <v>530</v>
      </c>
      <c r="H70" s="4" t="s">
        <v>446</v>
      </c>
      <c r="I70" s="4" t="s">
        <v>146</v>
      </c>
      <c r="J70" s="88" t="s">
        <v>147</v>
      </c>
      <c r="K70" s="90">
        <f t="shared" si="6"/>
        <v>43311</v>
      </c>
      <c r="L70" s="88" t="s">
        <v>148</v>
      </c>
      <c r="M70" s="88">
        <f t="shared" si="4"/>
        <v>43314</v>
      </c>
      <c r="N70" s="85">
        <f t="shared" si="5"/>
        <v>3</v>
      </c>
      <c r="O70" s="4" t="s">
        <v>139</v>
      </c>
      <c r="P70" s="5">
        <v>28.56</v>
      </c>
      <c r="Q70" s="5">
        <v>0</v>
      </c>
      <c r="R70" s="5">
        <v>2568.75</v>
      </c>
      <c r="S70" s="5">
        <v>1927.5</v>
      </c>
      <c r="T70" s="5">
        <v>6322.3575000000001</v>
      </c>
      <c r="U70" s="5">
        <v>0</v>
      </c>
      <c r="V70" s="5">
        <v>6322.3575000000001</v>
      </c>
      <c r="W70" s="4" t="s">
        <v>552</v>
      </c>
    </row>
    <row r="71" spans="1:23">
      <c r="A71" s="4" t="s">
        <v>7</v>
      </c>
      <c r="B71" s="4" t="s">
        <v>8</v>
      </c>
      <c r="C71" s="4" t="s">
        <v>9</v>
      </c>
      <c r="D71" s="4" t="s">
        <v>350</v>
      </c>
      <c r="E71" s="4" t="s">
        <v>462</v>
      </c>
      <c r="F71" s="4" t="s">
        <v>506</v>
      </c>
      <c r="G71" s="4" t="s">
        <v>530</v>
      </c>
      <c r="H71" s="4" t="s">
        <v>422</v>
      </c>
      <c r="I71" s="4" t="s">
        <v>127</v>
      </c>
      <c r="J71" s="88" t="s">
        <v>128</v>
      </c>
      <c r="K71" s="90">
        <f t="shared" si="6"/>
        <v>43311</v>
      </c>
      <c r="L71" s="88" t="s">
        <v>129</v>
      </c>
      <c r="M71" s="88">
        <f t="shared" si="4"/>
        <v>43314</v>
      </c>
      <c r="N71" s="85">
        <f t="shared" si="5"/>
        <v>3</v>
      </c>
      <c r="O71" s="4" t="s">
        <v>102</v>
      </c>
      <c r="P71" s="5">
        <v>0</v>
      </c>
      <c r="Q71" s="5">
        <v>41266.5</v>
      </c>
      <c r="R71" s="5">
        <v>0</v>
      </c>
      <c r="S71" s="5">
        <v>3750</v>
      </c>
      <c r="T71" s="5">
        <v>135016.5</v>
      </c>
      <c r="U71" s="5">
        <v>0</v>
      </c>
      <c r="V71" s="5">
        <v>135016.5</v>
      </c>
    </row>
    <row r="72" spans="1:23">
      <c r="A72" s="4" t="s">
        <v>7</v>
      </c>
      <c r="B72" s="4" t="s">
        <v>17</v>
      </c>
      <c r="C72" s="4" t="s">
        <v>18</v>
      </c>
      <c r="D72" s="4" t="s">
        <v>366</v>
      </c>
      <c r="E72" s="4" t="s">
        <v>466</v>
      </c>
      <c r="F72" s="4" t="s">
        <v>509</v>
      </c>
      <c r="G72" s="4" t="s">
        <v>530</v>
      </c>
      <c r="H72" s="4" t="s">
        <v>437</v>
      </c>
      <c r="I72" s="4" t="s">
        <v>246</v>
      </c>
      <c r="J72" s="88" t="s">
        <v>247</v>
      </c>
      <c r="K72" s="90">
        <f t="shared" si="6"/>
        <v>43311</v>
      </c>
      <c r="L72" s="88" t="s">
        <v>248</v>
      </c>
      <c r="M72" s="88">
        <f t="shared" si="4"/>
        <v>43314</v>
      </c>
      <c r="N72" s="85">
        <f t="shared" si="5"/>
        <v>3</v>
      </c>
      <c r="O72" s="4" t="s">
        <v>157</v>
      </c>
      <c r="P72" s="5">
        <v>150.02587500000001</v>
      </c>
      <c r="Q72" s="5">
        <v>71.25</v>
      </c>
      <c r="R72" s="5">
        <v>3348</v>
      </c>
      <c r="S72" s="5">
        <v>1515.375</v>
      </c>
      <c r="T72" s="5">
        <v>41813.962499999994</v>
      </c>
      <c r="U72" s="5">
        <v>0</v>
      </c>
      <c r="V72" s="5">
        <v>41813.962499999994</v>
      </c>
      <c r="W72" s="4" t="s">
        <v>561</v>
      </c>
    </row>
    <row r="73" spans="1:23">
      <c r="A73" s="4" t="s">
        <v>7</v>
      </c>
      <c r="B73" s="4" t="s">
        <v>17</v>
      </c>
      <c r="C73" s="4" t="s">
        <v>9</v>
      </c>
      <c r="D73" s="4" t="s">
        <v>375</v>
      </c>
      <c r="E73" s="4" t="s">
        <v>462</v>
      </c>
      <c r="F73" s="4" t="s">
        <v>514</v>
      </c>
      <c r="G73" s="4" t="s">
        <v>532</v>
      </c>
      <c r="H73" s="4" t="s">
        <v>451</v>
      </c>
      <c r="I73" s="4" t="s">
        <v>19</v>
      </c>
      <c r="J73" s="88" t="s">
        <v>152</v>
      </c>
      <c r="K73" s="90">
        <f t="shared" si="6"/>
        <v>43311</v>
      </c>
      <c r="L73" s="88" t="s">
        <v>153</v>
      </c>
      <c r="M73" s="88">
        <f t="shared" si="4"/>
        <v>43314</v>
      </c>
      <c r="N73" s="85">
        <f t="shared" si="5"/>
        <v>3</v>
      </c>
      <c r="O73" s="4" t="s">
        <v>142</v>
      </c>
      <c r="P73" s="5">
        <v>0</v>
      </c>
      <c r="Q73" s="5">
        <v>1275</v>
      </c>
      <c r="R73" s="5">
        <v>0</v>
      </c>
      <c r="S73" s="5">
        <v>53625</v>
      </c>
      <c r="T73" s="5">
        <v>63012</v>
      </c>
      <c r="U73" s="5">
        <v>0</v>
      </c>
      <c r="V73" s="5">
        <v>63012</v>
      </c>
      <c r="W73" s="4" t="s">
        <v>563</v>
      </c>
    </row>
    <row r="74" spans="1:23">
      <c r="A74" s="4" t="s">
        <v>7</v>
      </c>
      <c r="B74" s="4" t="s">
        <v>17</v>
      </c>
      <c r="C74" s="4" t="s">
        <v>18</v>
      </c>
      <c r="D74" s="4" t="s">
        <v>375</v>
      </c>
      <c r="E74" s="4" t="s">
        <v>464</v>
      </c>
      <c r="F74" s="4" t="s">
        <v>514</v>
      </c>
      <c r="G74" s="4" t="s">
        <v>532</v>
      </c>
      <c r="H74" s="4" t="s">
        <v>453</v>
      </c>
      <c r="I74" s="4" t="s">
        <v>19</v>
      </c>
      <c r="J74" s="88" t="s">
        <v>152</v>
      </c>
      <c r="K74" s="90">
        <f t="shared" si="6"/>
        <v>43311</v>
      </c>
      <c r="L74" s="88" t="s">
        <v>153</v>
      </c>
      <c r="M74" s="88">
        <f t="shared" si="4"/>
        <v>43314</v>
      </c>
      <c r="N74" s="85">
        <f t="shared" si="5"/>
        <v>3</v>
      </c>
      <c r="O74" s="4" t="s">
        <v>142</v>
      </c>
      <c r="P74" s="5">
        <v>0</v>
      </c>
      <c r="Q74" s="5">
        <v>1327.5</v>
      </c>
      <c r="R74" s="5">
        <v>0</v>
      </c>
      <c r="S74" s="5">
        <v>44625</v>
      </c>
      <c r="T74" s="5">
        <v>46233.75</v>
      </c>
      <c r="U74" s="5">
        <v>0</v>
      </c>
      <c r="V74" s="5">
        <v>46233.75</v>
      </c>
      <c r="W74" s="4" t="s">
        <v>563</v>
      </c>
    </row>
    <row r="75" spans="1:23">
      <c r="A75" s="4" t="s">
        <v>7</v>
      </c>
      <c r="B75" s="4" t="s">
        <v>17</v>
      </c>
      <c r="C75" s="4" t="s">
        <v>18</v>
      </c>
      <c r="D75" s="4" t="s">
        <v>343</v>
      </c>
      <c r="E75" s="4" t="s">
        <v>468</v>
      </c>
      <c r="F75" s="4" t="s">
        <v>502</v>
      </c>
      <c r="G75" s="4" t="s">
        <v>529</v>
      </c>
      <c r="H75" s="4" t="s">
        <v>434</v>
      </c>
      <c r="I75" s="4" t="s">
        <v>294</v>
      </c>
      <c r="J75" s="88" t="s">
        <v>295</v>
      </c>
      <c r="K75" s="90">
        <f t="shared" si="6"/>
        <v>43311</v>
      </c>
      <c r="L75" s="88" t="s">
        <v>296</v>
      </c>
      <c r="M75" s="88">
        <f t="shared" si="4"/>
        <v>43314</v>
      </c>
      <c r="N75" s="85">
        <f t="shared" si="5"/>
        <v>3</v>
      </c>
      <c r="O75" s="4" t="s">
        <v>139</v>
      </c>
      <c r="P75" s="5">
        <v>0</v>
      </c>
      <c r="Q75" s="5">
        <v>246</v>
      </c>
      <c r="R75" s="5">
        <v>0</v>
      </c>
      <c r="S75" s="5">
        <v>12750</v>
      </c>
      <c r="T75" s="5">
        <v>12996</v>
      </c>
      <c r="U75" s="5">
        <v>0</v>
      </c>
      <c r="V75" s="5">
        <v>12996</v>
      </c>
      <c r="W75" s="4" t="s">
        <v>548</v>
      </c>
    </row>
    <row r="76" spans="1:23">
      <c r="A76" s="4" t="s">
        <v>7</v>
      </c>
      <c r="B76" s="4" t="s">
        <v>8</v>
      </c>
      <c r="C76" s="4" t="s">
        <v>9</v>
      </c>
      <c r="D76" s="4" t="s">
        <v>379</v>
      </c>
      <c r="E76" s="4" t="s">
        <v>462</v>
      </c>
      <c r="F76" s="4" t="s">
        <v>515</v>
      </c>
      <c r="G76" s="4" t="s">
        <v>533</v>
      </c>
      <c r="H76" s="4" t="s">
        <v>446</v>
      </c>
      <c r="I76" s="4" t="s">
        <v>115</v>
      </c>
      <c r="J76" s="88" t="s">
        <v>116</v>
      </c>
      <c r="K76" s="90">
        <f t="shared" si="6"/>
        <v>43311</v>
      </c>
      <c r="L76" s="88" t="s">
        <v>117</v>
      </c>
      <c r="M76" s="88">
        <f t="shared" si="4"/>
        <v>43314</v>
      </c>
      <c r="N76" s="85">
        <f t="shared" si="5"/>
        <v>3</v>
      </c>
      <c r="O76" s="4" t="s">
        <v>47</v>
      </c>
      <c r="P76" s="5">
        <v>3293.7062999999998</v>
      </c>
      <c r="Q76" s="5">
        <v>0</v>
      </c>
      <c r="R76" s="5">
        <v>8475</v>
      </c>
      <c r="S76" s="5">
        <v>404.25</v>
      </c>
      <c r="T76" s="5">
        <v>73413.705000000002</v>
      </c>
      <c r="U76" s="5">
        <v>0</v>
      </c>
      <c r="V76" s="5">
        <v>73413.705000000002</v>
      </c>
    </row>
    <row r="77" spans="1:23">
      <c r="A77" s="4" t="s">
        <v>7</v>
      </c>
      <c r="B77" s="4" t="s">
        <v>17</v>
      </c>
      <c r="C77" s="4" t="s">
        <v>18</v>
      </c>
      <c r="D77" s="4" t="s">
        <v>306</v>
      </c>
      <c r="E77" s="4" t="s">
        <v>465</v>
      </c>
      <c r="F77" s="4" t="s">
        <v>487</v>
      </c>
      <c r="G77" s="4" t="s">
        <v>520</v>
      </c>
      <c r="H77" s="4" t="s">
        <v>403</v>
      </c>
      <c r="I77" s="4" t="s">
        <v>195</v>
      </c>
      <c r="J77" s="88" t="s">
        <v>196</v>
      </c>
      <c r="K77" s="90">
        <f t="shared" si="6"/>
        <v>43311</v>
      </c>
      <c r="L77" s="88" t="s">
        <v>197</v>
      </c>
      <c r="M77" s="88">
        <f t="shared" si="4"/>
        <v>43313</v>
      </c>
      <c r="N77" s="85">
        <f t="shared" si="5"/>
        <v>2</v>
      </c>
      <c r="O77" s="4" t="s">
        <v>22</v>
      </c>
      <c r="P77" s="5">
        <v>152.7756</v>
      </c>
      <c r="Q77" s="5">
        <v>576.58500000000004</v>
      </c>
      <c r="R77" s="5">
        <v>0</v>
      </c>
      <c r="S77" s="5">
        <v>558.75</v>
      </c>
      <c r="T77" s="5">
        <v>24456.27</v>
      </c>
      <c r="U77" s="5">
        <v>24456</v>
      </c>
      <c r="V77" s="5">
        <v>0.27000000000043656</v>
      </c>
    </row>
    <row r="78" spans="1:23">
      <c r="A78" s="4" t="s">
        <v>7</v>
      </c>
      <c r="B78" s="4" t="s">
        <v>8</v>
      </c>
      <c r="C78" s="4" t="s">
        <v>9</v>
      </c>
      <c r="D78" s="4" t="s">
        <v>313</v>
      </c>
      <c r="E78" s="4" t="s">
        <v>462</v>
      </c>
      <c r="F78" s="4" t="s">
        <v>490</v>
      </c>
      <c r="G78" s="4" t="s">
        <v>522</v>
      </c>
      <c r="H78" s="4" t="s">
        <v>412</v>
      </c>
      <c r="I78" s="4" t="s">
        <v>54</v>
      </c>
      <c r="J78" s="88" t="s">
        <v>55</v>
      </c>
      <c r="K78" s="90">
        <f t="shared" si="6"/>
        <v>43311</v>
      </c>
      <c r="L78" s="88" t="s">
        <v>56</v>
      </c>
      <c r="M78" s="88">
        <f t="shared" si="4"/>
        <v>43313</v>
      </c>
      <c r="N78" s="85">
        <f t="shared" si="5"/>
        <v>2</v>
      </c>
      <c r="O78" s="4" t="s">
        <v>13</v>
      </c>
      <c r="P78" s="5">
        <v>280.14</v>
      </c>
      <c r="Q78" s="5">
        <v>39.75</v>
      </c>
      <c r="R78" s="5">
        <v>0</v>
      </c>
      <c r="S78" s="5">
        <v>3150</v>
      </c>
      <c r="T78" s="5">
        <v>30000</v>
      </c>
      <c r="U78" s="5">
        <v>30000</v>
      </c>
      <c r="V78" s="5">
        <v>0</v>
      </c>
    </row>
    <row r="79" spans="1:23">
      <c r="A79" s="4" t="s">
        <v>7</v>
      </c>
      <c r="B79" s="4" t="s">
        <v>8</v>
      </c>
      <c r="C79" s="4" t="s">
        <v>9</v>
      </c>
      <c r="D79" s="4" t="s">
        <v>378</v>
      </c>
      <c r="E79" s="4" t="s">
        <v>462</v>
      </c>
      <c r="F79" s="4" t="s">
        <v>515</v>
      </c>
      <c r="G79" s="4" t="s">
        <v>533</v>
      </c>
      <c r="H79" s="4" t="s">
        <v>455</v>
      </c>
      <c r="I79" s="4" t="s">
        <v>109</v>
      </c>
      <c r="J79" s="88" t="s">
        <v>110</v>
      </c>
      <c r="K79" s="90">
        <f t="shared" si="6"/>
        <v>43311</v>
      </c>
      <c r="L79" s="88" t="s">
        <v>111</v>
      </c>
      <c r="M79" s="88">
        <f t="shared" si="4"/>
        <v>43314</v>
      </c>
      <c r="N79" s="85">
        <f t="shared" si="5"/>
        <v>3</v>
      </c>
      <c r="O79" s="4" t="s">
        <v>47</v>
      </c>
      <c r="P79" s="5">
        <v>0</v>
      </c>
      <c r="Q79" s="5">
        <v>45000</v>
      </c>
      <c r="R79" s="5">
        <v>0</v>
      </c>
      <c r="S79" s="5">
        <v>52500</v>
      </c>
      <c r="T79" s="5">
        <v>97500</v>
      </c>
      <c r="U79" s="5">
        <v>0</v>
      </c>
      <c r="V79" s="5">
        <v>97500</v>
      </c>
      <c r="W79" s="4" t="s">
        <v>541</v>
      </c>
    </row>
    <row r="80" spans="1:23">
      <c r="A80" s="4" t="s">
        <v>7</v>
      </c>
      <c r="B80" s="4" t="s">
        <v>17</v>
      </c>
      <c r="C80" s="4" t="s">
        <v>18</v>
      </c>
      <c r="D80" s="4" t="s">
        <v>317</v>
      </c>
      <c r="E80" s="4" t="s">
        <v>471</v>
      </c>
      <c r="F80" s="4" t="s">
        <v>491</v>
      </c>
      <c r="G80" s="4" t="s">
        <v>523</v>
      </c>
      <c r="H80" s="4" t="s">
        <v>416</v>
      </c>
      <c r="I80" s="4" t="s">
        <v>238</v>
      </c>
      <c r="J80" s="88" t="s">
        <v>239</v>
      </c>
      <c r="K80" s="90">
        <f t="shared" si="6"/>
        <v>43311</v>
      </c>
      <c r="L80" s="88" t="s">
        <v>240</v>
      </c>
      <c r="M80" s="88">
        <f t="shared" si="4"/>
        <v>43313</v>
      </c>
      <c r="N80" s="85">
        <f t="shared" si="5"/>
        <v>2</v>
      </c>
      <c r="O80" s="4" t="s">
        <v>161</v>
      </c>
      <c r="P80" s="5">
        <v>140.3304</v>
      </c>
      <c r="Q80" s="5">
        <v>0</v>
      </c>
      <c r="R80" s="5">
        <v>6318.75</v>
      </c>
      <c r="S80" s="5">
        <v>2400</v>
      </c>
      <c r="T80" s="5">
        <v>46500</v>
      </c>
      <c r="U80" s="5">
        <v>46500</v>
      </c>
      <c r="V80" s="5">
        <v>0</v>
      </c>
    </row>
    <row r="81" spans="1:23">
      <c r="A81" s="4" t="s">
        <v>7</v>
      </c>
      <c r="B81" s="4" t="s">
        <v>8</v>
      </c>
      <c r="C81" s="4" t="s">
        <v>9</v>
      </c>
      <c r="D81" s="4" t="s">
        <v>377</v>
      </c>
      <c r="E81" s="4" t="s">
        <v>462</v>
      </c>
      <c r="F81" s="4" t="s">
        <v>515</v>
      </c>
      <c r="G81" s="4" t="s">
        <v>533</v>
      </c>
      <c r="H81" s="4" t="s">
        <v>454</v>
      </c>
      <c r="I81" s="4" t="s">
        <v>72</v>
      </c>
      <c r="J81" s="88" t="s">
        <v>73</v>
      </c>
      <c r="K81" s="90">
        <f t="shared" si="6"/>
        <v>43311</v>
      </c>
      <c r="L81" s="88" t="s">
        <v>74</v>
      </c>
      <c r="M81" s="88">
        <f t="shared" si="4"/>
        <v>43313</v>
      </c>
      <c r="N81" s="85">
        <f t="shared" si="5"/>
        <v>2</v>
      </c>
      <c r="O81" s="4" t="s">
        <v>47</v>
      </c>
      <c r="P81" s="5">
        <v>0</v>
      </c>
      <c r="Q81" s="5">
        <v>0</v>
      </c>
      <c r="R81" s="5">
        <v>0</v>
      </c>
      <c r="S81" s="5">
        <v>57000</v>
      </c>
      <c r="T81" s="5">
        <v>57000</v>
      </c>
      <c r="U81" s="5">
        <v>0</v>
      </c>
      <c r="V81" s="5">
        <v>57000</v>
      </c>
    </row>
    <row r="82" spans="1:23">
      <c r="A82" s="4" t="s">
        <v>7</v>
      </c>
      <c r="B82" s="4" t="s">
        <v>17</v>
      </c>
      <c r="C82" s="4" t="s">
        <v>18</v>
      </c>
      <c r="D82" s="4" t="s">
        <v>307</v>
      </c>
      <c r="E82" s="4" t="s">
        <v>463</v>
      </c>
      <c r="F82" s="4" t="s">
        <v>488</v>
      </c>
      <c r="G82" s="4" t="s">
        <v>520</v>
      </c>
      <c r="H82" s="4" t="s">
        <v>406</v>
      </c>
      <c r="I82" s="4" t="s">
        <v>235</v>
      </c>
      <c r="J82" s="88" t="s">
        <v>236</v>
      </c>
      <c r="K82" s="90">
        <f t="shared" si="6"/>
        <v>43311</v>
      </c>
      <c r="L82" s="88" t="s">
        <v>237</v>
      </c>
      <c r="M82" s="88">
        <f t="shared" si="4"/>
        <v>43313</v>
      </c>
      <c r="N82" s="85">
        <f t="shared" si="5"/>
        <v>2</v>
      </c>
      <c r="O82" s="4" t="s">
        <v>13</v>
      </c>
      <c r="P82" s="5">
        <v>0</v>
      </c>
      <c r="Q82" s="5">
        <v>24.674999999999997</v>
      </c>
      <c r="R82" s="5">
        <v>0</v>
      </c>
      <c r="S82" s="5">
        <v>1125</v>
      </c>
      <c r="T82" s="5">
        <v>7502.61</v>
      </c>
      <c r="U82" s="5">
        <v>7502.25</v>
      </c>
      <c r="V82" s="5">
        <v>0.35999999999967258</v>
      </c>
      <c r="W82" s="4" t="s">
        <v>542</v>
      </c>
    </row>
    <row r="83" spans="1:23">
      <c r="A83" s="4" t="s">
        <v>7</v>
      </c>
      <c r="B83" s="4" t="s">
        <v>8</v>
      </c>
      <c r="C83" s="4" t="s">
        <v>9</v>
      </c>
      <c r="D83" s="4" t="s">
        <v>298</v>
      </c>
      <c r="E83" s="4" t="s">
        <v>462</v>
      </c>
      <c r="F83" s="4" t="s">
        <v>485</v>
      </c>
      <c r="G83" s="4" t="s">
        <v>519</v>
      </c>
      <c r="H83" s="4" t="s">
        <v>398</v>
      </c>
      <c r="I83" s="4" t="s">
        <v>103</v>
      </c>
      <c r="J83" s="88" t="s">
        <v>104</v>
      </c>
      <c r="K83" s="90">
        <f t="shared" si="6"/>
        <v>43312</v>
      </c>
      <c r="L83" s="88" t="s">
        <v>105</v>
      </c>
      <c r="M83" s="88">
        <f t="shared" si="4"/>
        <v>43314</v>
      </c>
      <c r="N83" s="85">
        <f t="shared" si="5"/>
        <v>2</v>
      </c>
      <c r="O83" s="4" t="s">
        <v>47</v>
      </c>
      <c r="P83" s="5">
        <v>0</v>
      </c>
      <c r="Q83" s="5">
        <v>0</v>
      </c>
      <c r="R83" s="5">
        <v>0</v>
      </c>
      <c r="S83" s="5">
        <v>9375</v>
      </c>
      <c r="T83" s="5">
        <v>9375</v>
      </c>
      <c r="U83" s="5">
        <v>0</v>
      </c>
      <c r="V83" s="5">
        <v>9375</v>
      </c>
    </row>
    <row r="84" spans="1:23">
      <c r="A84" s="4" t="s">
        <v>7</v>
      </c>
      <c r="B84" s="4" t="s">
        <v>17</v>
      </c>
      <c r="C84" s="4" t="s">
        <v>18</v>
      </c>
      <c r="D84" s="4" t="s">
        <v>327</v>
      </c>
      <c r="E84" s="4" t="s">
        <v>473</v>
      </c>
      <c r="F84" s="4" t="s">
        <v>495</v>
      </c>
      <c r="G84" s="4" t="s">
        <v>525</v>
      </c>
      <c r="H84" s="4" t="s">
        <v>398</v>
      </c>
      <c r="I84" s="4" t="s">
        <v>244</v>
      </c>
      <c r="J84" s="88" t="s">
        <v>245</v>
      </c>
      <c r="K84" s="90">
        <f t="shared" si="6"/>
        <v>43312</v>
      </c>
      <c r="L84" s="88" t="s">
        <v>241</v>
      </c>
      <c r="M84" s="88">
        <f t="shared" si="4"/>
        <v>43314</v>
      </c>
      <c r="N84" s="85">
        <f t="shared" si="5"/>
        <v>2</v>
      </c>
      <c r="O84" s="4" t="s">
        <v>161</v>
      </c>
      <c r="P84" s="5">
        <v>320.167125</v>
      </c>
      <c r="Q84" s="5">
        <v>7.5</v>
      </c>
      <c r="R84" s="5">
        <v>1372.5</v>
      </c>
      <c r="S84" s="5">
        <v>558.75</v>
      </c>
      <c r="T84" s="5">
        <v>75000</v>
      </c>
      <c r="U84" s="5">
        <v>75000</v>
      </c>
      <c r="V84" s="5">
        <v>0</v>
      </c>
    </row>
    <row r="85" spans="1:23">
      <c r="A85" s="4" t="s">
        <v>7</v>
      </c>
      <c r="B85" s="4" t="s">
        <v>8</v>
      </c>
      <c r="C85" s="4" t="s">
        <v>9</v>
      </c>
      <c r="D85" s="4" t="s">
        <v>326</v>
      </c>
      <c r="E85" s="4" t="s">
        <v>462</v>
      </c>
      <c r="F85" s="4" t="s">
        <v>495</v>
      </c>
      <c r="G85" s="4" t="s">
        <v>525</v>
      </c>
      <c r="H85" s="4" t="s">
        <v>423</v>
      </c>
      <c r="I85" s="4" t="s">
        <v>96</v>
      </c>
      <c r="J85" s="88" t="s">
        <v>97</v>
      </c>
      <c r="K85" s="90">
        <f t="shared" si="6"/>
        <v>43312</v>
      </c>
      <c r="L85" s="88" t="s">
        <v>98</v>
      </c>
      <c r="M85" s="88">
        <f t="shared" si="4"/>
        <v>43314</v>
      </c>
      <c r="N85" s="85">
        <f t="shared" si="5"/>
        <v>2</v>
      </c>
      <c r="O85" s="4" t="s">
        <v>47</v>
      </c>
      <c r="P85" s="5">
        <v>57.161999999999992</v>
      </c>
      <c r="Q85" s="5">
        <v>0</v>
      </c>
      <c r="R85" s="5">
        <v>2613.75</v>
      </c>
      <c r="S85" s="5">
        <v>8077.5</v>
      </c>
      <c r="T85" s="5">
        <v>41250</v>
      </c>
      <c r="U85" s="5">
        <v>41250</v>
      </c>
      <c r="V85" s="5">
        <v>0</v>
      </c>
    </row>
    <row r="86" spans="1:23">
      <c r="A86" s="4" t="s">
        <v>7</v>
      </c>
      <c r="B86" s="4" t="s">
        <v>8</v>
      </c>
      <c r="C86" s="4" t="s">
        <v>9</v>
      </c>
      <c r="D86" s="4" t="s">
        <v>344</v>
      </c>
      <c r="E86" s="4" t="s">
        <v>462</v>
      </c>
      <c r="F86" s="4" t="s">
        <v>503</v>
      </c>
      <c r="G86" s="4" t="s">
        <v>530</v>
      </c>
      <c r="H86" s="4" t="s">
        <v>435</v>
      </c>
      <c r="I86" s="4" t="s">
        <v>48</v>
      </c>
      <c r="J86" s="88" t="s">
        <v>49</v>
      </c>
      <c r="K86" s="90">
        <f t="shared" si="6"/>
        <v>43312</v>
      </c>
      <c r="L86" s="88" t="s">
        <v>50</v>
      </c>
      <c r="M86" s="88">
        <f t="shared" si="4"/>
        <v>43313</v>
      </c>
      <c r="N86" s="85">
        <f t="shared" si="5"/>
        <v>1</v>
      </c>
      <c r="O86" s="4" t="s">
        <v>47</v>
      </c>
      <c r="P86" s="5">
        <v>367.38967500000001</v>
      </c>
      <c r="Q86" s="5">
        <v>0</v>
      </c>
      <c r="R86" s="5">
        <v>2021.25</v>
      </c>
      <c r="S86" s="5">
        <v>6577.5</v>
      </c>
      <c r="T86" s="5">
        <v>23576.864999999998</v>
      </c>
      <c r="U86" s="5">
        <v>0</v>
      </c>
      <c r="V86" s="5">
        <v>23576.864999999998</v>
      </c>
    </row>
    <row r="87" spans="1:23">
      <c r="A87" s="4" t="s">
        <v>7</v>
      </c>
      <c r="B87" s="4" t="s">
        <v>8</v>
      </c>
      <c r="C87" s="4" t="s">
        <v>9</v>
      </c>
      <c r="D87" s="4" t="s">
        <v>328</v>
      </c>
      <c r="E87" s="4" t="s">
        <v>462</v>
      </c>
      <c r="F87" s="4" t="s">
        <v>496</v>
      </c>
      <c r="G87" s="4" t="s">
        <v>526</v>
      </c>
      <c r="H87" s="4" t="s">
        <v>424</v>
      </c>
      <c r="I87" s="4" t="s">
        <v>10</v>
      </c>
      <c r="J87" s="88" t="s">
        <v>11</v>
      </c>
      <c r="K87" s="90">
        <f t="shared" si="6"/>
        <v>43312</v>
      </c>
      <c r="L87" s="88" t="s">
        <v>12</v>
      </c>
      <c r="M87" s="88">
        <f t="shared" si="4"/>
        <v>43313</v>
      </c>
      <c r="N87" s="85">
        <f t="shared" si="5"/>
        <v>1</v>
      </c>
      <c r="O87" s="4" t="s">
        <v>13</v>
      </c>
      <c r="P87" s="5">
        <v>252.64679999999998</v>
      </c>
      <c r="Q87" s="5">
        <v>99</v>
      </c>
      <c r="R87" s="5">
        <v>712.5</v>
      </c>
      <c r="S87" s="5">
        <v>6187.5</v>
      </c>
      <c r="T87" s="5">
        <v>142499.77500000002</v>
      </c>
      <c r="U87" s="5">
        <v>142500</v>
      </c>
      <c r="V87" s="5">
        <v>-0.22499999997671694</v>
      </c>
    </row>
    <row r="88" spans="1:23">
      <c r="A88" s="4" t="s">
        <v>7</v>
      </c>
      <c r="B88" s="4" t="s">
        <v>17</v>
      </c>
      <c r="C88" s="4" t="s">
        <v>18</v>
      </c>
      <c r="D88" s="4" t="s">
        <v>376</v>
      </c>
      <c r="E88" s="4" t="s">
        <v>466</v>
      </c>
      <c r="F88" s="4" t="s">
        <v>513</v>
      </c>
      <c r="G88" s="4" t="s">
        <v>532</v>
      </c>
      <c r="H88" s="4" t="s">
        <v>452</v>
      </c>
      <c r="I88" s="4" t="s">
        <v>272</v>
      </c>
      <c r="J88" s="88" t="s">
        <v>273</v>
      </c>
      <c r="K88" s="90">
        <f t="shared" si="6"/>
        <v>43312</v>
      </c>
      <c r="L88" s="88" t="s">
        <v>274</v>
      </c>
      <c r="M88" s="88">
        <f t="shared" si="4"/>
        <v>43314</v>
      </c>
      <c r="N88" s="85">
        <f t="shared" si="5"/>
        <v>2</v>
      </c>
      <c r="O88" s="4" t="s">
        <v>157</v>
      </c>
      <c r="P88" s="5">
        <v>24.595199999999998</v>
      </c>
      <c r="Q88" s="5">
        <v>2044.0274999999999</v>
      </c>
      <c r="R88" s="5">
        <v>2606.25</v>
      </c>
      <c r="S88" s="5">
        <v>16267.5</v>
      </c>
      <c r="T88" s="5">
        <v>101171.28749999999</v>
      </c>
      <c r="U88" s="5">
        <v>1569.75</v>
      </c>
      <c r="V88" s="5">
        <v>99601.537499999991</v>
      </c>
      <c r="W88" s="4" t="s">
        <v>564</v>
      </c>
    </row>
    <row r="89" spans="1:23">
      <c r="A89" s="4" t="s">
        <v>7</v>
      </c>
      <c r="B89" s="4" t="s">
        <v>17</v>
      </c>
      <c r="C89" s="4" t="s">
        <v>18</v>
      </c>
      <c r="D89" s="4" t="s">
        <v>381</v>
      </c>
      <c r="E89" s="4" t="s">
        <v>466</v>
      </c>
      <c r="F89" s="4" t="s">
        <v>515</v>
      </c>
      <c r="G89" s="4" t="s">
        <v>533</v>
      </c>
      <c r="H89" s="4" t="s">
        <v>402</v>
      </c>
      <c r="I89" s="4" t="s">
        <v>184</v>
      </c>
      <c r="J89" s="88" t="s">
        <v>185</v>
      </c>
      <c r="K89" s="90">
        <f t="shared" si="6"/>
        <v>43312</v>
      </c>
      <c r="L89" s="88" t="s">
        <v>186</v>
      </c>
      <c r="M89" s="88">
        <f t="shared" si="4"/>
        <v>43313</v>
      </c>
      <c r="N89" s="85">
        <f t="shared" si="5"/>
        <v>1</v>
      </c>
      <c r="O89" s="4" t="s">
        <v>157</v>
      </c>
      <c r="P89" s="5">
        <v>267.13747499999999</v>
      </c>
      <c r="Q89" s="5">
        <v>0</v>
      </c>
      <c r="R89" s="5">
        <v>11364.75</v>
      </c>
      <c r="S89" s="5">
        <v>6655.5</v>
      </c>
      <c r="T89" s="5">
        <v>58380.959999999999</v>
      </c>
      <c r="U89" s="5">
        <v>0</v>
      </c>
      <c r="V89" s="5">
        <v>58380.959999999999</v>
      </c>
      <c r="W89" s="4" t="s">
        <v>565</v>
      </c>
    </row>
    <row r="90" spans="1:23">
      <c r="A90" s="4" t="s">
        <v>7</v>
      </c>
      <c r="B90" s="4" t="s">
        <v>8</v>
      </c>
      <c r="C90" s="4" t="s">
        <v>9</v>
      </c>
      <c r="D90" s="4" t="s">
        <v>345</v>
      </c>
      <c r="E90" s="4" t="s">
        <v>462</v>
      </c>
      <c r="F90" s="4" t="s">
        <v>504</v>
      </c>
      <c r="G90" s="4" t="s">
        <v>530</v>
      </c>
      <c r="H90" s="4" t="s">
        <v>428</v>
      </c>
      <c r="I90" s="4" t="s">
        <v>63</v>
      </c>
      <c r="J90" s="88" t="s">
        <v>64</v>
      </c>
      <c r="K90" s="90">
        <f t="shared" si="6"/>
        <v>43312</v>
      </c>
      <c r="L90" s="88" t="s">
        <v>65</v>
      </c>
      <c r="M90" s="88">
        <f t="shared" si="4"/>
        <v>43313</v>
      </c>
      <c r="N90" s="85">
        <f t="shared" si="5"/>
        <v>1</v>
      </c>
      <c r="O90" s="4" t="s">
        <v>47</v>
      </c>
      <c r="P90" s="5">
        <v>0</v>
      </c>
      <c r="Q90" s="5">
        <v>0</v>
      </c>
      <c r="R90" s="5">
        <v>1976.25</v>
      </c>
      <c r="S90" s="5">
        <v>46500</v>
      </c>
      <c r="T90" s="5">
        <v>138364.875</v>
      </c>
      <c r="U90" s="5">
        <v>0</v>
      </c>
      <c r="V90" s="5">
        <v>138364.875</v>
      </c>
    </row>
    <row r="91" spans="1:23">
      <c r="A91" s="4" t="s">
        <v>7</v>
      </c>
      <c r="B91" s="4" t="s">
        <v>17</v>
      </c>
      <c r="C91" s="4" t="s">
        <v>18</v>
      </c>
      <c r="D91" s="4" t="s">
        <v>354</v>
      </c>
      <c r="E91" s="4" t="s">
        <v>477</v>
      </c>
      <c r="F91" s="4" t="s">
        <v>509</v>
      </c>
      <c r="G91" s="4" t="s">
        <v>530</v>
      </c>
      <c r="H91" s="4" t="s">
        <v>400</v>
      </c>
      <c r="I91" s="4" t="s">
        <v>82</v>
      </c>
      <c r="J91" s="88" t="s">
        <v>158</v>
      </c>
      <c r="K91" s="90">
        <f t="shared" si="6"/>
        <v>43312</v>
      </c>
      <c r="L91" s="88" t="s">
        <v>159</v>
      </c>
      <c r="M91" s="88">
        <f t="shared" si="4"/>
        <v>43313</v>
      </c>
      <c r="N91" s="85">
        <f t="shared" si="5"/>
        <v>1</v>
      </c>
      <c r="O91" s="4" t="s">
        <v>139</v>
      </c>
      <c r="P91" s="5">
        <v>0</v>
      </c>
      <c r="Q91" s="5">
        <v>0</v>
      </c>
      <c r="R91" s="5">
        <v>0</v>
      </c>
      <c r="S91" s="5">
        <v>10875</v>
      </c>
      <c r="T91" s="5">
        <v>10875</v>
      </c>
      <c r="U91" s="5">
        <v>0</v>
      </c>
      <c r="V91" s="5">
        <v>10875</v>
      </c>
      <c r="W91" s="4" t="s">
        <v>554</v>
      </c>
    </row>
    <row r="92" spans="1:23">
      <c r="A92" s="4" t="s">
        <v>7</v>
      </c>
      <c r="B92" s="4" t="s">
        <v>8</v>
      </c>
      <c r="C92" s="4" t="s">
        <v>9</v>
      </c>
      <c r="D92" s="4" t="s">
        <v>335</v>
      </c>
      <c r="E92" s="4" t="s">
        <v>462</v>
      </c>
      <c r="F92" s="4" t="s">
        <v>499</v>
      </c>
      <c r="G92" s="4" t="s">
        <v>528</v>
      </c>
      <c r="H92" s="4" t="s">
        <v>413</v>
      </c>
      <c r="I92" s="4" t="s">
        <v>66</v>
      </c>
      <c r="J92" s="88" t="s">
        <v>67</v>
      </c>
      <c r="K92" s="90">
        <f t="shared" si="6"/>
        <v>43312</v>
      </c>
      <c r="L92" s="88" t="s">
        <v>68</v>
      </c>
      <c r="M92" s="88">
        <f t="shared" si="4"/>
        <v>43313</v>
      </c>
      <c r="N92" s="85">
        <f t="shared" si="5"/>
        <v>1</v>
      </c>
      <c r="O92" s="4" t="s">
        <v>47</v>
      </c>
      <c r="P92" s="5">
        <v>0</v>
      </c>
      <c r="Q92" s="5">
        <v>0</v>
      </c>
      <c r="R92" s="5">
        <v>0</v>
      </c>
      <c r="S92" s="5">
        <v>9750</v>
      </c>
      <c r="T92" s="5">
        <v>9750</v>
      </c>
      <c r="U92" s="5">
        <v>9750</v>
      </c>
      <c r="V92" s="5">
        <v>0</v>
      </c>
    </row>
    <row r="93" spans="1:23">
      <c r="A93" s="4" t="s">
        <v>7</v>
      </c>
      <c r="B93" s="4" t="s">
        <v>17</v>
      </c>
      <c r="C93" s="4" t="s">
        <v>18</v>
      </c>
      <c r="D93" s="4" t="s">
        <v>372</v>
      </c>
      <c r="E93" s="4" t="s">
        <v>465</v>
      </c>
      <c r="F93" s="4" t="s">
        <v>512</v>
      </c>
      <c r="G93" s="4" t="s">
        <v>531</v>
      </c>
      <c r="H93" s="4" t="s">
        <v>449</v>
      </c>
      <c r="I93" s="4" t="s">
        <v>200</v>
      </c>
      <c r="J93" s="88" t="s">
        <v>201</v>
      </c>
      <c r="K93" s="90">
        <f t="shared" si="6"/>
        <v>43312</v>
      </c>
      <c r="L93" s="88" t="s">
        <v>202</v>
      </c>
      <c r="M93" s="88">
        <f t="shared" si="4"/>
        <v>43313</v>
      </c>
      <c r="N93" s="85">
        <f t="shared" si="5"/>
        <v>1</v>
      </c>
      <c r="O93" s="4" t="s">
        <v>22</v>
      </c>
      <c r="P93" s="5">
        <v>0</v>
      </c>
      <c r="Q93" s="5">
        <v>0</v>
      </c>
      <c r="R93" s="5">
        <v>0</v>
      </c>
      <c r="S93" s="5">
        <v>86884.5</v>
      </c>
      <c r="T93" s="5">
        <v>86884.5</v>
      </c>
      <c r="U93" s="5">
        <v>0</v>
      </c>
      <c r="V93" s="5">
        <v>86884.5</v>
      </c>
    </row>
    <row r="94" spans="1:23">
      <c r="A94" s="4" t="s">
        <v>7</v>
      </c>
      <c r="B94" s="4" t="s">
        <v>8</v>
      </c>
      <c r="C94" s="4" t="s">
        <v>9</v>
      </c>
      <c r="D94" s="4" t="s">
        <v>389</v>
      </c>
      <c r="E94" s="4" t="s">
        <v>462</v>
      </c>
      <c r="F94" s="4" t="s">
        <v>517</v>
      </c>
      <c r="G94" s="4" t="s">
        <v>534</v>
      </c>
      <c r="H94" s="4" t="s">
        <v>458</v>
      </c>
      <c r="I94" s="4" t="s">
        <v>124</v>
      </c>
      <c r="J94" s="88" t="s">
        <v>125</v>
      </c>
      <c r="K94" s="90">
        <f t="shared" si="6"/>
        <v>43312</v>
      </c>
      <c r="L94" s="88" t="s">
        <v>126</v>
      </c>
      <c r="M94" s="88">
        <f t="shared" si="4"/>
        <v>43314</v>
      </c>
      <c r="N94" s="85">
        <f t="shared" si="5"/>
        <v>2</v>
      </c>
      <c r="O94" s="4" t="s">
        <v>13</v>
      </c>
      <c r="P94" s="5">
        <v>0</v>
      </c>
      <c r="Q94" s="5">
        <v>0</v>
      </c>
      <c r="R94" s="5">
        <v>0</v>
      </c>
      <c r="S94" s="5">
        <v>55500</v>
      </c>
      <c r="T94" s="5">
        <v>55500</v>
      </c>
      <c r="U94" s="5">
        <v>0</v>
      </c>
      <c r="V94" s="5">
        <v>55500</v>
      </c>
    </row>
    <row r="95" spans="1:23">
      <c r="A95" s="4" t="s">
        <v>7</v>
      </c>
      <c r="B95" s="4" t="s">
        <v>17</v>
      </c>
      <c r="C95" s="4" t="s">
        <v>18</v>
      </c>
      <c r="D95" s="4" t="s">
        <v>311</v>
      </c>
      <c r="E95" s="4" t="s">
        <v>468</v>
      </c>
      <c r="F95" s="4" t="s">
        <v>489</v>
      </c>
      <c r="G95" s="4" t="s">
        <v>521</v>
      </c>
      <c r="H95" s="4" t="s">
        <v>410</v>
      </c>
      <c r="I95" s="4" t="s">
        <v>211</v>
      </c>
      <c r="J95" s="88" t="s">
        <v>213</v>
      </c>
      <c r="K95" s="90">
        <f t="shared" si="6"/>
        <v>43312</v>
      </c>
      <c r="L95" s="88" t="s">
        <v>24</v>
      </c>
      <c r="M95" s="88">
        <f t="shared" si="4"/>
        <v>43313</v>
      </c>
      <c r="N95" s="85">
        <f t="shared" si="5"/>
        <v>1</v>
      </c>
      <c r="O95" s="4" t="s">
        <v>139</v>
      </c>
      <c r="P95" s="5">
        <v>57.12</v>
      </c>
      <c r="Q95" s="5">
        <v>0</v>
      </c>
      <c r="R95" s="5">
        <v>15015</v>
      </c>
      <c r="S95" s="5">
        <v>375</v>
      </c>
      <c r="T95" s="5">
        <v>30000</v>
      </c>
      <c r="U95" s="5">
        <v>30000</v>
      </c>
      <c r="V95" s="5">
        <v>0</v>
      </c>
    </row>
    <row r="96" spans="1:23">
      <c r="A96" s="4" t="s">
        <v>7</v>
      </c>
      <c r="B96" s="4" t="s">
        <v>17</v>
      </c>
      <c r="C96" s="4" t="s">
        <v>18</v>
      </c>
      <c r="D96" s="4" t="s">
        <v>312</v>
      </c>
      <c r="E96" s="4" t="s">
        <v>468</v>
      </c>
      <c r="F96" s="4" t="s">
        <v>489</v>
      </c>
      <c r="G96" s="4" t="s">
        <v>521</v>
      </c>
      <c r="H96" s="4" t="s">
        <v>411</v>
      </c>
      <c r="I96" s="4" t="s">
        <v>29</v>
      </c>
      <c r="J96" s="88" t="s">
        <v>228</v>
      </c>
      <c r="K96" s="90">
        <f t="shared" si="6"/>
        <v>43312</v>
      </c>
      <c r="L96" s="88" t="s">
        <v>229</v>
      </c>
      <c r="M96" s="88">
        <f t="shared" si="4"/>
        <v>43313</v>
      </c>
      <c r="N96" s="85">
        <f t="shared" si="5"/>
        <v>1</v>
      </c>
      <c r="O96" s="4" t="s">
        <v>142</v>
      </c>
      <c r="P96" s="5">
        <v>136.9308</v>
      </c>
      <c r="Q96" s="5">
        <v>0</v>
      </c>
      <c r="R96" s="5">
        <v>4601.25</v>
      </c>
      <c r="S96" s="5">
        <v>1875</v>
      </c>
      <c r="T96" s="5">
        <v>62667.097500000003</v>
      </c>
      <c r="U96" s="5">
        <v>62667</v>
      </c>
      <c r="V96" s="5">
        <v>9.750000000349246E-2</v>
      </c>
    </row>
    <row r="97" spans="1:23">
      <c r="A97" s="4" t="s">
        <v>7</v>
      </c>
      <c r="B97" s="4" t="s">
        <v>17</v>
      </c>
      <c r="C97" s="4" t="s">
        <v>18</v>
      </c>
      <c r="D97" s="4" t="s">
        <v>361</v>
      </c>
      <c r="E97" s="4" t="s">
        <v>464</v>
      </c>
      <c r="F97" s="4" t="s">
        <v>511</v>
      </c>
      <c r="G97" s="4" t="s">
        <v>530</v>
      </c>
      <c r="H97" s="4" t="s">
        <v>442</v>
      </c>
      <c r="I97" s="4" t="s">
        <v>217</v>
      </c>
      <c r="J97" s="88" t="s">
        <v>218</v>
      </c>
      <c r="K97" s="90">
        <f t="shared" si="6"/>
        <v>43312</v>
      </c>
      <c r="L97" s="88" t="s">
        <v>219</v>
      </c>
      <c r="M97" s="88">
        <f t="shared" si="4"/>
        <v>43313</v>
      </c>
      <c r="N97" s="85">
        <f t="shared" si="5"/>
        <v>1</v>
      </c>
      <c r="O97" s="4" t="s">
        <v>139</v>
      </c>
      <c r="P97" s="5">
        <v>44.099999999999994</v>
      </c>
      <c r="Q97" s="5">
        <v>99</v>
      </c>
      <c r="R97" s="5">
        <v>0</v>
      </c>
      <c r="S97" s="5">
        <v>3000</v>
      </c>
      <c r="T97" s="5">
        <v>22460.017499999998</v>
      </c>
      <c r="U97" s="5">
        <v>0</v>
      </c>
      <c r="V97" s="5">
        <v>22460.017499999998</v>
      </c>
    </row>
    <row r="98" spans="1:23">
      <c r="A98" s="4" t="s">
        <v>7</v>
      </c>
      <c r="B98" s="4" t="s">
        <v>8</v>
      </c>
      <c r="C98" s="4" t="s">
        <v>9</v>
      </c>
      <c r="D98" s="4" t="s">
        <v>334</v>
      </c>
      <c r="E98" s="4" t="s">
        <v>462</v>
      </c>
      <c r="F98" s="4" t="s">
        <v>498</v>
      </c>
      <c r="G98" s="4" t="s">
        <v>527</v>
      </c>
      <c r="H98" s="4" t="s">
        <v>427</v>
      </c>
      <c r="I98" s="4" t="s">
        <v>121</v>
      </c>
      <c r="J98" s="88" t="s">
        <v>122</v>
      </c>
      <c r="K98" s="90">
        <f t="shared" si="6"/>
        <v>43312</v>
      </c>
      <c r="L98" s="88" t="s">
        <v>123</v>
      </c>
      <c r="M98" s="88">
        <f t="shared" si="4"/>
        <v>43314</v>
      </c>
      <c r="N98" s="85">
        <f t="shared" si="5"/>
        <v>2</v>
      </c>
      <c r="O98" s="4" t="s">
        <v>102</v>
      </c>
      <c r="P98" s="5">
        <v>56.699999999999996</v>
      </c>
      <c r="Q98" s="5">
        <v>112.125</v>
      </c>
      <c r="R98" s="5">
        <v>900</v>
      </c>
      <c r="S98" s="5">
        <v>3712.5</v>
      </c>
      <c r="T98" s="5">
        <v>135000</v>
      </c>
      <c r="U98" s="5">
        <v>135000</v>
      </c>
      <c r="V98" s="5">
        <v>0</v>
      </c>
    </row>
    <row r="99" spans="1:23">
      <c r="A99" s="4" t="s">
        <v>7</v>
      </c>
      <c r="B99" s="4" t="s">
        <v>17</v>
      </c>
      <c r="C99" s="4" t="s">
        <v>18</v>
      </c>
      <c r="D99" s="4" t="s">
        <v>305</v>
      </c>
      <c r="E99" s="4" t="s">
        <v>464</v>
      </c>
      <c r="F99" s="4" t="s">
        <v>486</v>
      </c>
      <c r="G99" s="4" t="s">
        <v>520</v>
      </c>
      <c r="H99" s="4" t="s">
        <v>405</v>
      </c>
      <c r="I99" s="4" t="s">
        <v>72</v>
      </c>
      <c r="J99" s="88" t="s">
        <v>167</v>
      </c>
      <c r="K99" s="90">
        <f t="shared" si="6"/>
        <v>43312</v>
      </c>
      <c r="L99" s="88" t="s">
        <v>168</v>
      </c>
      <c r="M99" s="88">
        <f t="shared" si="4"/>
        <v>43313</v>
      </c>
      <c r="N99" s="85">
        <f t="shared" si="5"/>
        <v>1</v>
      </c>
      <c r="O99" s="4" t="s">
        <v>142</v>
      </c>
      <c r="P99" s="5">
        <v>0</v>
      </c>
      <c r="Q99" s="5">
        <v>0</v>
      </c>
      <c r="R99" s="5">
        <v>0</v>
      </c>
      <c r="S99" s="5">
        <v>375</v>
      </c>
      <c r="T99" s="5">
        <v>375</v>
      </c>
      <c r="U99" s="5">
        <v>375</v>
      </c>
      <c r="V99" s="5">
        <v>0</v>
      </c>
      <c r="W99" s="4" t="s">
        <v>541</v>
      </c>
    </row>
    <row r="100" spans="1:23">
      <c r="A100" s="4" t="s">
        <v>7</v>
      </c>
      <c r="B100" s="4" t="s">
        <v>8</v>
      </c>
      <c r="C100" s="4" t="s">
        <v>9</v>
      </c>
      <c r="D100" s="4" t="s">
        <v>300</v>
      </c>
      <c r="E100" s="4" t="s">
        <v>462</v>
      </c>
      <c r="F100" s="4" t="s">
        <v>486</v>
      </c>
      <c r="G100" s="4" t="s">
        <v>520</v>
      </c>
      <c r="H100" s="4" t="s">
        <v>400</v>
      </c>
      <c r="I100" s="4" t="s">
        <v>39</v>
      </c>
      <c r="J100" s="88" t="s">
        <v>40</v>
      </c>
      <c r="K100" s="90">
        <f t="shared" si="6"/>
        <v>43312</v>
      </c>
      <c r="L100" s="88" t="s">
        <v>41</v>
      </c>
      <c r="M100" s="88">
        <f t="shared" si="4"/>
        <v>43313</v>
      </c>
      <c r="N100" s="85">
        <f t="shared" si="5"/>
        <v>1</v>
      </c>
      <c r="O100" s="4" t="s">
        <v>13</v>
      </c>
      <c r="P100" s="5">
        <v>0</v>
      </c>
      <c r="Q100" s="5">
        <v>0</v>
      </c>
      <c r="R100" s="5">
        <v>0</v>
      </c>
      <c r="S100" s="5">
        <v>9375</v>
      </c>
      <c r="T100" s="5">
        <v>9375</v>
      </c>
      <c r="U100" s="5">
        <v>0</v>
      </c>
      <c r="V100" s="5">
        <v>9375</v>
      </c>
      <c r="W100" s="4" t="s">
        <v>539</v>
      </c>
    </row>
    <row r="101" spans="1:23">
      <c r="A101" s="4" t="s">
        <v>7</v>
      </c>
      <c r="B101" s="4" t="s">
        <v>17</v>
      </c>
      <c r="C101" s="4" t="s">
        <v>9</v>
      </c>
      <c r="D101" s="4" t="s">
        <v>351</v>
      </c>
      <c r="E101" s="4" t="s">
        <v>462</v>
      </c>
      <c r="F101" s="4" t="s">
        <v>507</v>
      </c>
      <c r="G101" s="4" t="s">
        <v>530</v>
      </c>
      <c r="H101" s="4" t="s">
        <v>439</v>
      </c>
      <c r="I101" s="4" t="s">
        <v>26</v>
      </c>
      <c r="J101" s="88" t="s">
        <v>140</v>
      </c>
      <c r="K101" s="90">
        <f t="shared" si="6"/>
        <v>43312</v>
      </c>
      <c r="L101" s="88" t="s">
        <v>141</v>
      </c>
      <c r="M101" s="88">
        <f t="shared" si="4"/>
        <v>43313</v>
      </c>
      <c r="N101" s="85">
        <f t="shared" si="5"/>
        <v>1</v>
      </c>
      <c r="O101" s="4" t="s">
        <v>142</v>
      </c>
      <c r="P101" s="5">
        <v>0</v>
      </c>
      <c r="Q101" s="5">
        <v>35594.25</v>
      </c>
      <c r="R101" s="5">
        <v>0</v>
      </c>
      <c r="S101" s="5">
        <v>16107.75</v>
      </c>
      <c r="T101" s="5">
        <v>51702</v>
      </c>
      <c r="U101" s="5">
        <v>0</v>
      </c>
      <c r="V101" s="5">
        <v>51702</v>
      </c>
      <c r="W101" s="4" t="s">
        <v>551</v>
      </c>
    </row>
    <row r="102" spans="1:23">
      <c r="A102" s="4" t="s">
        <v>7</v>
      </c>
      <c r="B102" s="4" t="s">
        <v>17</v>
      </c>
      <c r="C102" s="4" t="s">
        <v>18</v>
      </c>
      <c r="D102" s="4" t="s">
        <v>351</v>
      </c>
      <c r="E102" s="4" t="s">
        <v>464</v>
      </c>
      <c r="F102" s="4" t="s">
        <v>507</v>
      </c>
      <c r="G102" s="4" t="s">
        <v>530</v>
      </c>
      <c r="H102" s="4" t="s">
        <v>436</v>
      </c>
      <c r="I102" s="4" t="s">
        <v>26</v>
      </c>
      <c r="J102" s="88" t="s">
        <v>140</v>
      </c>
      <c r="K102" s="90">
        <f t="shared" si="6"/>
        <v>43312</v>
      </c>
      <c r="L102" s="88" t="s">
        <v>141</v>
      </c>
      <c r="M102" s="88">
        <f t="shared" si="4"/>
        <v>43313</v>
      </c>
      <c r="N102" s="85">
        <f t="shared" si="5"/>
        <v>1</v>
      </c>
      <c r="O102" s="4" t="s">
        <v>142</v>
      </c>
      <c r="P102" s="5">
        <v>0</v>
      </c>
      <c r="Q102" s="5">
        <v>0</v>
      </c>
      <c r="R102" s="5">
        <v>0</v>
      </c>
      <c r="S102" s="5">
        <v>30375</v>
      </c>
      <c r="T102" s="5">
        <v>30375</v>
      </c>
      <c r="U102" s="5">
        <v>0</v>
      </c>
      <c r="V102" s="5">
        <v>30375</v>
      </c>
      <c r="W102" s="4" t="s">
        <v>551</v>
      </c>
    </row>
    <row r="103" spans="1:23">
      <c r="A103" s="4" t="s">
        <v>7</v>
      </c>
      <c r="B103" s="4" t="s">
        <v>8</v>
      </c>
      <c r="C103" s="4" t="s">
        <v>9</v>
      </c>
      <c r="D103" s="4" t="s">
        <v>336</v>
      </c>
      <c r="E103" s="4" t="s">
        <v>462</v>
      </c>
      <c r="F103" s="4" t="s">
        <v>499</v>
      </c>
      <c r="G103" s="4" t="s">
        <v>528</v>
      </c>
      <c r="H103" s="4" t="s">
        <v>426</v>
      </c>
      <c r="I103" s="4" t="s">
        <v>99</v>
      </c>
      <c r="J103" s="88" t="s">
        <v>100</v>
      </c>
      <c r="K103" s="90">
        <f t="shared" si="6"/>
        <v>43312</v>
      </c>
      <c r="L103" s="88" t="s">
        <v>101</v>
      </c>
      <c r="M103" s="88">
        <f t="shared" si="4"/>
        <v>43314</v>
      </c>
      <c r="N103" s="85">
        <f t="shared" si="5"/>
        <v>2</v>
      </c>
      <c r="O103" s="4" t="s">
        <v>102</v>
      </c>
      <c r="P103" s="5">
        <v>161.28</v>
      </c>
      <c r="Q103" s="5">
        <v>0</v>
      </c>
      <c r="R103" s="5">
        <v>18543.75</v>
      </c>
      <c r="S103" s="5">
        <v>1601.25</v>
      </c>
      <c r="T103" s="5">
        <v>79278</v>
      </c>
      <c r="U103" s="5">
        <v>79278</v>
      </c>
      <c r="V103" s="5">
        <v>0</v>
      </c>
    </row>
    <row r="104" spans="1:23">
      <c r="A104" s="4" t="s">
        <v>7</v>
      </c>
      <c r="B104" s="4" t="s">
        <v>17</v>
      </c>
      <c r="C104" s="4" t="s">
        <v>18</v>
      </c>
      <c r="D104" s="4" t="s">
        <v>319</v>
      </c>
      <c r="E104" s="4" t="s">
        <v>472</v>
      </c>
      <c r="F104" s="4" t="s">
        <v>491</v>
      </c>
      <c r="G104" s="4" t="s">
        <v>523</v>
      </c>
      <c r="H104" s="4" t="s">
        <v>417</v>
      </c>
      <c r="I104" s="4" t="s">
        <v>284</v>
      </c>
      <c r="J104" s="88" t="s">
        <v>285</v>
      </c>
      <c r="K104" s="90">
        <f t="shared" si="6"/>
        <v>43312</v>
      </c>
      <c r="L104" s="88" t="s">
        <v>286</v>
      </c>
      <c r="M104" s="88">
        <f t="shared" si="4"/>
        <v>43314</v>
      </c>
      <c r="N104" s="85">
        <f t="shared" si="5"/>
        <v>2</v>
      </c>
      <c r="O104" s="4" t="s">
        <v>139</v>
      </c>
      <c r="P104" s="5">
        <v>93.24</v>
      </c>
      <c r="Q104" s="5">
        <v>67.41</v>
      </c>
      <c r="R104" s="5">
        <v>6832.5</v>
      </c>
      <c r="S104" s="5">
        <v>900</v>
      </c>
      <c r="T104" s="5">
        <v>11250</v>
      </c>
      <c r="U104" s="5">
        <v>11250</v>
      </c>
      <c r="V104" s="5">
        <v>0</v>
      </c>
    </row>
    <row r="105" spans="1:23">
      <c r="A105" s="4" t="s">
        <v>7</v>
      </c>
      <c r="B105" s="4" t="s">
        <v>17</v>
      </c>
      <c r="C105" s="4" t="s">
        <v>18</v>
      </c>
      <c r="D105" s="4" t="s">
        <v>385</v>
      </c>
      <c r="E105" s="4" t="s">
        <v>476</v>
      </c>
      <c r="F105" s="4" t="s">
        <v>515</v>
      </c>
      <c r="G105" s="4" t="s">
        <v>533</v>
      </c>
      <c r="H105" s="4" t="s">
        <v>459</v>
      </c>
      <c r="I105" s="4" t="s">
        <v>19</v>
      </c>
      <c r="J105" s="88" t="s">
        <v>20</v>
      </c>
      <c r="K105" s="90">
        <f t="shared" si="6"/>
        <v>43312</v>
      </c>
      <c r="L105" s="88" t="s">
        <v>21</v>
      </c>
      <c r="M105" s="88">
        <f t="shared" si="4"/>
        <v>43314</v>
      </c>
      <c r="N105" s="85">
        <f t="shared" si="5"/>
        <v>2</v>
      </c>
      <c r="O105" s="4" t="s">
        <v>22</v>
      </c>
      <c r="P105" s="5">
        <v>0</v>
      </c>
      <c r="Q105" s="5">
        <v>0</v>
      </c>
      <c r="R105" s="5">
        <v>0</v>
      </c>
      <c r="S105" s="5">
        <v>62625</v>
      </c>
      <c r="T105" s="5">
        <v>62625</v>
      </c>
      <c r="U105" s="5">
        <v>0</v>
      </c>
      <c r="V105" s="5">
        <v>62625</v>
      </c>
    </row>
    <row r="106" spans="1:23">
      <c r="O106" s="31" t="s">
        <v>0</v>
      </c>
      <c r="P106" s="32" t="s">
        <v>619</v>
      </c>
    </row>
    <row r="107" spans="1:23">
      <c r="M107" s="89" t="s">
        <v>636</v>
      </c>
      <c r="N107" s="85">
        <f>AVERAGE(N2:N105)</f>
        <v>4.1826923076923075</v>
      </c>
    </row>
    <row r="108" spans="1:23">
      <c r="M108" s="89" t="s">
        <v>637</v>
      </c>
      <c r="N108" s="85">
        <f>MEDIAN(N2:N105)</f>
        <v>2</v>
      </c>
      <c r="O108" s="14" t="s">
        <v>596</v>
      </c>
      <c r="P108" s="17"/>
      <c r="Q108"/>
      <c r="R108"/>
      <c r="S108"/>
      <c r="T108"/>
      <c r="U108"/>
    </row>
    <row r="109" spans="1:23">
      <c r="M109" s="197" t="s">
        <v>638</v>
      </c>
      <c r="N109" s="198"/>
      <c r="O109" s="14" t="s">
        <v>629</v>
      </c>
      <c r="P109" s="17" t="s">
        <v>597</v>
      </c>
      <c r="Q109"/>
      <c r="R109"/>
      <c r="S109"/>
      <c r="T109"/>
      <c r="U109"/>
    </row>
    <row r="110" spans="1:23">
      <c r="M110" s="198"/>
      <c r="N110" s="198"/>
      <c r="O110" s="9" t="s">
        <v>639</v>
      </c>
      <c r="P110" s="18">
        <v>31</v>
      </c>
      <c r="Q110"/>
      <c r="R110"/>
      <c r="S110"/>
      <c r="T110"/>
      <c r="U110"/>
    </row>
    <row r="111" spans="1:23">
      <c r="M111" s="89" t="s">
        <v>651</v>
      </c>
      <c r="N111" s="85">
        <f>SKEW(N2:N105)</f>
        <v>3.1267259801991183</v>
      </c>
      <c r="O111" s="15" t="s">
        <v>640</v>
      </c>
      <c r="P111" s="19">
        <v>41</v>
      </c>
      <c r="Q111"/>
      <c r="R111"/>
      <c r="S111"/>
      <c r="T111"/>
      <c r="U111"/>
    </row>
    <row r="112" spans="1:23">
      <c r="O112" s="15" t="s">
        <v>641</v>
      </c>
      <c r="P112" s="19">
        <v>13</v>
      </c>
      <c r="Q112"/>
      <c r="R112"/>
      <c r="S112"/>
      <c r="T112"/>
      <c r="U112"/>
    </row>
    <row r="113" spans="13:21">
      <c r="O113" s="15" t="s">
        <v>642</v>
      </c>
      <c r="P113" s="19">
        <v>8</v>
      </c>
      <c r="Q113"/>
      <c r="R113"/>
      <c r="S113"/>
      <c r="T113"/>
      <c r="U113"/>
    </row>
    <row r="114" spans="13:21">
      <c r="M114" s="199" t="s">
        <v>652</v>
      </c>
      <c r="N114" s="200"/>
      <c r="O114" s="15" t="s">
        <v>643</v>
      </c>
      <c r="P114" s="19">
        <v>2</v>
      </c>
      <c r="Q114"/>
      <c r="R114"/>
      <c r="S114"/>
      <c r="T114"/>
      <c r="U114"/>
    </row>
    <row r="115" spans="13:21">
      <c r="M115" s="201"/>
      <c r="N115" s="200"/>
      <c r="O115" s="15" t="s">
        <v>644</v>
      </c>
      <c r="P115" s="19">
        <v>1</v>
      </c>
      <c r="Q115"/>
      <c r="R115"/>
      <c r="S115"/>
      <c r="T115"/>
      <c r="U115"/>
    </row>
    <row r="116" spans="13:21">
      <c r="M116" s="201"/>
      <c r="N116" s="200"/>
      <c r="O116" s="15" t="s">
        <v>645</v>
      </c>
      <c r="P116" s="19">
        <v>1</v>
      </c>
      <c r="Q116"/>
      <c r="R116"/>
      <c r="S116"/>
      <c r="T116"/>
      <c r="U116"/>
    </row>
    <row r="117" spans="13:21">
      <c r="M117" s="201"/>
      <c r="N117" s="200"/>
      <c r="O117" s="15" t="s">
        <v>646</v>
      </c>
      <c r="P117" s="19">
        <v>1</v>
      </c>
      <c r="Q117"/>
      <c r="R117"/>
      <c r="S117"/>
      <c r="T117"/>
      <c r="U117"/>
    </row>
    <row r="118" spans="13:21">
      <c r="M118" s="201"/>
      <c r="N118" s="200"/>
      <c r="O118" s="15" t="s">
        <v>647</v>
      </c>
      <c r="P118" s="19">
        <v>1</v>
      </c>
      <c r="Q118"/>
      <c r="R118"/>
      <c r="S118"/>
      <c r="T118"/>
      <c r="U118"/>
    </row>
    <row r="119" spans="13:21">
      <c r="O119" s="15" t="s">
        <v>648</v>
      </c>
      <c r="P119" s="19">
        <v>1</v>
      </c>
      <c r="Q119"/>
      <c r="R119"/>
      <c r="S119"/>
      <c r="T119"/>
      <c r="U119"/>
    </row>
    <row r="120" spans="13:21">
      <c r="O120" s="15" t="s">
        <v>649</v>
      </c>
      <c r="P120" s="19">
        <v>2</v>
      </c>
      <c r="Q120"/>
      <c r="R120"/>
      <c r="S120"/>
      <c r="T120"/>
      <c r="U120"/>
    </row>
    <row r="121" spans="13:21">
      <c r="O121" s="15" t="s">
        <v>650</v>
      </c>
      <c r="P121" s="19">
        <v>1</v>
      </c>
      <c r="Q121"/>
      <c r="R121"/>
      <c r="S121"/>
      <c r="T121"/>
      <c r="U121"/>
    </row>
    <row r="122" spans="13:21">
      <c r="O122" s="15" t="s">
        <v>632</v>
      </c>
      <c r="P122" s="19">
        <v>1</v>
      </c>
      <c r="Q122"/>
      <c r="R122"/>
      <c r="S122"/>
      <c r="T122"/>
      <c r="U122"/>
    </row>
    <row r="123" spans="13:21">
      <c r="O123" s="16" t="s">
        <v>595</v>
      </c>
      <c r="P123" s="20">
        <v>104</v>
      </c>
      <c r="Q123"/>
      <c r="R123"/>
      <c r="S123"/>
      <c r="T123"/>
      <c r="U123"/>
    </row>
    <row r="124" spans="13:21">
      <c r="O124"/>
      <c r="P124"/>
      <c r="Q124"/>
      <c r="R124"/>
      <c r="S124"/>
      <c r="T124"/>
      <c r="U124"/>
    </row>
    <row r="125" spans="13:21">
      <c r="O125"/>
      <c r="P125"/>
      <c r="Q125"/>
      <c r="R125"/>
      <c r="S125"/>
      <c r="T125"/>
      <c r="U125"/>
    </row>
    <row r="126" spans="13:21">
      <c r="O126"/>
      <c r="P126"/>
      <c r="Q126"/>
      <c r="R126"/>
      <c r="S126"/>
      <c r="T126"/>
      <c r="U126"/>
    </row>
    <row r="127" spans="13:21">
      <c r="O127"/>
      <c r="P127"/>
      <c r="Q127"/>
      <c r="R127"/>
      <c r="S127"/>
      <c r="T127"/>
      <c r="U127"/>
    </row>
    <row r="128" spans="13:21">
      <c r="O128"/>
      <c r="P128"/>
      <c r="Q128"/>
      <c r="R128"/>
      <c r="S128"/>
      <c r="T128"/>
      <c r="U128"/>
    </row>
    <row r="129" spans="15:16">
      <c r="O129"/>
      <c r="P129"/>
    </row>
    <row r="130" spans="15:16">
      <c r="O130"/>
      <c r="P130"/>
    </row>
    <row r="131" spans="15:16">
      <c r="O131"/>
      <c r="P131"/>
    </row>
    <row r="132" spans="15:16">
      <c r="O132"/>
      <c r="P132"/>
    </row>
    <row r="133" spans="15:16">
      <c r="O133"/>
      <c r="P133"/>
    </row>
    <row r="134" spans="15:16">
      <c r="O134"/>
      <c r="P134"/>
    </row>
    <row r="135" spans="15:16">
      <c r="O135"/>
      <c r="P135"/>
    </row>
    <row r="136" spans="15:16">
      <c r="O136"/>
      <c r="P136"/>
    </row>
    <row r="137" spans="15:16">
      <c r="O137"/>
      <c r="P137"/>
    </row>
    <row r="138" spans="15:16">
      <c r="O138"/>
      <c r="P138"/>
    </row>
    <row r="139" spans="15:16">
      <c r="O139"/>
      <c r="P139"/>
    </row>
    <row r="140" spans="15:16">
      <c r="O140"/>
      <c r="P140"/>
    </row>
    <row r="141" spans="15:16">
      <c r="O141"/>
      <c r="P141"/>
    </row>
    <row r="142" spans="15:16">
      <c r="O142"/>
      <c r="P142"/>
    </row>
    <row r="143" spans="15:16">
      <c r="O143"/>
      <c r="P143"/>
    </row>
    <row r="144" spans="15:16">
      <c r="O144"/>
      <c r="P144"/>
    </row>
    <row r="145" spans="15:16">
      <c r="O145"/>
      <c r="P145"/>
    </row>
    <row r="146" spans="15:16">
      <c r="O146"/>
      <c r="P146"/>
    </row>
    <row r="147" spans="15:16">
      <c r="O147"/>
      <c r="P147"/>
    </row>
    <row r="148" spans="15:16">
      <c r="O148"/>
      <c r="P148"/>
    </row>
    <row r="149" spans="15:16">
      <c r="O149"/>
      <c r="P149"/>
    </row>
    <row r="150" spans="15:16">
      <c r="O150"/>
      <c r="P150"/>
    </row>
    <row r="151" spans="15:16">
      <c r="O151"/>
      <c r="P151"/>
    </row>
    <row r="152" spans="15:16">
      <c r="O152"/>
      <c r="P152"/>
    </row>
    <row r="153" spans="15:16">
      <c r="O153"/>
      <c r="P153"/>
    </row>
    <row r="154" spans="15:16">
      <c r="O154"/>
      <c r="P154"/>
    </row>
    <row r="155" spans="15:16">
      <c r="O155"/>
      <c r="P155"/>
    </row>
    <row r="156" spans="15:16">
      <c r="O156"/>
      <c r="P156"/>
    </row>
    <row r="157" spans="15:16">
      <c r="O157"/>
      <c r="P157"/>
    </row>
    <row r="158" spans="15:16">
      <c r="O158"/>
      <c r="P158"/>
    </row>
    <row r="159" spans="15:16">
      <c r="O159"/>
      <c r="P159"/>
    </row>
    <row r="160" spans="15:16">
      <c r="O160"/>
      <c r="P160"/>
    </row>
    <row r="161" spans="15:16">
      <c r="O161"/>
      <c r="P161"/>
    </row>
    <row r="162" spans="15:16">
      <c r="O162"/>
      <c r="P162"/>
    </row>
    <row r="163" spans="15:16">
      <c r="O163"/>
      <c r="P163"/>
    </row>
    <row r="164" spans="15:16">
      <c r="O164"/>
      <c r="P164"/>
    </row>
    <row r="165" spans="15:16">
      <c r="O165"/>
      <c r="P165"/>
    </row>
    <row r="166" spans="15:16">
      <c r="O166"/>
      <c r="P166"/>
    </row>
    <row r="167" spans="15:16">
      <c r="O167"/>
      <c r="P167"/>
    </row>
    <row r="168" spans="15:16">
      <c r="O168"/>
      <c r="P168"/>
    </row>
    <row r="169" spans="15:16">
      <c r="O169"/>
      <c r="P169"/>
    </row>
    <row r="170" spans="15:16">
      <c r="O170"/>
      <c r="P170"/>
    </row>
    <row r="171" spans="15:16">
      <c r="O171"/>
      <c r="P171"/>
    </row>
    <row r="172" spans="15:16">
      <c r="O172"/>
      <c r="P172"/>
    </row>
    <row r="173" spans="15:16">
      <c r="O173"/>
      <c r="P173"/>
    </row>
    <row r="174" spans="15:16">
      <c r="O174"/>
      <c r="P174"/>
    </row>
    <row r="175" spans="15:16">
      <c r="O175"/>
      <c r="P175"/>
    </row>
    <row r="176" spans="15:16">
      <c r="O176"/>
      <c r="P176"/>
    </row>
    <row r="177" spans="15:16">
      <c r="O177"/>
      <c r="P177"/>
    </row>
    <row r="178" spans="15:16">
      <c r="O178"/>
      <c r="P178"/>
    </row>
    <row r="179" spans="15:16">
      <c r="O179"/>
      <c r="P179"/>
    </row>
    <row r="180" spans="15:16">
      <c r="O180"/>
      <c r="P180"/>
    </row>
    <row r="181" spans="15:16">
      <c r="O181"/>
      <c r="P181"/>
    </row>
    <row r="182" spans="15:16">
      <c r="O182"/>
      <c r="P182"/>
    </row>
    <row r="183" spans="15:16">
      <c r="O183"/>
      <c r="P183"/>
    </row>
    <row r="184" spans="15:16">
      <c r="O184"/>
      <c r="P184"/>
    </row>
    <row r="185" spans="15:16">
      <c r="O185"/>
      <c r="P185"/>
    </row>
    <row r="186" spans="15:16">
      <c r="O186"/>
      <c r="P186"/>
    </row>
    <row r="187" spans="15:16">
      <c r="O187"/>
      <c r="P187"/>
    </row>
    <row r="188" spans="15:16">
      <c r="O188"/>
      <c r="P188"/>
    </row>
    <row r="189" spans="15:16">
      <c r="O189"/>
      <c r="P189"/>
    </row>
    <row r="190" spans="15:16">
      <c r="O190"/>
      <c r="P190"/>
    </row>
    <row r="191" spans="15:16">
      <c r="O191"/>
      <c r="P191"/>
    </row>
    <row r="192" spans="15:16">
      <c r="O192"/>
      <c r="P192"/>
    </row>
    <row r="193" spans="15:16">
      <c r="O193"/>
      <c r="P193"/>
    </row>
    <row r="194" spans="15:16">
      <c r="O194"/>
      <c r="P194"/>
    </row>
    <row r="195" spans="15:16">
      <c r="O195"/>
      <c r="P195"/>
    </row>
    <row r="196" spans="15:16">
      <c r="O196"/>
      <c r="P196"/>
    </row>
    <row r="197" spans="15:16">
      <c r="O197"/>
      <c r="P197"/>
    </row>
    <row r="198" spans="15:16">
      <c r="O198"/>
      <c r="P198"/>
    </row>
    <row r="199" spans="15:16">
      <c r="O199"/>
      <c r="P199"/>
    </row>
    <row r="200" spans="15:16">
      <c r="O200"/>
      <c r="P200"/>
    </row>
    <row r="201" spans="15:16">
      <c r="O201"/>
      <c r="P201"/>
    </row>
    <row r="202" spans="15:16">
      <c r="O202"/>
      <c r="P202"/>
    </row>
    <row r="203" spans="15:16">
      <c r="O203"/>
      <c r="P203"/>
    </row>
    <row r="204" spans="15:16">
      <c r="O204"/>
      <c r="P204"/>
    </row>
    <row r="205" spans="15:16">
      <c r="O205"/>
      <c r="P205"/>
    </row>
    <row r="206" spans="15:16">
      <c r="O206"/>
      <c r="P206"/>
    </row>
    <row r="207" spans="15:16">
      <c r="O207"/>
      <c r="P207"/>
    </row>
    <row r="208" spans="15:16">
      <c r="O208"/>
      <c r="P208"/>
    </row>
    <row r="209" spans="15:16">
      <c r="O209"/>
      <c r="P209"/>
    </row>
  </sheetData>
  <autoFilter ref="A1:W123" xr:uid="{00000000-0009-0000-0000-000006000000}">
    <sortState ref="A2:W104">
      <sortCondition ref="J1:J104"/>
    </sortState>
  </autoFilter>
  <mergeCells count="2">
    <mergeCell ref="M109:N110"/>
    <mergeCell ref="M114:N118"/>
  </mergeCells>
  <pageMargins left="0.75" right="0.75" top="1" bottom="1"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5"/>
  <sheetViews>
    <sheetView workbookViewId="0">
      <selection activeCell="B1" sqref="B1:B65536"/>
    </sheetView>
  </sheetViews>
  <sheetFormatPr baseColWidth="10" defaultRowHeight="13"/>
  <cols>
    <col min="1" max="1" width="14.1640625" style="4" bestFit="1" customWidth="1"/>
    <col min="2" max="2" width="15.1640625" style="4" bestFit="1" customWidth="1"/>
    <col min="3" max="3" width="16.1640625" customWidth="1"/>
    <col min="5" max="5" width="18.6640625" bestFit="1" customWidth="1"/>
    <col min="6" max="7" width="11" bestFit="1" customWidth="1"/>
    <col min="8" max="8" width="10.33203125" bestFit="1" customWidth="1"/>
  </cols>
  <sheetData>
    <row r="1" spans="1:9" ht="15">
      <c r="A1" s="1" t="s">
        <v>2</v>
      </c>
      <c r="B1" s="2" t="s">
        <v>575</v>
      </c>
      <c r="C1" s="2" t="s">
        <v>653</v>
      </c>
    </row>
    <row r="2" spans="1:9">
      <c r="A2" s="4" t="s">
        <v>9</v>
      </c>
      <c r="B2" s="5">
        <v>8501.3024999999998</v>
      </c>
      <c r="C2" t="str">
        <f>IF(B2&lt;10000,"Silver",(IF(B2&lt;100000,"Gold","Platinum")))</f>
        <v>Silver</v>
      </c>
      <c r="E2" s="14" t="s">
        <v>657</v>
      </c>
      <c r="F2" s="14" t="s">
        <v>2</v>
      </c>
      <c r="G2" s="10"/>
      <c r="H2" s="11"/>
    </row>
    <row r="3" spans="1:9">
      <c r="A3" s="4" t="s">
        <v>18</v>
      </c>
      <c r="B3" s="5">
        <v>135016.5</v>
      </c>
      <c r="C3" t="str">
        <f t="shared" ref="C3:C66" si="0">IF(B3&lt;10000,"Silver",(IF(B3&lt;100000,"Gold","Platinum")))</f>
        <v>Platinum</v>
      </c>
      <c r="E3" s="14" t="s">
        <v>653</v>
      </c>
      <c r="F3" s="9" t="s">
        <v>9</v>
      </c>
      <c r="G3" s="21" t="s">
        <v>18</v>
      </c>
      <c r="H3" s="17" t="s">
        <v>595</v>
      </c>
    </row>
    <row r="4" spans="1:9">
      <c r="A4" s="4" t="s">
        <v>9</v>
      </c>
      <c r="B4" s="5">
        <v>136713.75</v>
      </c>
      <c r="C4" t="str">
        <f t="shared" si="0"/>
        <v>Platinum</v>
      </c>
      <c r="E4" s="9" t="s">
        <v>654</v>
      </c>
      <c r="F4" s="22">
        <v>21</v>
      </c>
      <c r="G4" s="23">
        <v>36</v>
      </c>
      <c r="H4" s="18">
        <v>57</v>
      </c>
      <c r="I4">
        <f>GETPIVOTDATA("BilledAmount",$E$2,"Pay Type","CASH","AmtCategory","Gold")/GETPIVOTDATA("BilledAmount",$E$2,"Pay Type","CREDIT","AmtCategory","Gold")</f>
        <v>0.58333333333333337</v>
      </c>
    </row>
    <row r="5" spans="1:9">
      <c r="A5" s="4" t="s">
        <v>18</v>
      </c>
      <c r="B5" s="5">
        <v>105035.43</v>
      </c>
      <c r="C5" t="str">
        <f t="shared" si="0"/>
        <v>Platinum</v>
      </c>
      <c r="E5" s="15" t="s">
        <v>655</v>
      </c>
      <c r="F5" s="24">
        <v>10</v>
      </c>
      <c r="G5" s="25">
        <v>17</v>
      </c>
      <c r="H5" s="19">
        <v>27</v>
      </c>
      <c r="I5">
        <f>GETPIVOTDATA("BilledAmount",$E$2,"Pay Type","CASH","AmtCategory","Platinum")/GETPIVOTDATA("BilledAmount",$E$2,"Pay Type","CREDIT","AmtCategory","Platinum")</f>
        <v>0.58823529411764708</v>
      </c>
    </row>
    <row r="6" spans="1:9">
      <c r="A6" s="4" t="s">
        <v>18</v>
      </c>
      <c r="B6" s="5">
        <v>701249.22750000004</v>
      </c>
      <c r="C6" t="str">
        <f t="shared" si="0"/>
        <v>Platinum</v>
      </c>
      <c r="E6" s="15" t="s">
        <v>656</v>
      </c>
      <c r="F6" s="34">
        <v>9</v>
      </c>
      <c r="G6" s="35">
        <v>11</v>
      </c>
      <c r="H6" s="30">
        <v>20</v>
      </c>
      <c r="I6" s="116">
        <f>GETPIVOTDATA("BilledAmount",$E$2,"Pay Type","CASH","AmtCategory","Silver")/GETPIVOTDATA("BilledAmount",$E$2,"Pay Type","CREDIT","AmtCategory","Silver")</f>
        <v>0.81818181818181823</v>
      </c>
    </row>
    <row r="7" spans="1:9">
      <c r="A7" s="4" t="s">
        <v>9</v>
      </c>
      <c r="B7" s="5">
        <v>115557.6225</v>
      </c>
      <c r="C7" t="str">
        <f t="shared" si="0"/>
        <v>Platinum</v>
      </c>
      <c r="E7" s="16" t="s">
        <v>595</v>
      </c>
      <c r="F7" s="26">
        <v>40</v>
      </c>
      <c r="G7" s="27">
        <v>64</v>
      </c>
      <c r="H7" s="20">
        <v>104</v>
      </c>
    </row>
    <row r="8" spans="1:9">
      <c r="A8" s="4" t="s">
        <v>18</v>
      </c>
      <c r="B8" s="5">
        <v>82963.237499999988</v>
      </c>
      <c r="C8" t="str">
        <f t="shared" si="0"/>
        <v>Gold</v>
      </c>
    </row>
    <row r="9" spans="1:9">
      <c r="A9" s="4" t="s">
        <v>9</v>
      </c>
      <c r="B9" s="5">
        <v>9375</v>
      </c>
      <c r="C9" t="str">
        <f t="shared" si="0"/>
        <v>Silver</v>
      </c>
    </row>
    <row r="10" spans="1:9">
      <c r="A10" s="4" t="s">
        <v>9</v>
      </c>
      <c r="B10" s="5">
        <v>45882.75</v>
      </c>
      <c r="C10" t="str">
        <f t="shared" si="0"/>
        <v>Gold</v>
      </c>
    </row>
    <row r="11" spans="1:9">
      <c r="A11" s="4" t="s">
        <v>18</v>
      </c>
      <c r="B11" s="5">
        <v>11045.782499999999</v>
      </c>
      <c r="C11" t="str">
        <f t="shared" si="0"/>
        <v>Gold</v>
      </c>
    </row>
    <row r="12" spans="1:9">
      <c r="A12" s="4" t="s">
        <v>18</v>
      </c>
      <c r="B12" s="5">
        <v>151695.45000000001</v>
      </c>
      <c r="C12" t="str">
        <f t="shared" si="0"/>
        <v>Platinum</v>
      </c>
    </row>
    <row r="13" spans="1:9">
      <c r="A13" s="4" t="s">
        <v>18</v>
      </c>
      <c r="B13" s="5">
        <v>90000</v>
      </c>
      <c r="C13" t="str">
        <f t="shared" si="0"/>
        <v>Gold</v>
      </c>
    </row>
    <row r="14" spans="1:9">
      <c r="A14" s="4" t="s">
        <v>18</v>
      </c>
      <c r="B14" s="5">
        <v>85163.557499999995</v>
      </c>
      <c r="C14" t="str">
        <f t="shared" si="0"/>
        <v>Gold</v>
      </c>
    </row>
    <row r="15" spans="1:9">
      <c r="A15" s="4" t="s">
        <v>9</v>
      </c>
      <c r="B15" s="5">
        <v>130559.32500000001</v>
      </c>
      <c r="C15" t="str">
        <f t="shared" si="0"/>
        <v>Platinum</v>
      </c>
    </row>
    <row r="16" spans="1:9">
      <c r="A16" s="4" t="s">
        <v>9</v>
      </c>
      <c r="B16" s="5">
        <v>135016.5</v>
      </c>
      <c r="C16" t="str">
        <f t="shared" si="0"/>
        <v>Platinum</v>
      </c>
    </row>
    <row r="17" spans="1:3">
      <c r="A17" s="4" t="s">
        <v>9</v>
      </c>
      <c r="B17" s="5">
        <v>19292.13</v>
      </c>
      <c r="C17" t="str">
        <f t="shared" si="0"/>
        <v>Gold</v>
      </c>
    </row>
    <row r="18" spans="1:3">
      <c r="A18" s="4" t="s">
        <v>9</v>
      </c>
      <c r="B18" s="5">
        <v>75516.299999999988</v>
      </c>
      <c r="C18" t="str">
        <f t="shared" si="0"/>
        <v>Gold</v>
      </c>
    </row>
    <row r="19" spans="1:3">
      <c r="A19" s="4" t="s">
        <v>18</v>
      </c>
      <c r="B19" s="5">
        <v>7500</v>
      </c>
      <c r="C19" t="str">
        <f t="shared" si="0"/>
        <v>Silver</v>
      </c>
    </row>
    <row r="20" spans="1:3">
      <c r="A20" s="4" t="s">
        <v>18</v>
      </c>
      <c r="B20" s="5">
        <v>150000</v>
      </c>
      <c r="C20" t="str">
        <f t="shared" si="0"/>
        <v>Platinum</v>
      </c>
    </row>
    <row r="21" spans="1:3">
      <c r="A21" s="4" t="s">
        <v>18</v>
      </c>
      <c r="B21" s="5">
        <v>26250</v>
      </c>
      <c r="C21" t="str">
        <f t="shared" si="0"/>
        <v>Gold</v>
      </c>
    </row>
    <row r="22" spans="1:3">
      <c r="A22" s="4" t="s">
        <v>18</v>
      </c>
      <c r="B22" s="5">
        <v>30000</v>
      </c>
      <c r="C22" t="str">
        <f t="shared" si="0"/>
        <v>Gold</v>
      </c>
    </row>
    <row r="23" spans="1:3">
      <c r="A23" s="4" t="s">
        <v>18</v>
      </c>
      <c r="B23" s="5">
        <v>225033</v>
      </c>
      <c r="C23" t="str">
        <f t="shared" si="0"/>
        <v>Platinum</v>
      </c>
    </row>
    <row r="24" spans="1:3">
      <c r="A24" s="4" t="s">
        <v>9</v>
      </c>
      <c r="B24" s="5">
        <v>7500</v>
      </c>
      <c r="C24" t="str">
        <f t="shared" si="0"/>
        <v>Silver</v>
      </c>
    </row>
    <row r="25" spans="1:3">
      <c r="A25" s="4" t="s">
        <v>18</v>
      </c>
      <c r="B25" s="5">
        <v>433.125</v>
      </c>
      <c r="C25" t="str">
        <f t="shared" si="0"/>
        <v>Silver</v>
      </c>
    </row>
    <row r="26" spans="1:3">
      <c r="A26" s="4" t="s">
        <v>18</v>
      </c>
      <c r="B26" s="5">
        <v>658.125</v>
      </c>
      <c r="C26" t="str">
        <f t="shared" si="0"/>
        <v>Silver</v>
      </c>
    </row>
    <row r="27" spans="1:3">
      <c r="A27" s="4" t="s">
        <v>18</v>
      </c>
      <c r="B27" s="5">
        <v>112083.39749999999</v>
      </c>
      <c r="C27" t="str">
        <f t="shared" si="0"/>
        <v>Platinum</v>
      </c>
    </row>
    <row r="28" spans="1:3">
      <c r="A28" s="4" t="s">
        <v>18</v>
      </c>
      <c r="B28" s="5">
        <v>270290.28749999998</v>
      </c>
      <c r="C28" t="str">
        <f t="shared" si="0"/>
        <v>Platinum</v>
      </c>
    </row>
    <row r="29" spans="1:3">
      <c r="A29" s="4" t="s">
        <v>18</v>
      </c>
      <c r="B29" s="5">
        <v>252000</v>
      </c>
      <c r="C29" t="str">
        <f t="shared" si="0"/>
        <v>Platinum</v>
      </c>
    </row>
    <row r="30" spans="1:3">
      <c r="A30" s="4" t="s">
        <v>18</v>
      </c>
      <c r="B30" s="5">
        <v>6000</v>
      </c>
      <c r="C30" t="str">
        <f t="shared" si="0"/>
        <v>Silver</v>
      </c>
    </row>
    <row r="31" spans="1:3">
      <c r="A31" s="4" t="s">
        <v>18</v>
      </c>
      <c r="B31" s="5">
        <v>1381.875</v>
      </c>
      <c r="C31" t="str">
        <f t="shared" si="0"/>
        <v>Silver</v>
      </c>
    </row>
    <row r="32" spans="1:3">
      <c r="A32" s="4" t="s">
        <v>9</v>
      </c>
      <c r="B32" s="5">
        <v>9750</v>
      </c>
      <c r="C32" t="str">
        <f t="shared" si="0"/>
        <v>Silver</v>
      </c>
    </row>
    <row r="33" spans="1:3">
      <c r="A33" s="4" t="s">
        <v>18</v>
      </c>
      <c r="B33" s="5">
        <v>9375</v>
      </c>
      <c r="C33" t="str">
        <f t="shared" si="0"/>
        <v>Silver</v>
      </c>
    </row>
    <row r="34" spans="1:3">
      <c r="A34" s="4" t="s">
        <v>9</v>
      </c>
      <c r="B34" s="5">
        <v>21965.872500000001</v>
      </c>
      <c r="C34" t="str">
        <f t="shared" si="0"/>
        <v>Gold</v>
      </c>
    </row>
    <row r="35" spans="1:3">
      <c r="A35" s="4" t="s">
        <v>18</v>
      </c>
      <c r="B35" s="5">
        <v>506.25</v>
      </c>
      <c r="C35" t="str">
        <f t="shared" si="0"/>
        <v>Silver</v>
      </c>
    </row>
    <row r="36" spans="1:3">
      <c r="A36" s="4" t="s">
        <v>9</v>
      </c>
      <c r="B36" s="5">
        <v>60725.497499999998</v>
      </c>
      <c r="C36" t="str">
        <f t="shared" si="0"/>
        <v>Gold</v>
      </c>
    </row>
    <row r="37" spans="1:3">
      <c r="A37" s="4" t="s">
        <v>18</v>
      </c>
      <c r="B37" s="5">
        <v>33750</v>
      </c>
      <c r="C37" t="str">
        <f t="shared" si="0"/>
        <v>Gold</v>
      </c>
    </row>
    <row r="38" spans="1:3">
      <c r="A38" s="4" t="s">
        <v>18</v>
      </c>
      <c r="B38" s="5">
        <v>90028.132499999992</v>
      </c>
      <c r="C38" t="str">
        <f t="shared" si="0"/>
        <v>Gold</v>
      </c>
    </row>
    <row r="39" spans="1:3">
      <c r="A39" s="4" t="s">
        <v>18</v>
      </c>
      <c r="B39" s="5">
        <v>75000</v>
      </c>
      <c r="C39" t="str">
        <f t="shared" si="0"/>
        <v>Gold</v>
      </c>
    </row>
    <row r="40" spans="1:3">
      <c r="A40" s="4" t="s">
        <v>9</v>
      </c>
      <c r="B40" s="5">
        <v>91995.854999999996</v>
      </c>
      <c r="C40" t="str">
        <f t="shared" si="0"/>
        <v>Gold</v>
      </c>
    </row>
    <row r="41" spans="1:3">
      <c r="A41" s="4" t="s">
        <v>18</v>
      </c>
      <c r="B41" s="5">
        <v>71250</v>
      </c>
      <c r="C41" t="str">
        <f t="shared" si="0"/>
        <v>Gold</v>
      </c>
    </row>
    <row r="42" spans="1:3">
      <c r="A42" s="4" t="s">
        <v>18</v>
      </c>
      <c r="B42" s="5">
        <v>25749.375</v>
      </c>
      <c r="C42" t="str">
        <f t="shared" si="0"/>
        <v>Gold</v>
      </c>
    </row>
    <row r="43" spans="1:3">
      <c r="A43" s="4" t="s">
        <v>18</v>
      </c>
      <c r="B43" s="5">
        <v>630000.29249999998</v>
      </c>
      <c r="C43" t="str">
        <f t="shared" si="0"/>
        <v>Platinum</v>
      </c>
    </row>
    <row r="44" spans="1:3">
      <c r="A44" s="4" t="s">
        <v>9</v>
      </c>
      <c r="B44" s="5">
        <v>37338.832500000004</v>
      </c>
      <c r="C44" t="str">
        <f t="shared" si="0"/>
        <v>Gold</v>
      </c>
    </row>
    <row r="45" spans="1:3">
      <c r="A45" s="4" t="s">
        <v>18</v>
      </c>
      <c r="B45" s="5">
        <v>309750</v>
      </c>
      <c r="C45" t="str">
        <f t="shared" si="0"/>
        <v>Platinum</v>
      </c>
    </row>
    <row r="46" spans="1:3">
      <c r="A46" s="4" t="s">
        <v>18</v>
      </c>
      <c r="B46" s="5">
        <v>113221.5</v>
      </c>
      <c r="C46" t="str">
        <f t="shared" si="0"/>
        <v>Platinum</v>
      </c>
    </row>
    <row r="47" spans="1:3">
      <c r="A47" s="4" t="s">
        <v>9</v>
      </c>
      <c r="B47" s="5">
        <v>73.5</v>
      </c>
      <c r="C47" t="str">
        <f t="shared" si="0"/>
        <v>Silver</v>
      </c>
    </row>
    <row r="48" spans="1:3">
      <c r="A48" s="4" t="s">
        <v>9</v>
      </c>
      <c r="B48" s="5">
        <v>11504.647500000001</v>
      </c>
      <c r="C48" t="str">
        <f t="shared" si="0"/>
        <v>Gold</v>
      </c>
    </row>
    <row r="49" spans="1:3">
      <c r="A49" s="4" t="s">
        <v>18</v>
      </c>
      <c r="B49" s="5">
        <v>83736.112499999988</v>
      </c>
      <c r="C49" t="str">
        <f t="shared" si="0"/>
        <v>Gold</v>
      </c>
    </row>
    <row r="50" spans="1:3">
      <c r="A50" s="4" t="s">
        <v>18</v>
      </c>
      <c r="B50" s="5">
        <v>35235.360000000001</v>
      </c>
      <c r="C50" t="str">
        <f t="shared" si="0"/>
        <v>Gold</v>
      </c>
    </row>
    <row r="51" spans="1:3">
      <c r="A51" s="4" t="s">
        <v>18</v>
      </c>
      <c r="B51" s="5">
        <v>93750.225000000006</v>
      </c>
      <c r="C51" t="str">
        <f t="shared" si="0"/>
        <v>Gold</v>
      </c>
    </row>
    <row r="52" spans="1:3">
      <c r="A52" s="4" t="s">
        <v>18</v>
      </c>
      <c r="B52" s="5">
        <v>153701.92499999999</v>
      </c>
      <c r="C52" t="str">
        <f t="shared" si="0"/>
        <v>Platinum</v>
      </c>
    </row>
    <row r="53" spans="1:3">
      <c r="A53" s="4" t="s">
        <v>18</v>
      </c>
      <c r="B53" s="5">
        <v>19896.675000000003</v>
      </c>
      <c r="C53" t="str">
        <f t="shared" si="0"/>
        <v>Gold</v>
      </c>
    </row>
    <row r="54" spans="1:3">
      <c r="A54" s="4" t="s">
        <v>9</v>
      </c>
      <c r="B54" s="5">
        <v>9375</v>
      </c>
      <c r="C54" t="str">
        <f t="shared" si="0"/>
        <v>Silver</v>
      </c>
    </row>
    <row r="55" spans="1:3">
      <c r="A55" s="4" t="s">
        <v>18</v>
      </c>
      <c r="B55" s="5">
        <v>32585.827499999999</v>
      </c>
      <c r="C55" t="str">
        <f t="shared" si="0"/>
        <v>Gold</v>
      </c>
    </row>
    <row r="56" spans="1:3">
      <c r="A56" s="4" t="s">
        <v>18</v>
      </c>
      <c r="B56" s="5">
        <v>10875</v>
      </c>
      <c r="C56" t="str">
        <f t="shared" si="0"/>
        <v>Gold</v>
      </c>
    </row>
    <row r="57" spans="1:3">
      <c r="A57" s="4" t="s">
        <v>18</v>
      </c>
      <c r="B57" s="5">
        <v>131266.5</v>
      </c>
      <c r="C57" t="str">
        <f t="shared" si="0"/>
        <v>Platinum</v>
      </c>
    </row>
    <row r="58" spans="1:3">
      <c r="A58" s="4" t="s">
        <v>18</v>
      </c>
      <c r="B58" s="5">
        <v>133381.38</v>
      </c>
      <c r="C58" t="str">
        <f t="shared" si="0"/>
        <v>Platinum</v>
      </c>
    </row>
    <row r="59" spans="1:3">
      <c r="A59" s="4" t="s">
        <v>9</v>
      </c>
      <c r="B59" s="5">
        <v>135016.5</v>
      </c>
      <c r="C59" t="str">
        <f t="shared" si="0"/>
        <v>Platinum</v>
      </c>
    </row>
    <row r="60" spans="1:3">
      <c r="A60" s="4" t="s">
        <v>9</v>
      </c>
      <c r="B60" s="5">
        <v>10875</v>
      </c>
      <c r="C60" t="str">
        <f t="shared" si="0"/>
        <v>Gold</v>
      </c>
    </row>
    <row r="61" spans="1:3">
      <c r="A61" s="4" t="s">
        <v>18</v>
      </c>
      <c r="B61" s="5">
        <v>97361.25</v>
      </c>
      <c r="C61" t="str">
        <f t="shared" si="0"/>
        <v>Gold</v>
      </c>
    </row>
    <row r="62" spans="1:3">
      <c r="A62" s="4" t="s">
        <v>18</v>
      </c>
      <c r="B62" s="5">
        <v>9562.5</v>
      </c>
      <c r="C62" t="str">
        <f t="shared" si="0"/>
        <v>Silver</v>
      </c>
    </row>
    <row r="63" spans="1:3">
      <c r="A63" s="4" t="s">
        <v>18</v>
      </c>
      <c r="B63" s="5">
        <v>19792.695</v>
      </c>
      <c r="C63" t="str">
        <f t="shared" si="0"/>
        <v>Gold</v>
      </c>
    </row>
    <row r="64" spans="1:3">
      <c r="A64" s="4" t="s">
        <v>18</v>
      </c>
      <c r="B64" s="5">
        <v>73646.684999999998</v>
      </c>
      <c r="C64" t="str">
        <f t="shared" si="0"/>
        <v>Gold</v>
      </c>
    </row>
    <row r="65" spans="1:3">
      <c r="A65" s="4" t="s">
        <v>18</v>
      </c>
      <c r="B65" s="5">
        <v>17132.2425</v>
      </c>
      <c r="C65" t="str">
        <f t="shared" si="0"/>
        <v>Gold</v>
      </c>
    </row>
    <row r="66" spans="1:3">
      <c r="A66" s="4" t="s">
        <v>18</v>
      </c>
      <c r="B66" s="5">
        <v>142500</v>
      </c>
      <c r="C66" t="str">
        <f t="shared" si="0"/>
        <v>Platinum</v>
      </c>
    </row>
    <row r="67" spans="1:3">
      <c r="A67" s="4" t="s">
        <v>9</v>
      </c>
      <c r="B67" s="5">
        <v>159750</v>
      </c>
      <c r="C67" t="str">
        <f t="shared" ref="C67:C105" si="1">IF(B67&lt;10000,"Silver",(IF(B67&lt;100000,"Gold","Platinum")))</f>
        <v>Platinum</v>
      </c>
    </row>
    <row r="68" spans="1:3">
      <c r="A68" s="4" t="s">
        <v>9</v>
      </c>
      <c r="B68" s="5">
        <v>15562.5</v>
      </c>
      <c r="C68" t="str">
        <f t="shared" si="1"/>
        <v>Gold</v>
      </c>
    </row>
    <row r="69" spans="1:3">
      <c r="A69" s="4" t="s">
        <v>9</v>
      </c>
      <c r="B69" s="5">
        <v>77623.049999999988</v>
      </c>
      <c r="C69" t="str">
        <f t="shared" si="1"/>
        <v>Gold</v>
      </c>
    </row>
    <row r="70" spans="1:3">
      <c r="A70" s="4" t="s">
        <v>18</v>
      </c>
      <c r="B70" s="5">
        <v>6322.3575000000001</v>
      </c>
      <c r="C70" t="str">
        <f t="shared" si="1"/>
        <v>Silver</v>
      </c>
    </row>
    <row r="71" spans="1:3">
      <c r="A71" s="4" t="s">
        <v>9</v>
      </c>
      <c r="B71" s="5">
        <v>135016.5</v>
      </c>
      <c r="C71" t="str">
        <f t="shared" si="1"/>
        <v>Platinum</v>
      </c>
    </row>
    <row r="72" spans="1:3">
      <c r="A72" s="4" t="s">
        <v>18</v>
      </c>
      <c r="B72" s="5">
        <v>41813.962499999994</v>
      </c>
      <c r="C72" t="str">
        <f t="shared" si="1"/>
        <v>Gold</v>
      </c>
    </row>
    <row r="73" spans="1:3">
      <c r="A73" s="4" t="s">
        <v>9</v>
      </c>
      <c r="B73" s="5">
        <v>63012</v>
      </c>
      <c r="C73" t="str">
        <f t="shared" si="1"/>
        <v>Gold</v>
      </c>
    </row>
    <row r="74" spans="1:3">
      <c r="A74" s="4" t="s">
        <v>18</v>
      </c>
      <c r="B74" s="5">
        <v>46233.75</v>
      </c>
      <c r="C74" t="str">
        <f t="shared" si="1"/>
        <v>Gold</v>
      </c>
    </row>
    <row r="75" spans="1:3">
      <c r="A75" s="4" t="s">
        <v>18</v>
      </c>
      <c r="B75" s="5">
        <v>12996</v>
      </c>
      <c r="C75" t="str">
        <f t="shared" si="1"/>
        <v>Gold</v>
      </c>
    </row>
    <row r="76" spans="1:3">
      <c r="A76" s="4" t="s">
        <v>9</v>
      </c>
      <c r="B76" s="5">
        <v>73413.705000000002</v>
      </c>
      <c r="C76" t="str">
        <f t="shared" si="1"/>
        <v>Gold</v>
      </c>
    </row>
    <row r="77" spans="1:3">
      <c r="A77" s="4" t="s">
        <v>18</v>
      </c>
      <c r="B77" s="5">
        <v>24456.27</v>
      </c>
      <c r="C77" t="str">
        <f t="shared" si="1"/>
        <v>Gold</v>
      </c>
    </row>
    <row r="78" spans="1:3">
      <c r="A78" s="4" t="s">
        <v>9</v>
      </c>
      <c r="B78" s="5">
        <v>30000</v>
      </c>
      <c r="C78" t="str">
        <f t="shared" si="1"/>
        <v>Gold</v>
      </c>
    </row>
    <row r="79" spans="1:3">
      <c r="A79" s="4" t="s">
        <v>9</v>
      </c>
      <c r="B79" s="5">
        <v>97500</v>
      </c>
      <c r="C79" t="str">
        <f t="shared" si="1"/>
        <v>Gold</v>
      </c>
    </row>
    <row r="80" spans="1:3">
      <c r="A80" s="4" t="s">
        <v>18</v>
      </c>
      <c r="B80" s="5">
        <v>46500</v>
      </c>
      <c r="C80" t="str">
        <f t="shared" si="1"/>
        <v>Gold</v>
      </c>
    </row>
    <row r="81" spans="1:3">
      <c r="A81" s="4" t="s">
        <v>9</v>
      </c>
      <c r="B81" s="5">
        <v>57000</v>
      </c>
      <c r="C81" t="str">
        <f t="shared" si="1"/>
        <v>Gold</v>
      </c>
    </row>
    <row r="82" spans="1:3">
      <c r="A82" s="4" t="s">
        <v>18</v>
      </c>
      <c r="B82" s="5">
        <v>7502.61</v>
      </c>
      <c r="C82" t="str">
        <f t="shared" si="1"/>
        <v>Silver</v>
      </c>
    </row>
    <row r="83" spans="1:3">
      <c r="A83" s="4" t="s">
        <v>9</v>
      </c>
      <c r="B83" s="5">
        <v>9375</v>
      </c>
      <c r="C83" t="str">
        <f t="shared" si="1"/>
        <v>Silver</v>
      </c>
    </row>
    <row r="84" spans="1:3">
      <c r="A84" s="4" t="s">
        <v>18</v>
      </c>
      <c r="B84" s="5">
        <v>75000</v>
      </c>
      <c r="C84" t="str">
        <f t="shared" si="1"/>
        <v>Gold</v>
      </c>
    </row>
    <row r="85" spans="1:3">
      <c r="A85" s="4" t="s">
        <v>9</v>
      </c>
      <c r="B85" s="5">
        <v>41250</v>
      </c>
      <c r="C85" t="str">
        <f t="shared" si="1"/>
        <v>Gold</v>
      </c>
    </row>
    <row r="86" spans="1:3">
      <c r="A86" s="4" t="s">
        <v>9</v>
      </c>
      <c r="B86" s="5">
        <v>23576.864999999998</v>
      </c>
      <c r="C86" t="str">
        <f t="shared" si="1"/>
        <v>Gold</v>
      </c>
    </row>
    <row r="87" spans="1:3">
      <c r="A87" s="4" t="s">
        <v>9</v>
      </c>
      <c r="B87" s="5">
        <v>142499.77500000002</v>
      </c>
      <c r="C87" t="str">
        <f t="shared" si="1"/>
        <v>Platinum</v>
      </c>
    </row>
    <row r="88" spans="1:3">
      <c r="A88" s="4" t="s">
        <v>18</v>
      </c>
      <c r="B88" s="5">
        <v>101171.28749999999</v>
      </c>
      <c r="C88" t="str">
        <f t="shared" si="1"/>
        <v>Platinum</v>
      </c>
    </row>
    <row r="89" spans="1:3">
      <c r="A89" s="4" t="s">
        <v>18</v>
      </c>
      <c r="B89" s="5">
        <v>58380.959999999999</v>
      </c>
      <c r="C89" t="str">
        <f t="shared" si="1"/>
        <v>Gold</v>
      </c>
    </row>
    <row r="90" spans="1:3">
      <c r="A90" s="4" t="s">
        <v>9</v>
      </c>
      <c r="B90" s="5">
        <v>138364.875</v>
      </c>
      <c r="C90" t="str">
        <f t="shared" si="1"/>
        <v>Platinum</v>
      </c>
    </row>
    <row r="91" spans="1:3">
      <c r="A91" s="4" t="s">
        <v>18</v>
      </c>
      <c r="B91" s="5">
        <v>10875</v>
      </c>
      <c r="C91" t="str">
        <f t="shared" si="1"/>
        <v>Gold</v>
      </c>
    </row>
    <row r="92" spans="1:3">
      <c r="A92" s="4" t="s">
        <v>9</v>
      </c>
      <c r="B92" s="5">
        <v>9750</v>
      </c>
      <c r="C92" t="str">
        <f t="shared" si="1"/>
        <v>Silver</v>
      </c>
    </row>
    <row r="93" spans="1:3">
      <c r="A93" s="4" t="s">
        <v>18</v>
      </c>
      <c r="B93" s="5">
        <v>86884.5</v>
      </c>
      <c r="C93" t="str">
        <f t="shared" si="1"/>
        <v>Gold</v>
      </c>
    </row>
    <row r="94" spans="1:3">
      <c r="A94" s="4" t="s">
        <v>9</v>
      </c>
      <c r="B94" s="5">
        <v>55500</v>
      </c>
      <c r="C94" t="str">
        <f t="shared" si="1"/>
        <v>Gold</v>
      </c>
    </row>
    <row r="95" spans="1:3">
      <c r="A95" s="4" t="s">
        <v>18</v>
      </c>
      <c r="B95" s="5">
        <v>30000</v>
      </c>
      <c r="C95" t="str">
        <f t="shared" si="1"/>
        <v>Gold</v>
      </c>
    </row>
    <row r="96" spans="1:3">
      <c r="A96" s="4" t="s">
        <v>18</v>
      </c>
      <c r="B96" s="5">
        <v>62667.097500000003</v>
      </c>
      <c r="C96" t="str">
        <f t="shared" si="1"/>
        <v>Gold</v>
      </c>
    </row>
    <row r="97" spans="1:3">
      <c r="A97" s="4" t="s">
        <v>18</v>
      </c>
      <c r="B97" s="5">
        <v>22460.017499999998</v>
      </c>
      <c r="C97" t="str">
        <f t="shared" si="1"/>
        <v>Gold</v>
      </c>
    </row>
    <row r="98" spans="1:3">
      <c r="A98" s="4" t="s">
        <v>9</v>
      </c>
      <c r="B98" s="5">
        <v>135000</v>
      </c>
      <c r="C98" t="str">
        <f t="shared" si="1"/>
        <v>Platinum</v>
      </c>
    </row>
    <row r="99" spans="1:3">
      <c r="A99" s="4" t="s">
        <v>18</v>
      </c>
      <c r="B99" s="5">
        <v>375</v>
      </c>
      <c r="C99" t="str">
        <f t="shared" si="1"/>
        <v>Silver</v>
      </c>
    </row>
    <row r="100" spans="1:3">
      <c r="A100" s="4" t="s">
        <v>9</v>
      </c>
      <c r="B100" s="5">
        <v>9375</v>
      </c>
      <c r="C100" t="str">
        <f t="shared" si="1"/>
        <v>Silver</v>
      </c>
    </row>
    <row r="101" spans="1:3">
      <c r="A101" s="4" t="s">
        <v>9</v>
      </c>
      <c r="B101" s="5">
        <v>51702</v>
      </c>
      <c r="C101" t="str">
        <f t="shared" si="1"/>
        <v>Gold</v>
      </c>
    </row>
    <row r="102" spans="1:3">
      <c r="A102" s="4" t="s">
        <v>18</v>
      </c>
      <c r="B102" s="5">
        <v>30375</v>
      </c>
      <c r="C102" t="str">
        <f t="shared" si="1"/>
        <v>Gold</v>
      </c>
    </row>
    <row r="103" spans="1:3">
      <c r="A103" s="4" t="s">
        <v>9</v>
      </c>
      <c r="B103" s="5">
        <v>79278</v>
      </c>
      <c r="C103" t="str">
        <f t="shared" si="1"/>
        <v>Gold</v>
      </c>
    </row>
    <row r="104" spans="1:3">
      <c r="A104" s="4" t="s">
        <v>18</v>
      </c>
      <c r="B104" s="5">
        <v>11250</v>
      </c>
      <c r="C104" t="str">
        <f t="shared" si="1"/>
        <v>Gold</v>
      </c>
    </row>
    <row r="105" spans="1:3">
      <c r="A105" s="4" t="s">
        <v>18</v>
      </c>
      <c r="B105" s="5">
        <v>62625</v>
      </c>
      <c r="C105" t="str">
        <f t="shared" si="1"/>
        <v>Gold</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B2" sqref="B2:E6"/>
    </sheetView>
  </sheetViews>
  <sheetFormatPr baseColWidth="10" defaultRowHeight="13"/>
  <cols>
    <col min="6" max="6" width="32.33203125" customWidth="1"/>
  </cols>
  <sheetData>
    <row r="1" spans="1:7" ht="14" thickBot="1"/>
    <row r="2" spans="1:7">
      <c r="B2" s="124" t="s">
        <v>653</v>
      </c>
      <c r="C2" s="125" t="s">
        <v>9</v>
      </c>
      <c r="D2" s="126" t="s">
        <v>18</v>
      </c>
      <c r="E2" s="127" t="s">
        <v>595</v>
      </c>
    </row>
    <row r="3" spans="1:7">
      <c r="B3" s="65" t="s">
        <v>654</v>
      </c>
      <c r="C3" s="22">
        <v>21</v>
      </c>
      <c r="D3" s="23">
        <v>36</v>
      </c>
      <c r="E3" s="106">
        <v>57</v>
      </c>
    </row>
    <row r="4" spans="1:7">
      <c r="B4" s="128" t="s">
        <v>655</v>
      </c>
      <c r="C4" s="24">
        <v>10</v>
      </c>
      <c r="D4" s="39">
        <v>17</v>
      </c>
      <c r="E4" s="100">
        <v>27</v>
      </c>
    </row>
    <row r="5" spans="1:7">
      <c r="B5" s="128" t="s">
        <v>656</v>
      </c>
      <c r="C5" s="112">
        <v>9</v>
      </c>
      <c r="D5" s="129">
        <v>11</v>
      </c>
      <c r="E5" s="114">
        <v>20</v>
      </c>
    </row>
    <row r="6" spans="1:7" ht="14" thickBot="1">
      <c r="B6" s="130" t="s">
        <v>595</v>
      </c>
      <c r="C6" s="94">
        <v>40</v>
      </c>
      <c r="D6" s="76">
        <v>64</v>
      </c>
      <c r="E6" s="101">
        <v>104</v>
      </c>
    </row>
    <row r="8" spans="1:7">
      <c r="A8" s="8" t="s">
        <v>659</v>
      </c>
      <c r="B8" s="202" t="s">
        <v>658</v>
      </c>
      <c r="C8" s="202"/>
      <c r="D8" s="202"/>
      <c r="E8" s="202"/>
      <c r="F8" s="121" t="s">
        <v>663</v>
      </c>
      <c r="G8" s="119">
        <f>E3/E6</f>
        <v>0.54807692307692313</v>
      </c>
    </row>
    <row r="9" spans="1:7">
      <c r="A9" s="8" t="s">
        <v>660</v>
      </c>
      <c r="B9" s="202" t="s">
        <v>661</v>
      </c>
      <c r="C9" s="202"/>
      <c r="D9" s="202"/>
      <c r="E9" s="202"/>
      <c r="F9" s="121" t="s">
        <v>664</v>
      </c>
      <c r="G9" s="120">
        <f>C6/E6</f>
        <v>0.38461538461538464</v>
      </c>
    </row>
    <row r="11" spans="1:7">
      <c r="A11" s="8" t="s">
        <v>662</v>
      </c>
      <c r="B11" s="122" t="s">
        <v>665</v>
      </c>
      <c r="C11" s="123"/>
      <c r="D11" s="123"/>
      <c r="E11" s="123"/>
      <c r="F11" s="123"/>
    </row>
    <row r="13" spans="1:7">
      <c r="B13" s="6" t="s">
        <v>653</v>
      </c>
      <c r="C13" s="6" t="s">
        <v>9</v>
      </c>
      <c r="D13" s="6" t="s">
        <v>18</v>
      </c>
      <c r="E13" s="6" t="s">
        <v>595</v>
      </c>
    </row>
    <row r="14" spans="1:7">
      <c r="B14" s="6" t="s">
        <v>654</v>
      </c>
      <c r="C14" s="6">
        <f t="shared" ref="C14:E17" si="0">C3*15</f>
        <v>315</v>
      </c>
      <c r="D14" s="6">
        <f t="shared" si="0"/>
        <v>540</v>
      </c>
      <c r="E14" s="6">
        <f t="shared" si="0"/>
        <v>855</v>
      </c>
    </row>
    <row r="15" spans="1:7">
      <c r="B15" s="6" t="s">
        <v>655</v>
      </c>
      <c r="C15" s="6">
        <f t="shared" si="0"/>
        <v>150</v>
      </c>
      <c r="D15" s="6">
        <f t="shared" si="0"/>
        <v>255</v>
      </c>
      <c r="E15" s="6">
        <f t="shared" si="0"/>
        <v>405</v>
      </c>
    </row>
    <row r="16" spans="1:7">
      <c r="B16" s="6" t="s">
        <v>656</v>
      </c>
      <c r="C16" s="6">
        <f t="shared" si="0"/>
        <v>135</v>
      </c>
      <c r="D16" s="6">
        <f t="shared" si="0"/>
        <v>165</v>
      </c>
      <c r="E16" s="6">
        <f t="shared" si="0"/>
        <v>300</v>
      </c>
    </row>
    <row r="17" spans="2:5">
      <c r="B17" s="6" t="s">
        <v>595</v>
      </c>
      <c r="C17" s="6">
        <f t="shared" si="0"/>
        <v>600</v>
      </c>
      <c r="D17" s="6">
        <f t="shared" si="0"/>
        <v>960</v>
      </c>
      <c r="E17" s="6">
        <f t="shared" si="0"/>
        <v>1560</v>
      </c>
    </row>
  </sheetData>
  <mergeCells count="2">
    <mergeCell ref="B8:E8"/>
    <mergeCell ref="B9:E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2"/>
  <sheetViews>
    <sheetView workbookViewId="0">
      <selection activeCell="I25" sqref="I25"/>
    </sheetView>
  </sheetViews>
  <sheetFormatPr baseColWidth="10" defaultRowHeight="13"/>
  <cols>
    <col min="1" max="1" width="14.33203125" customWidth="1"/>
    <col min="6" max="6" width="11.1640625" customWidth="1"/>
    <col min="7" max="7" width="31.1640625" customWidth="1"/>
    <col min="8" max="8" width="7.83203125" customWidth="1"/>
  </cols>
  <sheetData>
    <row r="1" spans="1:10" ht="14" thickBot="1">
      <c r="G1" s="37" t="s">
        <v>682</v>
      </c>
    </row>
    <row r="2" spans="1:10">
      <c r="B2" s="131" t="s">
        <v>653</v>
      </c>
      <c r="C2" s="132" t="s">
        <v>9</v>
      </c>
      <c r="D2" s="133" t="s">
        <v>18</v>
      </c>
      <c r="E2" s="134" t="s">
        <v>595</v>
      </c>
      <c r="G2" s="131" t="s">
        <v>653</v>
      </c>
      <c r="H2" s="153" t="s">
        <v>9</v>
      </c>
      <c r="I2" s="153" t="s">
        <v>18</v>
      </c>
      <c r="J2" s="153" t="s">
        <v>595</v>
      </c>
    </row>
    <row r="3" spans="1:10">
      <c r="B3" s="135" t="s">
        <v>654</v>
      </c>
      <c r="C3" s="136">
        <v>21</v>
      </c>
      <c r="D3" s="137">
        <v>36</v>
      </c>
      <c r="E3" s="138">
        <v>57</v>
      </c>
      <c r="G3" s="135" t="s">
        <v>654</v>
      </c>
      <c r="H3" s="153">
        <f>C3/$E$6</f>
        <v>0.20192307692307693</v>
      </c>
      <c r="I3" s="153">
        <f t="shared" ref="I3:J6" si="0">D3/$E$6</f>
        <v>0.34615384615384615</v>
      </c>
      <c r="J3" s="153">
        <f t="shared" si="0"/>
        <v>0.54807692307692313</v>
      </c>
    </row>
    <row r="4" spans="1:10">
      <c r="B4" s="139" t="s">
        <v>655</v>
      </c>
      <c r="C4" s="140">
        <v>10</v>
      </c>
      <c r="D4" s="37">
        <v>17</v>
      </c>
      <c r="E4" s="141">
        <v>27</v>
      </c>
      <c r="G4" s="139" t="s">
        <v>655</v>
      </c>
      <c r="H4" s="153">
        <f t="shared" ref="H4:H6" si="1">C4/$E$6</f>
        <v>9.6153846153846159E-2</v>
      </c>
      <c r="I4" s="153">
        <f t="shared" si="0"/>
        <v>0.16346153846153846</v>
      </c>
      <c r="J4" s="153">
        <f t="shared" si="0"/>
        <v>0.25961538461538464</v>
      </c>
    </row>
    <row r="5" spans="1:10">
      <c r="B5" s="139" t="s">
        <v>656</v>
      </c>
      <c r="C5" s="140">
        <v>9</v>
      </c>
      <c r="D5" s="37">
        <v>11</v>
      </c>
      <c r="E5" s="141">
        <v>20</v>
      </c>
      <c r="G5" s="139" t="s">
        <v>656</v>
      </c>
      <c r="H5" s="153">
        <f t="shared" si="1"/>
        <v>8.6538461538461536E-2</v>
      </c>
      <c r="I5" s="153">
        <f t="shared" si="0"/>
        <v>0.10576923076923077</v>
      </c>
      <c r="J5" s="153">
        <f t="shared" si="0"/>
        <v>0.19230769230769232</v>
      </c>
    </row>
    <row r="6" spans="1:10" ht="14" thickBot="1">
      <c r="B6" s="142" t="s">
        <v>595</v>
      </c>
      <c r="C6" s="143">
        <v>40</v>
      </c>
      <c r="D6" s="144">
        <v>64</v>
      </c>
      <c r="E6" s="145">
        <v>104</v>
      </c>
      <c r="G6" s="142" t="s">
        <v>595</v>
      </c>
      <c r="H6" s="153">
        <f t="shared" si="1"/>
        <v>0.38461538461538464</v>
      </c>
      <c r="I6" s="153">
        <f t="shared" si="0"/>
        <v>0.61538461538461542</v>
      </c>
      <c r="J6" s="153">
        <f t="shared" si="0"/>
        <v>1</v>
      </c>
    </row>
    <row r="7" spans="1:10">
      <c r="B7" s="147" t="s">
        <v>668</v>
      </c>
      <c r="C7" s="146"/>
      <c r="D7" s="146"/>
      <c r="E7" s="146"/>
    </row>
    <row r="9" spans="1:10">
      <c r="A9" s="8" t="s">
        <v>666</v>
      </c>
      <c r="B9" s="148" t="s">
        <v>667</v>
      </c>
      <c r="C9" s="149"/>
      <c r="D9" s="149"/>
      <c r="E9" s="149"/>
      <c r="F9" s="149"/>
      <c r="G9" s="6"/>
    </row>
    <row r="10" spans="1:10">
      <c r="A10" s="6"/>
      <c r="B10" s="202" t="s">
        <v>677</v>
      </c>
      <c r="C10" s="202"/>
      <c r="D10" s="202"/>
      <c r="E10" s="202"/>
      <c r="F10" s="202"/>
      <c r="G10" s="202"/>
    </row>
    <row r="11" spans="1:10">
      <c r="A11" s="44" t="s">
        <v>671</v>
      </c>
      <c r="B11" s="150">
        <f>C3/E6</f>
        <v>0.20192307692307693</v>
      </c>
      <c r="C11" s="6"/>
      <c r="D11" s="6"/>
      <c r="E11" s="6"/>
      <c r="F11" s="6"/>
      <c r="G11" s="6"/>
    </row>
    <row r="12" spans="1:10">
      <c r="A12" s="8" t="s">
        <v>669</v>
      </c>
      <c r="B12" s="202" t="s">
        <v>670</v>
      </c>
      <c r="C12" s="202"/>
      <c r="D12" s="202"/>
      <c r="E12" s="202"/>
      <c r="F12" s="202"/>
      <c r="G12" s="202"/>
    </row>
    <row r="13" spans="1:10">
      <c r="A13" s="6"/>
      <c r="B13" s="202" t="s">
        <v>676</v>
      </c>
      <c r="C13" s="203"/>
      <c r="D13" s="203"/>
      <c r="E13" s="203"/>
      <c r="F13" s="203"/>
      <c r="G13" s="203"/>
    </row>
    <row r="14" spans="1:10">
      <c r="A14" s="44" t="s">
        <v>671</v>
      </c>
      <c r="B14" s="150">
        <f>D6/E6</f>
        <v>0.61538461538461542</v>
      </c>
      <c r="C14" s="6"/>
      <c r="D14" s="6"/>
      <c r="E14" s="6"/>
      <c r="F14" s="6"/>
      <c r="G14" s="6"/>
    </row>
    <row r="15" spans="1:10">
      <c r="A15" s="151" t="s">
        <v>673</v>
      </c>
      <c r="B15" s="204" t="s">
        <v>672</v>
      </c>
      <c r="C15" s="204"/>
      <c r="D15" s="204"/>
      <c r="E15" s="204"/>
      <c r="F15" s="204"/>
      <c r="G15" s="204"/>
    </row>
    <row r="16" spans="1:10">
      <c r="B16" s="202" t="s">
        <v>674</v>
      </c>
      <c r="C16" s="203"/>
      <c r="D16" s="203"/>
      <c r="E16" s="203"/>
      <c r="F16" s="203"/>
      <c r="G16" s="203"/>
      <c r="H16" s="154"/>
    </row>
    <row r="17" spans="1:8">
      <c r="B17" s="205" t="s">
        <v>675</v>
      </c>
      <c r="C17" s="206"/>
      <c r="D17" s="206"/>
      <c r="E17" s="206"/>
      <c r="F17" s="206"/>
      <c r="G17" s="207"/>
      <c r="H17" s="118"/>
    </row>
    <row r="18" spans="1:8">
      <c r="A18" s="44" t="s">
        <v>671</v>
      </c>
      <c r="B18" s="150">
        <f>D3/E3</f>
        <v>0.63157894736842102</v>
      </c>
    </row>
    <row r="19" spans="1:8">
      <c r="A19" s="152" t="s">
        <v>678</v>
      </c>
      <c r="B19" s="204" t="s">
        <v>679</v>
      </c>
      <c r="C19" s="204"/>
      <c r="D19" s="204"/>
      <c r="E19" s="204"/>
      <c r="F19" s="204"/>
      <c r="G19" s="204"/>
    </row>
    <row r="20" spans="1:8">
      <c r="B20" s="202" t="s">
        <v>681</v>
      </c>
      <c r="C20" s="203"/>
      <c r="D20" s="203"/>
      <c r="E20" s="203"/>
      <c r="F20" s="203"/>
      <c r="G20" s="203"/>
    </row>
    <row r="21" spans="1:8">
      <c r="B21" s="205" t="s">
        <v>680</v>
      </c>
      <c r="C21" s="206"/>
      <c r="D21" s="206"/>
      <c r="E21" s="206"/>
      <c r="F21" s="206"/>
      <c r="G21" s="207"/>
    </row>
    <row r="22" spans="1:8">
      <c r="A22" s="44" t="s">
        <v>671</v>
      </c>
      <c r="B22" s="150">
        <f>D3/D6</f>
        <v>0.5625</v>
      </c>
    </row>
  </sheetData>
  <mergeCells count="9">
    <mergeCell ref="B16:G16"/>
    <mergeCell ref="B19:G19"/>
    <mergeCell ref="B21:G21"/>
    <mergeCell ref="B20:G20"/>
    <mergeCell ref="B10:G10"/>
    <mergeCell ref="B12:G12"/>
    <mergeCell ref="B13:G13"/>
    <mergeCell ref="B15:G15"/>
    <mergeCell ref="B17:G1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05"/>
  <sheetViews>
    <sheetView workbookViewId="0">
      <selection activeCell="E9" sqref="E9"/>
    </sheetView>
  </sheetViews>
  <sheetFormatPr baseColWidth="10" defaultRowHeight="13"/>
  <cols>
    <col min="1" max="1" width="15.1640625" style="4" bestFit="1" customWidth="1"/>
    <col min="2" max="2" width="14.1640625" style="4" bestFit="1" customWidth="1"/>
    <col min="3" max="3" width="15.1640625" style="4" bestFit="1" customWidth="1"/>
    <col min="4" max="4" width="16.1640625" customWidth="1"/>
    <col min="8" max="8" width="20.5" bestFit="1" customWidth="1"/>
    <col min="9" max="9" width="12.1640625" bestFit="1" customWidth="1"/>
  </cols>
  <sheetData>
    <row r="1" spans="1:9" ht="15">
      <c r="A1" s="1" t="s">
        <v>297</v>
      </c>
      <c r="B1" s="1" t="s">
        <v>2</v>
      </c>
      <c r="C1" s="2" t="s">
        <v>575</v>
      </c>
      <c r="D1" s="2" t="s">
        <v>653</v>
      </c>
      <c r="E1" s="1" t="s">
        <v>683</v>
      </c>
    </row>
    <row r="2" spans="1:9">
      <c r="A2" s="4" t="s">
        <v>348</v>
      </c>
      <c r="B2" s="4" t="s">
        <v>9</v>
      </c>
      <c r="C2" s="5">
        <v>8501.3024999999998</v>
      </c>
      <c r="D2" t="str">
        <f>IF(C2&lt;10000,"Silver",(IF(C2&lt;100000,"Gold","Platinum")))</f>
        <v>Silver</v>
      </c>
      <c r="E2">
        <f>IF(C2&lt;10000,6000,(IF(C2&lt;100000,50000,200000)))</f>
        <v>6000</v>
      </c>
    </row>
    <row r="3" spans="1:9">
      <c r="A3" s="4" t="s">
        <v>384</v>
      </c>
      <c r="B3" s="4" t="s">
        <v>18</v>
      </c>
      <c r="C3" s="5">
        <v>135016.5</v>
      </c>
      <c r="D3" t="str">
        <f t="shared" ref="D3:D66" si="0">IF(C3&lt;10000,"Silver",(IF(C3&lt;100000,"Gold","Platinum")))</f>
        <v>Platinum</v>
      </c>
      <c r="E3">
        <f t="shared" ref="E3:E66" si="1">IF(C3&lt;10000,6000,(IF(C3&lt;100000,50000,200000)))</f>
        <v>200000</v>
      </c>
      <c r="H3" s="40" t="s">
        <v>684</v>
      </c>
      <c r="I3" s="6"/>
    </row>
    <row r="4" spans="1:9">
      <c r="A4" s="4" t="s">
        <v>386</v>
      </c>
      <c r="B4" s="4" t="s">
        <v>9</v>
      </c>
      <c r="C4" s="5">
        <v>136713.75</v>
      </c>
      <c r="D4" t="str">
        <f t="shared" si="0"/>
        <v>Platinum</v>
      </c>
      <c r="E4">
        <f t="shared" si="1"/>
        <v>200000</v>
      </c>
      <c r="H4" s="40" t="s">
        <v>653</v>
      </c>
      <c r="I4" s="6" t="s">
        <v>597</v>
      </c>
    </row>
    <row r="5" spans="1:9">
      <c r="A5" s="4" t="s">
        <v>394</v>
      </c>
      <c r="B5" s="4" t="s">
        <v>18</v>
      </c>
      <c r="C5" s="5">
        <v>105035.43</v>
      </c>
      <c r="D5" t="str">
        <f t="shared" si="0"/>
        <v>Platinum</v>
      </c>
      <c r="E5">
        <f t="shared" si="1"/>
        <v>200000</v>
      </c>
      <c r="H5" s="6" t="s">
        <v>654</v>
      </c>
      <c r="I5" s="155">
        <v>48565.696842105273</v>
      </c>
    </row>
    <row r="6" spans="1:9">
      <c r="A6" s="4" t="s">
        <v>391</v>
      </c>
      <c r="B6" s="4" t="s">
        <v>18</v>
      </c>
      <c r="C6" s="5">
        <v>701249.22750000004</v>
      </c>
      <c r="D6" t="str">
        <f t="shared" si="0"/>
        <v>Platinum</v>
      </c>
      <c r="E6">
        <f t="shared" si="1"/>
        <v>200000</v>
      </c>
      <c r="H6" s="6" t="s">
        <v>655</v>
      </c>
      <c r="I6" s="155">
        <v>191884.85277777779</v>
      </c>
    </row>
    <row r="7" spans="1:9">
      <c r="A7" s="4" t="s">
        <v>388</v>
      </c>
      <c r="B7" s="4" t="s">
        <v>9</v>
      </c>
      <c r="C7" s="5">
        <v>115557.6225</v>
      </c>
      <c r="D7" t="str">
        <f t="shared" si="0"/>
        <v>Platinum</v>
      </c>
      <c r="E7">
        <f t="shared" si="1"/>
        <v>200000</v>
      </c>
      <c r="H7" s="6" t="s">
        <v>656</v>
      </c>
      <c r="I7" s="155">
        <v>6134.5822499999995</v>
      </c>
    </row>
    <row r="8" spans="1:9">
      <c r="A8" s="4" t="s">
        <v>396</v>
      </c>
      <c r="B8" s="4" t="s">
        <v>18</v>
      </c>
      <c r="C8" s="5">
        <v>82963.237499999988</v>
      </c>
      <c r="D8" t="str">
        <f t="shared" si="0"/>
        <v>Gold</v>
      </c>
      <c r="E8">
        <f t="shared" si="1"/>
        <v>50000</v>
      </c>
      <c r="H8" s="6" t="s">
        <v>595</v>
      </c>
      <c r="I8" s="155">
        <v>77613.724903846174</v>
      </c>
    </row>
    <row r="9" spans="1:9">
      <c r="A9" s="4" t="s">
        <v>301</v>
      </c>
      <c r="B9" s="4" t="s">
        <v>9</v>
      </c>
      <c r="C9" s="5">
        <v>9375</v>
      </c>
      <c r="D9" t="str">
        <f t="shared" si="0"/>
        <v>Silver</v>
      </c>
      <c r="E9">
        <f t="shared" si="1"/>
        <v>6000</v>
      </c>
    </row>
    <row r="10" spans="1:9">
      <c r="A10" s="4" t="s">
        <v>373</v>
      </c>
      <c r="B10" s="4" t="s">
        <v>9</v>
      </c>
      <c r="C10" s="5">
        <v>45882.75</v>
      </c>
      <c r="D10" t="str">
        <f t="shared" si="0"/>
        <v>Gold</v>
      </c>
      <c r="E10">
        <f t="shared" si="1"/>
        <v>50000</v>
      </c>
    </row>
    <row r="11" spans="1:9">
      <c r="A11" s="4" t="s">
        <v>393</v>
      </c>
      <c r="B11" s="4" t="s">
        <v>18</v>
      </c>
      <c r="C11" s="5">
        <v>11045.782499999999</v>
      </c>
      <c r="D11" t="str">
        <f t="shared" si="0"/>
        <v>Gold</v>
      </c>
      <c r="E11">
        <f t="shared" si="1"/>
        <v>50000</v>
      </c>
    </row>
    <row r="12" spans="1:9">
      <c r="A12" s="4" t="s">
        <v>371</v>
      </c>
      <c r="B12" s="4" t="s">
        <v>18</v>
      </c>
      <c r="C12" s="5">
        <v>151695.45000000001</v>
      </c>
      <c r="D12" t="str">
        <f t="shared" si="0"/>
        <v>Platinum</v>
      </c>
      <c r="E12">
        <f t="shared" si="1"/>
        <v>200000</v>
      </c>
    </row>
    <row r="13" spans="1:9">
      <c r="A13" s="4" t="s">
        <v>309</v>
      </c>
      <c r="B13" s="4" t="s">
        <v>18</v>
      </c>
      <c r="C13" s="5">
        <v>90000</v>
      </c>
      <c r="D13" t="str">
        <f t="shared" si="0"/>
        <v>Gold</v>
      </c>
      <c r="E13">
        <f t="shared" si="1"/>
        <v>50000</v>
      </c>
    </row>
    <row r="14" spans="1:9">
      <c r="A14" s="4" t="s">
        <v>392</v>
      </c>
      <c r="B14" s="4" t="s">
        <v>18</v>
      </c>
      <c r="C14" s="5">
        <v>85163.557499999995</v>
      </c>
      <c r="D14" t="str">
        <f t="shared" si="0"/>
        <v>Gold</v>
      </c>
      <c r="E14">
        <f t="shared" si="1"/>
        <v>50000</v>
      </c>
    </row>
    <row r="15" spans="1:9">
      <c r="A15" s="4" t="s">
        <v>387</v>
      </c>
      <c r="B15" s="4" t="s">
        <v>9</v>
      </c>
      <c r="C15" s="5">
        <v>130559.32500000001</v>
      </c>
      <c r="D15" t="str">
        <f t="shared" si="0"/>
        <v>Platinum</v>
      </c>
      <c r="E15">
        <f t="shared" si="1"/>
        <v>200000</v>
      </c>
    </row>
    <row r="16" spans="1:9">
      <c r="A16" s="4" t="s">
        <v>349</v>
      </c>
      <c r="B16" s="4" t="s">
        <v>9</v>
      </c>
      <c r="C16" s="5">
        <v>135016.5</v>
      </c>
      <c r="D16" t="str">
        <f t="shared" si="0"/>
        <v>Platinum</v>
      </c>
      <c r="E16">
        <f t="shared" si="1"/>
        <v>200000</v>
      </c>
    </row>
    <row r="17" spans="1:5">
      <c r="A17" s="4" t="s">
        <v>374</v>
      </c>
      <c r="B17" s="4" t="s">
        <v>9</v>
      </c>
      <c r="C17" s="5">
        <v>19292.13</v>
      </c>
      <c r="D17" t="str">
        <f t="shared" si="0"/>
        <v>Gold</v>
      </c>
      <c r="E17">
        <f t="shared" si="1"/>
        <v>50000</v>
      </c>
    </row>
    <row r="18" spans="1:5">
      <c r="A18" s="4" t="s">
        <v>304</v>
      </c>
      <c r="B18" s="4" t="s">
        <v>9</v>
      </c>
      <c r="C18" s="5">
        <v>75516.299999999988</v>
      </c>
      <c r="D18" t="str">
        <f t="shared" si="0"/>
        <v>Gold</v>
      </c>
      <c r="E18">
        <f t="shared" si="1"/>
        <v>50000</v>
      </c>
    </row>
    <row r="19" spans="1:5">
      <c r="A19" s="4" t="s">
        <v>333</v>
      </c>
      <c r="B19" s="4" t="s">
        <v>18</v>
      </c>
      <c r="C19" s="5">
        <v>7500</v>
      </c>
      <c r="D19" t="str">
        <f t="shared" si="0"/>
        <v>Silver</v>
      </c>
      <c r="E19">
        <f t="shared" si="1"/>
        <v>6000</v>
      </c>
    </row>
    <row r="20" spans="1:5">
      <c r="A20" s="4" t="s">
        <v>330</v>
      </c>
      <c r="B20" s="4" t="s">
        <v>18</v>
      </c>
      <c r="C20" s="5">
        <v>150000</v>
      </c>
      <c r="D20" t="str">
        <f t="shared" si="0"/>
        <v>Platinum</v>
      </c>
      <c r="E20">
        <f t="shared" si="1"/>
        <v>200000</v>
      </c>
    </row>
    <row r="21" spans="1:5">
      <c r="A21" s="4" t="s">
        <v>332</v>
      </c>
      <c r="B21" s="4" t="s">
        <v>18</v>
      </c>
      <c r="C21" s="5">
        <v>26250</v>
      </c>
      <c r="D21" t="str">
        <f t="shared" si="0"/>
        <v>Gold</v>
      </c>
      <c r="E21">
        <f t="shared" si="1"/>
        <v>50000</v>
      </c>
    </row>
    <row r="22" spans="1:5">
      <c r="A22" s="4" t="s">
        <v>331</v>
      </c>
      <c r="B22" s="4" t="s">
        <v>18</v>
      </c>
      <c r="C22" s="5">
        <v>30000</v>
      </c>
      <c r="D22" t="str">
        <f t="shared" si="0"/>
        <v>Gold</v>
      </c>
      <c r="E22">
        <f t="shared" si="1"/>
        <v>50000</v>
      </c>
    </row>
    <row r="23" spans="1:5">
      <c r="A23" s="4" t="s">
        <v>342</v>
      </c>
      <c r="B23" s="4" t="s">
        <v>18</v>
      </c>
      <c r="C23" s="5">
        <v>225033</v>
      </c>
      <c r="D23" t="str">
        <f t="shared" si="0"/>
        <v>Platinum</v>
      </c>
      <c r="E23">
        <f t="shared" si="1"/>
        <v>200000</v>
      </c>
    </row>
    <row r="24" spans="1:5">
      <c r="A24" s="4" t="s">
        <v>321</v>
      </c>
      <c r="B24" s="4" t="s">
        <v>9</v>
      </c>
      <c r="C24" s="5">
        <v>7500</v>
      </c>
      <c r="D24" t="str">
        <f t="shared" si="0"/>
        <v>Silver</v>
      </c>
      <c r="E24">
        <f t="shared" si="1"/>
        <v>6000</v>
      </c>
    </row>
    <row r="25" spans="1:5">
      <c r="A25" s="4" t="s">
        <v>341</v>
      </c>
      <c r="B25" s="4" t="s">
        <v>18</v>
      </c>
      <c r="C25" s="5">
        <v>433.125</v>
      </c>
      <c r="D25" t="str">
        <f t="shared" si="0"/>
        <v>Silver</v>
      </c>
      <c r="E25">
        <f t="shared" si="1"/>
        <v>6000</v>
      </c>
    </row>
    <row r="26" spans="1:5">
      <c r="A26" s="4" t="s">
        <v>337</v>
      </c>
      <c r="B26" s="4" t="s">
        <v>18</v>
      </c>
      <c r="C26" s="5">
        <v>658.125</v>
      </c>
      <c r="D26" t="str">
        <f t="shared" si="0"/>
        <v>Silver</v>
      </c>
      <c r="E26">
        <f t="shared" si="1"/>
        <v>6000</v>
      </c>
    </row>
    <row r="27" spans="1:5">
      <c r="A27" s="4" t="s">
        <v>353</v>
      </c>
      <c r="B27" s="4" t="s">
        <v>18</v>
      </c>
      <c r="C27" s="5">
        <v>112083.39749999999</v>
      </c>
      <c r="D27" t="str">
        <f t="shared" si="0"/>
        <v>Platinum</v>
      </c>
      <c r="E27">
        <f t="shared" si="1"/>
        <v>200000</v>
      </c>
    </row>
    <row r="28" spans="1:5">
      <c r="A28" s="4" t="s">
        <v>395</v>
      </c>
      <c r="B28" s="4" t="s">
        <v>18</v>
      </c>
      <c r="C28" s="5">
        <v>270290.28749999998</v>
      </c>
      <c r="D28" t="str">
        <f t="shared" si="0"/>
        <v>Platinum</v>
      </c>
      <c r="E28">
        <f t="shared" si="1"/>
        <v>200000</v>
      </c>
    </row>
    <row r="29" spans="1:5">
      <c r="A29" s="4" t="s">
        <v>323</v>
      </c>
      <c r="B29" s="4" t="s">
        <v>18</v>
      </c>
      <c r="C29" s="5">
        <v>252000</v>
      </c>
      <c r="D29" t="str">
        <f t="shared" si="0"/>
        <v>Platinum</v>
      </c>
      <c r="E29">
        <f t="shared" si="1"/>
        <v>200000</v>
      </c>
    </row>
    <row r="30" spans="1:5">
      <c r="A30" s="4" t="s">
        <v>318</v>
      </c>
      <c r="B30" s="4" t="s">
        <v>18</v>
      </c>
      <c r="C30" s="5">
        <v>6000</v>
      </c>
      <c r="D30" t="str">
        <f t="shared" si="0"/>
        <v>Silver</v>
      </c>
      <c r="E30">
        <f t="shared" si="1"/>
        <v>6000</v>
      </c>
    </row>
    <row r="31" spans="1:5">
      <c r="A31" s="4" t="s">
        <v>340</v>
      </c>
      <c r="B31" s="4" t="s">
        <v>18</v>
      </c>
      <c r="C31" s="5">
        <v>1381.875</v>
      </c>
      <c r="D31" t="str">
        <f t="shared" si="0"/>
        <v>Silver</v>
      </c>
      <c r="E31">
        <f t="shared" si="1"/>
        <v>6000</v>
      </c>
    </row>
    <row r="32" spans="1:5">
      <c r="A32" s="4" t="s">
        <v>310</v>
      </c>
      <c r="B32" s="4" t="s">
        <v>9</v>
      </c>
      <c r="C32" s="5">
        <v>9750</v>
      </c>
      <c r="D32" t="str">
        <f t="shared" si="0"/>
        <v>Silver</v>
      </c>
      <c r="E32">
        <f t="shared" si="1"/>
        <v>6000</v>
      </c>
    </row>
    <row r="33" spans="1:5">
      <c r="A33" s="4" t="s">
        <v>299</v>
      </c>
      <c r="B33" s="4" t="s">
        <v>18</v>
      </c>
      <c r="C33" s="5">
        <v>9375</v>
      </c>
      <c r="D33" t="str">
        <f t="shared" si="0"/>
        <v>Silver</v>
      </c>
      <c r="E33">
        <f t="shared" si="1"/>
        <v>6000</v>
      </c>
    </row>
    <row r="34" spans="1:5">
      <c r="A34" s="4" t="s">
        <v>339</v>
      </c>
      <c r="B34" s="4" t="s">
        <v>9</v>
      </c>
      <c r="C34" s="5">
        <v>21965.872500000001</v>
      </c>
      <c r="D34" t="str">
        <f t="shared" si="0"/>
        <v>Gold</v>
      </c>
      <c r="E34">
        <f t="shared" si="1"/>
        <v>50000</v>
      </c>
    </row>
    <row r="35" spans="1:5">
      <c r="A35" s="4" t="s">
        <v>339</v>
      </c>
      <c r="B35" s="4" t="s">
        <v>18</v>
      </c>
      <c r="C35" s="5">
        <v>506.25</v>
      </c>
      <c r="D35" t="str">
        <f t="shared" si="0"/>
        <v>Silver</v>
      </c>
      <c r="E35">
        <f t="shared" si="1"/>
        <v>6000</v>
      </c>
    </row>
    <row r="36" spans="1:5">
      <c r="A36" s="4" t="s">
        <v>316</v>
      </c>
      <c r="B36" s="4" t="s">
        <v>9</v>
      </c>
      <c r="C36" s="5">
        <v>60725.497499999998</v>
      </c>
      <c r="D36" t="str">
        <f t="shared" si="0"/>
        <v>Gold</v>
      </c>
      <c r="E36">
        <f t="shared" si="1"/>
        <v>50000</v>
      </c>
    </row>
    <row r="37" spans="1:5">
      <c r="A37" s="4" t="s">
        <v>314</v>
      </c>
      <c r="B37" s="4" t="s">
        <v>18</v>
      </c>
      <c r="C37" s="5">
        <v>33750</v>
      </c>
      <c r="D37" t="str">
        <f t="shared" si="0"/>
        <v>Gold</v>
      </c>
      <c r="E37">
        <f t="shared" si="1"/>
        <v>50000</v>
      </c>
    </row>
    <row r="38" spans="1:5">
      <c r="A38" s="4" t="s">
        <v>308</v>
      </c>
      <c r="B38" s="4" t="s">
        <v>18</v>
      </c>
      <c r="C38" s="5">
        <v>90028.132499999992</v>
      </c>
      <c r="D38" t="str">
        <f t="shared" si="0"/>
        <v>Gold</v>
      </c>
      <c r="E38">
        <f t="shared" si="1"/>
        <v>50000</v>
      </c>
    </row>
    <row r="39" spans="1:5">
      <c r="A39" s="4" t="s">
        <v>325</v>
      </c>
      <c r="B39" s="4" t="s">
        <v>18</v>
      </c>
      <c r="C39" s="5">
        <v>75000</v>
      </c>
      <c r="D39" t="str">
        <f t="shared" si="0"/>
        <v>Gold</v>
      </c>
      <c r="E39">
        <f t="shared" si="1"/>
        <v>50000</v>
      </c>
    </row>
    <row r="40" spans="1:5">
      <c r="A40" s="4" t="s">
        <v>380</v>
      </c>
      <c r="B40" s="4" t="s">
        <v>9</v>
      </c>
      <c r="C40" s="5">
        <v>91995.854999999996</v>
      </c>
      <c r="D40" t="str">
        <f t="shared" si="0"/>
        <v>Gold</v>
      </c>
      <c r="E40">
        <f t="shared" si="1"/>
        <v>50000</v>
      </c>
    </row>
    <row r="41" spans="1:5">
      <c r="A41" s="4" t="s">
        <v>329</v>
      </c>
      <c r="B41" s="4" t="s">
        <v>18</v>
      </c>
      <c r="C41" s="5">
        <v>71250</v>
      </c>
      <c r="D41" t="str">
        <f t="shared" si="0"/>
        <v>Gold</v>
      </c>
      <c r="E41">
        <f t="shared" si="1"/>
        <v>50000</v>
      </c>
    </row>
    <row r="42" spans="1:5">
      <c r="A42" s="4" t="s">
        <v>365</v>
      </c>
      <c r="B42" s="4" t="s">
        <v>18</v>
      </c>
      <c r="C42" s="5">
        <v>25749.375</v>
      </c>
      <c r="D42" t="str">
        <f t="shared" si="0"/>
        <v>Gold</v>
      </c>
      <c r="E42">
        <f t="shared" si="1"/>
        <v>50000</v>
      </c>
    </row>
    <row r="43" spans="1:5">
      <c r="A43" s="4" t="s">
        <v>355</v>
      </c>
      <c r="B43" s="4" t="s">
        <v>18</v>
      </c>
      <c r="C43" s="5">
        <v>630000.29249999998</v>
      </c>
      <c r="D43" t="str">
        <f t="shared" si="0"/>
        <v>Platinum</v>
      </c>
      <c r="E43">
        <f t="shared" si="1"/>
        <v>200000</v>
      </c>
    </row>
    <row r="44" spans="1:5">
      <c r="A44" s="4" t="s">
        <v>315</v>
      </c>
      <c r="B44" s="4" t="s">
        <v>9</v>
      </c>
      <c r="C44" s="5">
        <v>37338.832500000004</v>
      </c>
      <c r="D44" t="str">
        <f t="shared" si="0"/>
        <v>Gold</v>
      </c>
      <c r="E44">
        <f t="shared" si="1"/>
        <v>50000</v>
      </c>
    </row>
    <row r="45" spans="1:5">
      <c r="A45" s="4" t="s">
        <v>322</v>
      </c>
      <c r="B45" s="4" t="s">
        <v>18</v>
      </c>
      <c r="C45" s="5">
        <v>309750</v>
      </c>
      <c r="D45" t="str">
        <f t="shared" si="0"/>
        <v>Platinum</v>
      </c>
      <c r="E45">
        <f t="shared" si="1"/>
        <v>200000</v>
      </c>
    </row>
    <row r="46" spans="1:5">
      <c r="A46" s="4" t="s">
        <v>367</v>
      </c>
      <c r="B46" s="4" t="s">
        <v>18</v>
      </c>
      <c r="C46" s="5">
        <v>113221.5</v>
      </c>
      <c r="D46" t="str">
        <f t="shared" si="0"/>
        <v>Platinum</v>
      </c>
      <c r="E46">
        <f t="shared" si="1"/>
        <v>200000</v>
      </c>
    </row>
    <row r="47" spans="1:5">
      <c r="A47" s="4" t="s">
        <v>338</v>
      </c>
      <c r="B47" s="4" t="s">
        <v>9</v>
      </c>
      <c r="C47" s="5">
        <v>73.5</v>
      </c>
      <c r="D47" t="str">
        <f t="shared" si="0"/>
        <v>Silver</v>
      </c>
      <c r="E47">
        <f t="shared" si="1"/>
        <v>6000</v>
      </c>
    </row>
    <row r="48" spans="1:5">
      <c r="A48" s="4" t="s">
        <v>390</v>
      </c>
      <c r="B48" s="4" t="s">
        <v>9</v>
      </c>
      <c r="C48" s="5">
        <v>11504.647500000001</v>
      </c>
      <c r="D48" t="str">
        <f t="shared" si="0"/>
        <v>Gold</v>
      </c>
      <c r="E48">
        <f t="shared" si="1"/>
        <v>50000</v>
      </c>
    </row>
    <row r="49" spans="1:5">
      <c r="A49" s="4" t="s">
        <v>390</v>
      </c>
      <c r="B49" s="4" t="s">
        <v>18</v>
      </c>
      <c r="C49" s="5">
        <v>83736.112499999988</v>
      </c>
      <c r="D49" t="str">
        <f t="shared" si="0"/>
        <v>Gold</v>
      </c>
      <c r="E49">
        <f t="shared" si="1"/>
        <v>50000</v>
      </c>
    </row>
    <row r="50" spans="1:5">
      <c r="A50" s="4" t="s">
        <v>359</v>
      </c>
      <c r="B50" s="4" t="s">
        <v>18</v>
      </c>
      <c r="C50" s="5">
        <v>35235.360000000001</v>
      </c>
      <c r="D50" t="str">
        <f t="shared" si="0"/>
        <v>Gold</v>
      </c>
      <c r="E50">
        <f t="shared" si="1"/>
        <v>50000</v>
      </c>
    </row>
    <row r="51" spans="1:5">
      <c r="A51" s="4" t="s">
        <v>324</v>
      </c>
      <c r="B51" s="4" t="s">
        <v>18</v>
      </c>
      <c r="C51" s="5">
        <v>93750.225000000006</v>
      </c>
      <c r="D51" t="str">
        <f t="shared" si="0"/>
        <v>Gold</v>
      </c>
      <c r="E51">
        <f t="shared" si="1"/>
        <v>50000</v>
      </c>
    </row>
    <row r="52" spans="1:5">
      <c r="A52" s="4" t="s">
        <v>358</v>
      </c>
      <c r="B52" s="4" t="s">
        <v>18</v>
      </c>
      <c r="C52" s="5">
        <v>153701.92499999999</v>
      </c>
      <c r="D52" t="str">
        <f t="shared" si="0"/>
        <v>Platinum</v>
      </c>
      <c r="E52">
        <f t="shared" si="1"/>
        <v>200000</v>
      </c>
    </row>
    <row r="53" spans="1:5">
      <c r="A53" s="4" t="s">
        <v>370</v>
      </c>
      <c r="B53" s="4" t="s">
        <v>18</v>
      </c>
      <c r="C53" s="5">
        <v>19896.675000000003</v>
      </c>
      <c r="D53" t="str">
        <f t="shared" si="0"/>
        <v>Gold</v>
      </c>
      <c r="E53">
        <f t="shared" si="1"/>
        <v>50000</v>
      </c>
    </row>
    <row r="54" spans="1:5">
      <c r="A54" s="4" t="s">
        <v>302</v>
      </c>
      <c r="B54" s="4" t="s">
        <v>9</v>
      </c>
      <c r="C54" s="5">
        <v>9375</v>
      </c>
      <c r="D54" t="str">
        <f t="shared" si="0"/>
        <v>Silver</v>
      </c>
      <c r="E54">
        <f t="shared" si="1"/>
        <v>6000</v>
      </c>
    </row>
    <row r="55" spans="1:5">
      <c r="A55" s="4" t="s">
        <v>364</v>
      </c>
      <c r="B55" s="4" t="s">
        <v>18</v>
      </c>
      <c r="C55" s="5">
        <v>32585.827499999999</v>
      </c>
      <c r="D55" t="str">
        <f t="shared" si="0"/>
        <v>Gold</v>
      </c>
      <c r="E55">
        <f t="shared" si="1"/>
        <v>50000</v>
      </c>
    </row>
    <row r="56" spans="1:5">
      <c r="A56" s="4" t="s">
        <v>362</v>
      </c>
      <c r="B56" s="4" t="s">
        <v>18</v>
      </c>
      <c r="C56" s="5">
        <v>10875</v>
      </c>
      <c r="D56" t="str">
        <f t="shared" si="0"/>
        <v>Gold</v>
      </c>
      <c r="E56">
        <f t="shared" si="1"/>
        <v>50000</v>
      </c>
    </row>
    <row r="57" spans="1:5">
      <c r="A57" s="4" t="s">
        <v>369</v>
      </c>
      <c r="B57" s="4" t="s">
        <v>18</v>
      </c>
      <c r="C57" s="5">
        <v>131266.5</v>
      </c>
      <c r="D57" t="str">
        <f t="shared" si="0"/>
        <v>Platinum</v>
      </c>
      <c r="E57">
        <f t="shared" si="1"/>
        <v>200000</v>
      </c>
    </row>
    <row r="58" spans="1:5">
      <c r="A58" s="4" t="s">
        <v>356</v>
      </c>
      <c r="B58" s="4" t="s">
        <v>18</v>
      </c>
      <c r="C58" s="5">
        <v>133381.38</v>
      </c>
      <c r="D58" t="str">
        <f t="shared" si="0"/>
        <v>Platinum</v>
      </c>
      <c r="E58">
        <f t="shared" si="1"/>
        <v>200000</v>
      </c>
    </row>
    <row r="59" spans="1:5">
      <c r="A59" s="4" t="s">
        <v>346</v>
      </c>
      <c r="B59" s="4" t="s">
        <v>9</v>
      </c>
      <c r="C59" s="5">
        <v>135016.5</v>
      </c>
      <c r="D59" t="str">
        <f t="shared" si="0"/>
        <v>Platinum</v>
      </c>
      <c r="E59">
        <f t="shared" si="1"/>
        <v>200000</v>
      </c>
    </row>
    <row r="60" spans="1:5">
      <c r="A60" s="4" t="s">
        <v>347</v>
      </c>
      <c r="B60" s="4" t="s">
        <v>9</v>
      </c>
      <c r="C60" s="5">
        <v>10875</v>
      </c>
      <c r="D60" t="str">
        <f t="shared" si="0"/>
        <v>Gold</v>
      </c>
      <c r="E60">
        <f t="shared" si="1"/>
        <v>50000</v>
      </c>
    </row>
    <row r="61" spans="1:5">
      <c r="A61" s="4" t="s">
        <v>382</v>
      </c>
      <c r="B61" s="4" t="s">
        <v>18</v>
      </c>
      <c r="C61" s="5">
        <v>97361.25</v>
      </c>
      <c r="D61" t="str">
        <f t="shared" si="0"/>
        <v>Gold</v>
      </c>
      <c r="E61">
        <f t="shared" si="1"/>
        <v>50000</v>
      </c>
    </row>
    <row r="62" spans="1:5">
      <c r="A62" s="4" t="s">
        <v>363</v>
      </c>
      <c r="B62" s="4" t="s">
        <v>18</v>
      </c>
      <c r="C62" s="5">
        <v>9562.5</v>
      </c>
      <c r="D62" t="str">
        <f t="shared" si="0"/>
        <v>Silver</v>
      </c>
      <c r="E62">
        <f t="shared" si="1"/>
        <v>6000</v>
      </c>
    </row>
    <row r="63" spans="1:5">
      <c r="A63" s="4" t="s">
        <v>368</v>
      </c>
      <c r="B63" s="4" t="s">
        <v>18</v>
      </c>
      <c r="C63" s="5">
        <v>19792.695</v>
      </c>
      <c r="D63" t="str">
        <f t="shared" si="0"/>
        <v>Gold</v>
      </c>
      <c r="E63">
        <f t="shared" si="1"/>
        <v>50000</v>
      </c>
    </row>
    <row r="64" spans="1:5">
      <c r="A64" s="4" t="s">
        <v>360</v>
      </c>
      <c r="B64" s="4" t="s">
        <v>18</v>
      </c>
      <c r="C64" s="5">
        <v>73646.684999999998</v>
      </c>
      <c r="D64" t="str">
        <f t="shared" si="0"/>
        <v>Gold</v>
      </c>
      <c r="E64">
        <f t="shared" si="1"/>
        <v>50000</v>
      </c>
    </row>
    <row r="65" spans="1:5">
      <c r="A65" s="4" t="s">
        <v>357</v>
      </c>
      <c r="B65" s="4" t="s">
        <v>18</v>
      </c>
      <c r="C65" s="5">
        <v>17132.2425</v>
      </c>
      <c r="D65" t="str">
        <f t="shared" si="0"/>
        <v>Gold</v>
      </c>
      <c r="E65">
        <f t="shared" si="1"/>
        <v>50000</v>
      </c>
    </row>
    <row r="66" spans="1:5">
      <c r="A66" s="4" t="s">
        <v>383</v>
      </c>
      <c r="B66" s="4" t="s">
        <v>18</v>
      </c>
      <c r="C66" s="5">
        <v>142500</v>
      </c>
      <c r="D66" t="str">
        <f t="shared" si="0"/>
        <v>Platinum</v>
      </c>
      <c r="E66">
        <f t="shared" si="1"/>
        <v>200000</v>
      </c>
    </row>
    <row r="67" spans="1:5">
      <c r="A67" s="4" t="s">
        <v>320</v>
      </c>
      <c r="B67" s="4" t="s">
        <v>9</v>
      </c>
      <c r="C67" s="5">
        <v>159750</v>
      </c>
      <c r="D67" t="str">
        <f t="shared" ref="D67:D105" si="2">IF(C67&lt;10000,"Silver",(IF(C67&lt;100000,"Gold","Platinum")))</f>
        <v>Platinum</v>
      </c>
      <c r="E67">
        <f t="shared" ref="E67:E105" si="3">IF(C67&lt;10000,6000,(IF(C67&lt;100000,50000,200000)))</f>
        <v>200000</v>
      </c>
    </row>
    <row r="68" spans="1:5">
      <c r="A68" s="4" t="s">
        <v>303</v>
      </c>
      <c r="B68" s="4" t="s">
        <v>9</v>
      </c>
      <c r="C68" s="5">
        <v>15562.5</v>
      </c>
      <c r="D68" t="str">
        <f t="shared" si="2"/>
        <v>Gold</v>
      </c>
      <c r="E68">
        <f t="shared" si="3"/>
        <v>50000</v>
      </c>
    </row>
    <row r="69" spans="1:5">
      <c r="A69" s="4" t="s">
        <v>352</v>
      </c>
      <c r="B69" s="4" t="s">
        <v>9</v>
      </c>
      <c r="C69" s="5">
        <v>77623.049999999988</v>
      </c>
      <c r="D69" t="str">
        <f t="shared" si="2"/>
        <v>Gold</v>
      </c>
      <c r="E69">
        <f t="shared" si="3"/>
        <v>50000</v>
      </c>
    </row>
    <row r="70" spans="1:5">
      <c r="A70" s="4" t="s">
        <v>352</v>
      </c>
      <c r="B70" s="4" t="s">
        <v>18</v>
      </c>
      <c r="C70" s="5">
        <v>6322.3575000000001</v>
      </c>
      <c r="D70" t="str">
        <f t="shared" si="2"/>
        <v>Silver</v>
      </c>
      <c r="E70">
        <f t="shared" si="3"/>
        <v>6000</v>
      </c>
    </row>
    <row r="71" spans="1:5">
      <c r="A71" s="4" t="s">
        <v>350</v>
      </c>
      <c r="B71" s="4" t="s">
        <v>9</v>
      </c>
      <c r="C71" s="5">
        <v>135016.5</v>
      </c>
      <c r="D71" t="str">
        <f t="shared" si="2"/>
        <v>Platinum</v>
      </c>
      <c r="E71">
        <f t="shared" si="3"/>
        <v>200000</v>
      </c>
    </row>
    <row r="72" spans="1:5">
      <c r="A72" s="4" t="s">
        <v>366</v>
      </c>
      <c r="B72" s="4" t="s">
        <v>18</v>
      </c>
      <c r="C72" s="5">
        <v>41813.962499999994</v>
      </c>
      <c r="D72" t="str">
        <f t="shared" si="2"/>
        <v>Gold</v>
      </c>
      <c r="E72">
        <f t="shared" si="3"/>
        <v>50000</v>
      </c>
    </row>
    <row r="73" spans="1:5">
      <c r="A73" s="4" t="s">
        <v>375</v>
      </c>
      <c r="B73" s="4" t="s">
        <v>9</v>
      </c>
      <c r="C73" s="5">
        <v>63012</v>
      </c>
      <c r="D73" t="str">
        <f t="shared" si="2"/>
        <v>Gold</v>
      </c>
      <c r="E73">
        <f t="shared" si="3"/>
        <v>50000</v>
      </c>
    </row>
    <row r="74" spans="1:5">
      <c r="A74" s="4" t="s">
        <v>375</v>
      </c>
      <c r="B74" s="4" t="s">
        <v>18</v>
      </c>
      <c r="C74" s="5">
        <v>46233.75</v>
      </c>
      <c r="D74" t="str">
        <f t="shared" si="2"/>
        <v>Gold</v>
      </c>
      <c r="E74">
        <f t="shared" si="3"/>
        <v>50000</v>
      </c>
    </row>
    <row r="75" spans="1:5">
      <c r="A75" s="4" t="s">
        <v>343</v>
      </c>
      <c r="B75" s="4" t="s">
        <v>18</v>
      </c>
      <c r="C75" s="5">
        <v>12996</v>
      </c>
      <c r="D75" t="str">
        <f t="shared" si="2"/>
        <v>Gold</v>
      </c>
      <c r="E75">
        <f t="shared" si="3"/>
        <v>50000</v>
      </c>
    </row>
    <row r="76" spans="1:5">
      <c r="A76" s="4" t="s">
        <v>379</v>
      </c>
      <c r="B76" s="4" t="s">
        <v>9</v>
      </c>
      <c r="C76" s="5">
        <v>73413.705000000002</v>
      </c>
      <c r="D76" t="str">
        <f t="shared" si="2"/>
        <v>Gold</v>
      </c>
      <c r="E76">
        <f t="shared" si="3"/>
        <v>50000</v>
      </c>
    </row>
    <row r="77" spans="1:5">
      <c r="A77" s="4" t="s">
        <v>306</v>
      </c>
      <c r="B77" s="4" t="s">
        <v>18</v>
      </c>
      <c r="C77" s="5">
        <v>24456.27</v>
      </c>
      <c r="D77" t="str">
        <f t="shared" si="2"/>
        <v>Gold</v>
      </c>
      <c r="E77">
        <f t="shared" si="3"/>
        <v>50000</v>
      </c>
    </row>
    <row r="78" spans="1:5">
      <c r="A78" s="4" t="s">
        <v>313</v>
      </c>
      <c r="B78" s="4" t="s">
        <v>9</v>
      </c>
      <c r="C78" s="5">
        <v>30000</v>
      </c>
      <c r="D78" t="str">
        <f t="shared" si="2"/>
        <v>Gold</v>
      </c>
      <c r="E78">
        <f t="shared" si="3"/>
        <v>50000</v>
      </c>
    </row>
    <row r="79" spans="1:5">
      <c r="A79" s="4" t="s">
        <v>378</v>
      </c>
      <c r="B79" s="4" t="s">
        <v>9</v>
      </c>
      <c r="C79" s="5">
        <v>97500</v>
      </c>
      <c r="D79" t="str">
        <f t="shared" si="2"/>
        <v>Gold</v>
      </c>
      <c r="E79">
        <f t="shared" si="3"/>
        <v>50000</v>
      </c>
    </row>
    <row r="80" spans="1:5">
      <c r="A80" s="4" t="s">
        <v>317</v>
      </c>
      <c r="B80" s="4" t="s">
        <v>18</v>
      </c>
      <c r="C80" s="5">
        <v>46500</v>
      </c>
      <c r="D80" t="str">
        <f t="shared" si="2"/>
        <v>Gold</v>
      </c>
      <c r="E80">
        <f t="shared" si="3"/>
        <v>50000</v>
      </c>
    </row>
    <row r="81" spans="1:5">
      <c r="A81" s="4" t="s">
        <v>377</v>
      </c>
      <c r="B81" s="4" t="s">
        <v>9</v>
      </c>
      <c r="C81" s="5">
        <v>57000</v>
      </c>
      <c r="D81" t="str">
        <f t="shared" si="2"/>
        <v>Gold</v>
      </c>
      <c r="E81">
        <f t="shared" si="3"/>
        <v>50000</v>
      </c>
    </row>
    <row r="82" spans="1:5">
      <c r="A82" s="4" t="s">
        <v>307</v>
      </c>
      <c r="B82" s="4" t="s">
        <v>18</v>
      </c>
      <c r="C82" s="5">
        <v>7502.61</v>
      </c>
      <c r="D82" t="str">
        <f t="shared" si="2"/>
        <v>Silver</v>
      </c>
      <c r="E82">
        <f t="shared" si="3"/>
        <v>6000</v>
      </c>
    </row>
    <row r="83" spans="1:5">
      <c r="A83" s="4" t="s">
        <v>298</v>
      </c>
      <c r="B83" s="4" t="s">
        <v>9</v>
      </c>
      <c r="C83" s="5">
        <v>9375</v>
      </c>
      <c r="D83" t="str">
        <f t="shared" si="2"/>
        <v>Silver</v>
      </c>
      <c r="E83">
        <f t="shared" si="3"/>
        <v>6000</v>
      </c>
    </row>
    <row r="84" spans="1:5">
      <c r="A84" s="4" t="s">
        <v>327</v>
      </c>
      <c r="B84" s="4" t="s">
        <v>18</v>
      </c>
      <c r="C84" s="5">
        <v>75000</v>
      </c>
      <c r="D84" t="str">
        <f t="shared" si="2"/>
        <v>Gold</v>
      </c>
      <c r="E84">
        <f t="shared" si="3"/>
        <v>50000</v>
      </c>
    </row>
    <row r="85" spans="1:5">
      <c r="A85" s="4" t="s">
        <v>326</v>
      </c>
      <c r="B85" s="4" t="s">
        <v>9</v>
      </c>
      <c r="C85" s="5">
        <v>41250</v>
      </c>
      <c r="D85" t="str">
        <f t="shared" si="2"/>
        <v>Gold</v>
      </c>
      <c r="E85">
        <f t="shared" si="3"/>
        <v>50000</v>
      </c>
    </row>
    <row r="86" spans="1:5">
      <c r="A86" s="4" t="s">
        <v>344</v>
      </c>
      <c r="B86" s="4" t="s">
        <v>9</v>
      </c>
      <c r="C86" s="5">
        <v>23576.864999999998</v>
      </c>
      <c r="D86" t="str">
        <f t="shared" si="2"/>
        <v>Gold</v>
      </c>
      <c r="E86">
        <f t="shared" si="3"/>
        <v>50000</v>
      </c>
    </row>
    <row r="87" spans="1:5">
      <c r="A87" s="4" t="s">
        <v>328</v>
      </c>
      <c r="B87" s="4" t="s">
        <v>9</v>
      </c>
      <c r="C87" s="5">
        <v>142499.77500000002</v>
      </c>
      <c r="D87" t="str">
        <f t="shared" si="2"/>
        <v>Platinum</v>
      </c>
      <c r="E87">
        <f t="shared" si="3"/>
        <v>200000</v>
      </c>
    </row>
    <row r="88" spans="1:5">
      <c r="A88" s="4" t="s">
        <v>376</v>
      </c>
      <c r="B88" s="4" t="s">
        <v>18</v>
      </c>
      <c r="C88" s="5">
        <v>101171.28749999999</v>
      </c>
      <c r="D88" t="str">
        <f t="shared" si="2"/>
        <v>Platinum</v>
      </c>
      <c r="E88">
        <f t="shared" si="3"/>
        <v>200000</v>
      </c>
    </row>
    <row r="89" spans="1:5">
      <c r="A89" s="4" t="s">
        <v>381</v>
      </c>
      <c r="B89" s="4" t="s">
        <v>18</v>
      </c>
      <c r="C89" s="5">
        <v>58380.959999999999</v>
      </c>
      <c r="D89" t="str">
        <f t="shared" si="2"/>
        <v>Gold</v>
      </c>
      <c r="E89">
        <f t="shared" si="3"/>
        <v>50000</v>
      </c>
    </row>
    <row r="90" spans="1:5">
      <c r="A90" s="4" t="s">
        <v>345</v>
      </c>
      <c r="B90" s="4" t="s">
        <v>9</v>
      </c>
      <c r="C90" s="5">
        <v>138364.875</v>
      </c>
      <c r="D90" t="str">
        <f t="shared" si="2"/>
        <v>Platinum</v>
      </c>
      <c r="E90">
        <f t="shared" si="3"/>
        <v>200000</v>
      </c>
    </row>
    <row r="91" spans="1:5">
      <c r="A91" s="4" t="s">
        <v>354</v>
      </c>
      <c r="B91" s="4" t="s">
        <v>18</v>
      </c>
      <c r="C91" s="5">
        <v>10875</v>
      </c>
      <c r="D91" t="str">
        <f t="shared" si="2"/>
        <v>Gold</v>
      </c>
      <c r="E91">
        <f t="shared" si="3"/>
        <v>50000</v>
      </c>
    </row>
    <row r="92" spans="1:5">
      <c r="A92" s="4" t="s">
        <v>335</v>
      </c>
      <c r="B92" s="4" t="s">
        <v>9</v>
      </c>
      <c r="C92" s="5">
        <v>9750</v>
      </c>
      <c r="D92" t="str">
        <f t="shared" si="2"/>
        <v>Silver</v>
      </c>
      <c r="E92">
        <f t="shared" si="3"/>
        <v>6000</v>
      </c>
    </row>
    <row r="93" spans="1:5">
      <c r="A93" s="4" t="s">
        <v>372</v>
      </c>
      <c r="B93" s="4" t="s">
        <v>18</v>
      </c>
      <c r="C93" s="5">
        <v>86884.5</v>
      </c>
      <c r="D93" t="str">
        <f t="shared" si="2"/>
        <v>Gold</v>
      </c>
      <c r="E93">
        <f t="shared" si="3"/>
        <v>50000</v>
      </c>
    </row>
    <row r="94" spans="1:5">
      <c r="A94" s="4" t="s">
        <v>389</v>
      </c>
      <c r="B94" s="4" t="s">
        <v>9</v>
      </c>
      <c r="C94" s="5">
        <v>55500</v>
      </c>
      <c r="D94" t="str">
        <f t="shared" si="2"/>
        <v>Gold</v>
      </c>
      <c r="E94">
        <f t="shared" si="3"/>
        <v>50000</v>
      </c>
    </row>
    <row r="95" spans="1:5">
      <c r="A95" s="4" t="s">
        <v>311</v>
      </c>
      <c r="B95" s="4" t="s">
        <v>18</v>
      </c>
      <c r="C95" s="5">
        <v>30000</v>
      </c>
      <c r="D95" t="str">
        <f t="shared" si="2"/>
        <v>Gold</v>
      </c>
      <c r="E95">
        <f t="shared" si="3"/>
        <v>50000</v>
      </c>
    </row>
    <row r="96" spans="1:5">
      <c r="A96" s="4" t="s">
        <v>312</v>
      </c>
      <c r="B96" s="4" t="s">
        <v>18</v>
      </c>
      <c r="C96" s="5">
        <v>62667.097500000003</v>
      </c>
      <c r="D96" t="str">
        <f t="shared" si="2"/>
        <v>Gold</v>
      </c>
      <c r="E96">
        <f t="shared" si="3"/>
        <v>50000</v>
      </c>
    </row>
    <row r="97" spans="1:5">
      <c r="A97" s="4" t="s">
        <v>361</v>
      </c>
      <c r="B97" s="4" t="s">
        <v>18</v>
      </c>
      <c r="C97" s="5">
        <v>22460.017499999998</v>
      </c>
      <c r="D97" t="str">
        <f t="shared" si="2"/>
        <v>Gold</v>
      </c>
      <c r="E97">
        <f t="shared" si="3"/>
        <v>50000</v>
      </c>
    </row>
    <row r="98" spans="1:5">
      <c r="A98" s="4" t="s">
        <v>334</v>
      </c>
      <c r="B98" s="4" t="s">
        <v>9</v>
      </c>
      <c r="C98" s="5">
        <v>135000</v>
      </c>
      <c r="D98" t="str">
        <f t="shared" si="2"/>
        <v>Platinum</v>
      </c>
      <c r="E98">
        <f t="shared" si="3"/>
        <v>200000</v>
      </c>
    </row>
    <row r="99" spans="1:5">
      <c r="A99" s="4" t="s">
        <v>305</v>
      </c>
      <c r="B99" s="4" t="s">
        <v>18</v>
      </c>
      <c r="C99" s="5">
        <v>375</v>
      </c>
      <c r="D99" t="str">
        <f t="shared" si="2"/>
        <v>Silver</v>
      </c>
      <c r="E99">
        <f t="shared" si="3"/>
        <v>6000</v>
      </c>
    </row>
    <row r="100" spans="1:5">
      <c r="A100" s="4" t="s">
        <v>300</v>
      </c>
      <c r="B100" s="4" t="s">
        <v>9</v>
      </c>
      <c r="C100" s="5">
        <v>9375</v>
      </c>
      <c r="D100" t="str">
        <f t="shared" si="2"/>
        <v>Silver</v>
      </c>
      <c r="E100">
        <f t="shared" si="3"/>
        <v>6000</v>
      </c>
    </row>
    <row r="101" spans="1:5">
      <c r="A101" s="4" t="s">
        <v>351</v>
      </c>
      <c r="B101" s="4" t="s">
        <v>9</v>
      </c>
      <c r="C101" s="5">
        <v>51702</v>
      </c>
      <c r="D101" t="str">
        <f t="shared" si="2"/>
        <v>Gold</v>
      </c>
      <c r="E101">
        <f t="shared" si="3"/>
        <v>50000</v>
      </c>
    </row>
    <row r="102" spans="1:5">
      <c r="A102" s="4" t="s">
        <v>351</v>
      </c>
      <c r="B102" s="4" t="s">
        <v>18</v>
      </c>
      <c r="C102" s="5">
        <v>30375</v>
      </c>
      <c r="D102" t="str">
        <f t="shared" si="2"/>
        <v>Gold</v>
      </c>
      <c r="E102">
        <f t="shared" si="3"/>
        <v>50000</v>
      </c>
    </row>
    <row r="103" spans="1:5">
      <c r="A103" s="4" t="s">
        <v>336</v>
      </c>
      <c r="B103" s="4" t="s">
        <v>9</v>
      </c>
      <c r="C103" s="5">
        <v>79278</v>
      </c>
      <c r="D103" t="str">
        <f t="shared" si="2"/>
        <v>Gold</v>
      </c>
      <c r="E103">
        <f t="shared" si="3"/>
        <v>50000</v>
      </c>
    </row>
    <row r="104" spans="1:5">
      <c r="A104" s="4" t="s">
        <v>319</v>
      </c>
      <c r="B104" s="4" t="s">
        <v>18</v>
      </c>
      <c r="C104" s="5">
        <v>11250</v>
      </c>
      <c r="D104" t="str">
        <f t="shared" si="2"/>
        <v>Gold</v>
      </c>
      <c r="E104">
        <f t="shared" si="3"/>
        <v>50000</v>
      </c>
    </row>
    <row r="105" spans="1:5">
      <c r="A105" s="4" t="s">
        <v>385</v>
      </c>
      <c r="B105" s="4" t="s">
        <v>18</v>
      </c>
      <c r="C105" s="5">
        <v>62625</v>
      </c>
      <c r="D105" t="str">
        <f t="shared" si="2"/>
        <v>Gold</v>
      </c>
      <c r="E105">
        <f t="shared" si="3"/>
        <v>50000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05"/>
  <sheetViews>
    <sheetView workbookViewId="0">
      <selection activeCell="C1" sqref="C1:C65536"/>
    </sheetView>
  </sheetViews>
  <sheetFormatPr baseColWidth="10" defaultRowHeight="13"/>
  <cols>
    <col min="1" max="1" width="15.1640625" style="4" bestFit="1" customWidth="1"/>
    <col min="2" max="2" width="14.1640625" style="4" bestFit="1" customWidth="1"/>
    <col min="3" max="3" width="15.1640625" style="4" bestFit="1" customWidth="1"/>
    <col min="4" max="4" width="16.1640625" customWidth="1"/>
    <col min="6" max="6" width="11.6640625" bestFit="1" customWidth="1"/>
    <col min="7" max="7" width="15.33203125" bestFit="1" customWidth="1"/>
    <col min="10" max="10" width="16.33203125" customWidth="1"/>
    <col min="11" max="11" width="17" customWidth="1"/>
    <col min="12" max="12" width="17.5" bestFit="1" customWidth="1"/>
  </cols>
  <sheetData>
    <row r="1" spans="1:12" ht="15">
      <c r="A1" s="1" t="s">
        <v>297</v>
      </c>
      <c r="B1" s="1" t="s">
        <v>2</v>
      </c>
      <c r="C1" s="2" t="s">
        <v>575</v>
      </c>
      <c r="D1" s="2" t="s">
        <v>653</v>
      </c>
      <c r="E1" s="1" t="s">
        <v>683</v>
      </c>
    </row>
    <row r="2" spans="1:12" ht="14" thickBot="1">
      <c r="A2" s="4" t="s">
        <v>348</v>
      </c>
      <c r="B2" s="4" t="s">
        <v>9</v>
      </c>
      <c r="C2" s="5">
        <v>8501.3024999999998</v>
      </c>
      <c r="D2" t="str">
        <f>IF(C2&lt;10000,"Silver",(IF(C2&lt;100000,"Gold","Platinum")))</f>
        <v>Silver</v>
      </c>
      <c r="E2">
        <f>IF(C2&lt;10000,6000,(IF(C2&lt;100000,50000,200000)))</f>
        <v>6000</v>
      </c>
    </row>
    <row r="3" spans="1:12">
      <c r="A3" s="4" t="s">
        <v>384</v>
      </c>
      <c r="B3" s="4" t="s">
        <v>18</v>
      </c>
      <c r="C3" s="5">
        <v>135016.5</v>
      </c>
      <c r="D3" t="str">
        <f t="shared" ref="D3:D66" si="0">IF(C3&lt;10000,"Silver",(IF(C3&lt;100000,"Gold","Platinum")))</f>
        <v>Platinum</v>
      </c>
      <c r="E3">
        <f t="shared" ref="E3:E66" si="1">IF(C3&lt;10000,6000,(IF(C3&lt;100000,50000,200000)))</f>
        <v>200000</v>
      </c>
      <c r="F3" s="37" t="s">
        <v>690</v>
      </c>
      <c r="G3" s="161" t="s">
        <v>653</v>
      </c>
      <c r="H3" s="162" t="s">
        <v>9</v>
      </c>
      <c r="I3" s="162" t="s">
        <v>18</v>
      </c>
      <c r="J3" s="162" t="s">
        <v>595</v>
      </c>
      <c r="K3" s="162"/>
      <c r="L3" s="163" t="s">
        <v>686</v>
      </c>
    </row>
    <row r="4" spans="1:12">
      <c r="A4" s="4" t="s">
        <v>386</v>
      </c>
      <c r="B4" s="4" t="s">
        <v>9</v>
      </c>
      <c r="C4" s="5">
        <v>136713.75</v>
      </c>
      <c r="D4" t="str">
        <f t="shared" si="0"/>
        <v>Platinum</v>
      </c>
      <c r="E4">
        <f t="shared" si="1"/>
        <v>200000</v>
      </c>
      <c r="G4" s="157" t="s">
        <v>706</v>
      </c>
      <c r="H4" s="156">
        <v>9</v>
      </c>
      <c r="I4" s="156">
        <v>11</v>
      </c>
      <c r="J4" s="156">
        <v>20</v>
      </c>
      <c r="K4" s="165" t="s">
        <v>687</v>
      </c>
      <c r="L4" s="166">
        <f>J4/$J$7</f>
        <v>0.19230769230769232</v>
      </c>
    </row>
    <row r="5" spans="1:12">
      <c r="A5" s="4" t="s">
        <v>394</v>
      </c>
      <c r="B5" s="4" t="s">
        <v>18</v>
      </c>
      <c r="C5" s="5">
        <v>105035.43</v>
      </c>
      <c r="D5" t="str">
        <f t="shared" si="0"/>
        <v>Platinum</v>
      </c>
      <c r="E5">
        <f t="shared" si="1"/>
        <v>200000</v>
      </c>
      <c r="G5" s="157" t="s">
        <v>707</v>
      </c>
      <c r="H5" s="42">
        <v>21</v>
      </c>
      <c r="I5" s="42">
        <v>36</v>
      </c>
      <c r="J5" s="42">
        <v>57</v>
      </c>
      <c r="K5" s="165" t="s">
        <v>688</v>
      </c>
      <c r="L5" s="166">
        <f>J5/$J$7</f>
        <v>0.54807692307692313</v>
      </c>
    </row>
    <row r="6" spans="1:12">
      <c r="A6" s="4" t="s">
        <v>391</v>
      </c>
      <c r="B6" s="4" t="s">
        <v>18</v>
      </c>
      <c r="C6" s="5">
        <v>701249.22750000004</v>
      </c>
      <c r="D6" t="str">
        <f t="shared" si="0"/>
        <v>Platinum</v>
      </c>
      <c r="E6">
        <f t="shared" si="1"/>
        <v>200000</v>
      </c>
      <c r="G6" s="157" t="s">
        <v>685</v>
      </c>
      <c r="H6" s="42">
        <v>10</v>
      </c>
      <c r="I6" s="42">
        <v>17</v>
      </c>
      <c r="J6" s="42">
        <v>27</v>
      </c>
      <c r="K6" s="165" t="s">
        <v>689</v>
      </c>
      <c r="L6" s="166">
        <f>J6/$J$7</f>
        <v>0.25961538461538464</v>
      </c>
    </row>
    <row r="7" spans="1:12" ht="14" thickBot="1">
      <c r="A7" s="4" t="s">
        <v>388</v>
      </c>
      <c r="B7" s="4" t="s">
        <v>9</v>
      </c>
      <c r="C7" s="5">
        <v>115557.6225</v>
      </c>
      <c r="D7" t="str">
        <f t="shared" si="0"/>
        <v>Platinum</v>
      </c>
      <c r="E7">
        <f t="shared" si="1"/>
        <v>200000</v>
      </c>
      <c r="G7" s="158" t="s">
        <v>595</v>
      </c>
      <c r="H7" s="159">
        <v>40</v>
      </c>
      <c r="I7" s="159">
        <v>64</v>
      </c>
      <c r="J7" s="159">
        <v>104</v>
      </c>
      <c r="K7" s="164"/>
      <c r="L7" s="160">
        <f>J7/$J$7</f>
        <v>1</v>
      </c>
    </row>
    <row r="8" spans="1:12" ht="14" thickBot="1">
      <c r="A8" s="4" t="s">
        <v>396</v>
      </c>
      <c r="B8" s="4" t="s">
        <v>18</v>
      </c>
      <c r="C8" s="5">
        <v>82963.237499999988</v>
      </c>
      <c r="D8" t="str">
        <f t="shared" si="0"/>
        <v>Gold</v>
      </c>
      <c r="E8">
        <f t="shared" si="1"/>
        <v>50000</v>
      </c>
    </row>
    <row r="9" spans="1:12">
      <c r="A9" s="4" t="s">
        <v>301</v>
      </c>
      <c r="B9" s="4" t="s">
        <v>9</v>
      </c>
      <c r="C9" s="5">
        <v>9375</v>
      </c>
      <c r="D9" t="str">
        <f t="shared" si="0"/>
        <v>Silver</v>
      </c>
      <c r="E9">
        <f t="shared" si="1"/>
        <v>6000</v>
      </c>
      <c r="F9" s="37" t="s">
        <v>691</v>
      </c>
      <c r="G9" s="174" t="s">
        <v>699</v>
      </c>
      <c r="H9" s="208" t="s">
        <v>696</v>
      </c>
      <c r="I9" s="208"/>
      <c r="J9" s="208"/>
      <c r="K9" s="169">
        <f>L4</f>
        <v>0.19230769230769232</v>
      </c>
    </row>
    <row r="10" spans="1:12">
      <c r="A10" s="4" t="s">
        <v>373</v>
      </c>
      <c r="B10" s="4" t="s">
        <v>9</v>
      </c>
      <c r="C10" s="5">
        <v>45882.75</v>
      </c>
      <c r="D10" t="str">
        <f t="shared" si="0"/>
        <v>Gold</v>
      </c>
      <c r="E10">
        <f t="shared" si="1"/>
        <v>50000</v>
      </c>
      <c r="G10" s="175" t="s">
        <v>700</v>
      </c>
      <c r="H10" s="208" t="s">
        <v>697</v>
      </c>
      <c r="I10" s="208"/>
      <c r="J10" s="208"/>
      <c r="K10" s="170">
        <f>L4+L5</f>
        <v>0.74038461538461542</v>
      </c>
    </row>
    <row r="11" spans="1:12" ht="14" thickBot="1">
      <c r="A11" s="4" t="s">
        <v>393</v>
      </c>
      <c r="B11" s="4" t="s">
        <v>18</v>
      </c>
      <c r="C11" s="5">
        <v>11045.782499999999</v>
      </c>
      <c r="D11" t="str">
        <f t="shared" si="0"/>
        <v>Gold</v>
      </c>
      <c r="E11">
        <f t="shared" si="1"/>
        <v>50000</v>
      </c>
      <c r="G11" s="176" t="s">
        <v>701</v>
      </c>
      <c r="H11" s="208" t="s">
        <v>698</v>
      </c>
      <c r="I11" s="208"/>
      <c r="J11" s="208"/>
      <c r="K11" s="171">
        <f>L4+L6+L5</f>
        <v>1</v>
      </c>
    </row>
    <row r="12" spans="1:12">
      <c r="A12" s="4" t="s">
        <v>371</v>
      </c>
      <c r="B12" s="4" t="s">
        <v>18</v>
      </c>
      <c r="C12" s="5">
        <v>151695.45000000001</v>
      </c>
      <c r="D12" t="str">
        <f t="shared" si="0"/>
        <v>Platinum</v>
      </c>
      <c r="E12">
        <f t="shared" si="1"/>
        <v>200000</v>
      </c>
    </row>
    <row r="13" spans="1:12" ht="13" customHeight="1">
      <c r="A13" s="4" t="s">
        <v>309</v>
      </c>
      <c r="B13" s="4" t="s">
        <v>18</v>
      </c>
      <c r="C13" s="5">
        <v>90000</v>
      </c>
      <c r="D13" t="str">
        <f t="shared" si="0"/>
        <v>Gold</v>
      </c>
      <c r="E13">
        <f t="shared" si="1"/>
        <v>50000</v>
      </c>
      <c r="F13" s="37" t="s">
        <v>692</v>
      </c>
      <c r="G13" s="209" t="s">
        <v>693</v>
      </c>
      <c r="H13" s="209"/>
      <c r="I13" s="209"/>
      <c r="J13" s="209"/>
      <c r="K13" s="209"/>
      <c r="L13" s="209"/>
    </row>
    <row r="14" spans="1:12">
      <c r="A14" s="4" t="s">
        <v>392</v>
      </c>
      <c r="B14" s="4" t="s">
        <v>18</v>
      </c>
      <c r="C14" s="5">
        <v>85163.557499999995</v>
      </c>
      <c r="D14" t="str">
        <f t="shared" si="0"/>
        <v>Gold</v>
      </c>
      <c r="E14">
        <f t="shared" si="1"/>
        <v>50000</v>
      </c>
      <c r="G14" s="209"/>
      <c r="H14" s="209"/>
      <c r="I14" s="209"/>
      <c r="J14" s="209"/>
      <c r="K14" s="209"/>
      <c r="L14" s="209"/>
    </row>
    <row r="15" spans="1:12" ht="14" thickBot="1">
      <c r="A15" s="4" t="s">
        <v>387</v>
      </c>
      <c r="B15" s="4" t="s">
        <v>9</v>
      </c>
      <c r="C15" s="5">
        <v>130559.32500000001</v>
      </c>
      <c r="D15" t="str">
        <f t="shared" si="0"/>
        <v>Platinum</v>
      </c>
      <c r="E15">
        <f t="shared" si="1"/>
        <v>200000</v>
      </c>
      <c r="G15" s="172"/>
      <c r="H15" s="172"/>
      <c r="I15" s="172"/>
      <c r="J15" s="172"/>
      <c r="K15" s="172"/>
      <c r="L15" s="172"/>
    </row>
    <row r="16" spans="1:12" ht="14" thickBot="1">
      <c r="A16" s="4" t="s">
        <v>349</v>
      </c>
      <c r="B16" s="4" t="s">
        <v>9</v>
      </c>
      <c r="C16" s="5">
        <v>135016.5</v>
      </c>
      <c r="D16" t="str">
        <f t="shared" si="0"/>
        <v>Platinum</v>
      </c>
      <c r="E16">
        <f t="shared" si="1"/>
        <v>200000</v>
      </c>
      <c r="G16" s="173" t="s">
        <v>694</v>
      </c>
    </row>
    <row r="17" spans="1:5">
      <c r="A17" s="4" t="s">
        <v>374</v>
      </c>
      <c r="B17" s="4" t="s">
        <v>9</v>
      </c>
      <c r="C17" s="5">
        <v>19292.13</v>
      </c>
      <c r="D17" t="str">
        <f t="shared" si="0"/>
        <v>Gold</v>
      </c>
      <c r="E17">
        <f t="shared" si="1"/>
        <v>50000</v>
      </c>
    </row>
    <row r="18" spans="1:5">
      <c r="A18" s="4" t="s">
        <v>304</v>
      </c>
      <c r="B18" s="4" t="s">
        <v>9</v>
      </c>
      <c r="C18" s="5">
        <v>75516.299999999988</v>
      </c>
      <c r="D18" t="str">
        <f t="shared" si="0"/>
        <v>Gold</v>
      </c>
      <c r="E18">
        <f t="shared" si="1"/>
        <v>50000</v>
      </c>
    </row>
    <row r="19" spans="1:5">
      <c r="A19" s="4" t="s">
        <v>333</v>
      </c>
      <c r="B19" s="4" t="s">
        <v>18</v>
      </c>
      <c r="C19" s="5">
        <v>7500</v>
      </c>
      <c r="D19" t="str">
        <f t="shared" si="0"/>
        <v>Silver</v>
      </c>
      <c r="E19">
        <f t="shared" si="1"/>
        <v>6000</v>
      </c>
    </row>
    <row r="20" spans="1:5">
      <c r="A20" s="4" t="s">
        <v>330</v>
      </c>
      <c r="B20" s="4" t="s">
        <v>18</v>
      </c>
      <c r="C20" s="5">
        <v>150000</v>
      </c>
      <c r="D20" t="str">
        <f t="shared" si="0"/>
        <v>Platinum</v>
      </c>
      <c r="E20">
        <f t="shared" si="1"/>
        <v>200000</v>
      </c>
    </row>
    <row r="21" spans="1:5">
      <c r="A21" s="4" t="s">
        <v>332</v>
      </c>
      <c r="B21" s="4" t="s">
        <v>18</v>
      </c>
      <c r="C21" s="5">
        <v>26250</v>
      </c>
      <c r="D21" t="str">
        <f t="shared" si="0"/>
        <v>Gold</v>
      </c>
      <c r="E21">
        <f t="shared" si="1"/>
        <v>50000</v>
      </c>
    </row>
    <row r="22" spans="1:5">
      <c r="A22" s="4" t="s">
        <v>331</v>
      </c>
      <c r="B22" s="4" t="s">
        <v>18</v>
      </c>
      <c r="C22" s="5">
        <v>30000</v>
      </c>
      <c r="D22" t="str">
        <f t="shared" si="0"/>
        <v>Gold</v>
      </c>
      <c r="E22">
        <f t="shared" si="1"/>
        <v>50000</v>
      </c>
    </row>
    <row r="23" spans="1:5">
      <c r="A23" s="4" t="s">
        <v>342</v>
      </c>
      <c r="B23" s="4" t="s">
        <v>18</v>
      </c>
      <c r="C23" s="5">
        <v>225033</v>
      </c>
      <c r="D23" t="str">
        <f t="shared" si="0"/>
        <v>Platinum</v>
      </c>
      <c r="E23">
        <f t="shared" si="1"/>
        <v>200000</v>
      </c>
    </row>
    <row r="24" spans="1:5">
      <c r="A24" s="4" t="s">
        <v>321</v>
      </c>
      <c r="B24" s="4" t="s">
        <v>9</v>
      </c>
      <c r="C24" s="5">
        <v>7500</v>
      </c>
      <c r="D24" t="str">
        <f t="shared" si="0"/>
        <v>Silver</v>
      </c>
      <c r="E24">
        <f t="shared" si="1"/>
        <v>6000</v>
      </c>
    </row>
    <row r="25" spans="1:5">
      <c r="A25" s="4" t="s">
        <v>341</v>
      </c>
      <c r="B25" s="4" t="s">
        <v>18</v>
      </c>
      <c r="C25" s="5">
        <v>433.125</v>
      </c>
      <c r="D25" t="str">
        <f t="shared" si="0"/>
        <v>Silver</v>
      </c>
      <c r="E25">
        <f t="shared" si="1"/>
        <v>6000</v>
      </c>
    </row>
    <row r="26" spans="1:5">
      <c r="A26" s="4" t="s">
        <v>337</v>
      </c>
      <c r="B26" s="4" t="s">
        <v>18</v>
      </c>
      <c r="C26" s="5">
        <v>658.125</v>
      </c>
      <c r="D26" t="str">
        <f t="shared" si="0"/>
        <v>Silver</v>
      </c>
      <c r="E26">
        <f t="shared" si="1"/>
        <v>6000</v>
      </c>
    </row>
    <row r="27" spans="1:5">
      <c r="A27" s="4" t="s">
        <v>353</v>
      </c>
      <c r="B27" s="4" t="s">
        <v>18</v>
      </c>
      <c r="C27" s="5">
        <v>112083.39749999999</v>
      </c>
      <c r="D27" t="str">
        <f t="shared" si="0"/>
        <v>Platinum</v>
      </c>
      <c r="E27">
        <f t="shared" si="1"/>
        <v>200000</v>
      </c>
    </row>
    <row r="28" spans="1:5">
      <c r="A28" s="4" t="s">
        <v>395</v>
      </c>
      <c r="B28" s="4" t="s">
        <v>18</v>
      </c>
      <c r="C28" s="5">
        <v>270290.28749999998</v>
      </c>
      <c r="D28" t="str">
        <f t="shared" si="0"/>
        <v>Platinum</v>
      </c>
      <c r="E28">
        <f t="shared" si="1"/>
        <v>200000</v>
      </c>
    </row>
    <row r="29" spans="1:5">
      <c r="A29" s="4" t="s">
        <v>323</v>
      </c>
      <c r="B29" s="4" t="s">
        <v>18</v>
      </c>
      <c r="C29" s="5">
        <v>252000</v>
      </c>
      <c r="D29" t="str">
        <f t="shared" si="0"/>
        <v>Platinum</v>
      </c>
      <c r="E29">
        <f t="shared" si="1"/>
        <v>200000</v>
      </c>
    </row>
    <row r="30" spans="1:5">
      <c r="A30" s="4" t="s">
        <v>318</v>
      </c>
      <c r="B30" s="4" t="s">
        <v>18</v>
      </c>
      <c r="C30" s="5">
        <v>6000</v>
      </c>
      <c r="D30" t="str">
        <f t="shared" si="0"/>
        <v>Silver</v>
      </c>
      <c r="E30">
        <f t="shared" si="1"/>
        <v>6000</v>
      </c>
    </row>
    <row r="31" spans="1:5">
      <c r="A31" s="4" t="s">
        <v>340</v>
      </c>
      <c r="B31" s="4" t="s">
        <v>18</v>
      </c>
      <c r="C31" s="5">
        <v>1381.875</v>
      </c>
      <c r="D31" t="str">
        <f t="shared" si="0"/>
        <v>Silver</v>
      </c>
      <c r="E31">
        <f t="shared" si="1"/>
        <v>6000</v>
      </c>
    </row>
    <row r="32" spans="1:5">
      <c r="A32" s="4" t="s">
        <v>310</v>
      </c>
      <c r="B32" s="4" t="s">
        <v>9</v>
      </c>
      <c r="C32" s="5">
        <v>9750</v>
      </c>
      <c r="D32" t="str">
        <f t="shared" si="0"/>
        <v>Silver</v>
      </c>
      <c r="E32">
        <f t="shared" si="1"/>
        <v>6000</v>
      </c>
    </row>
    <row r="33" spans="1:7">
      <c r="A33" s="4" t="s">
        <v>299</v>
      </c>
      <c r="B33" s="4" t="s">
        <v>18</v>
      </c>
      <c r="C33" s="5">
        <v>9375</v>
      </c>
      <c r="D33" t="str">
        <f t="shared" si="0"/>
        <v>Silver</v>
      </c>
      <c r="E33">
        <f t="shared" si="1"/>
        <v>6000</v>
      </c>
    </row>
    <row r="34" spans="1:7">
      <c r="A34" s="4" t="s">
        <v>339</v>
      </c>
      <c r="B34" s="4" t="s">
        <v>9</v>
      </c>
      <c r="C34" s="5">
        <v>21965.872500000001</v>
      </c>
      <c r="D34" t="str">
        <f t="shared" si="0"/>
        <v>Gold</v>
      </c>
      <c r="E34">
        <f t="shared" si="1"/>
        <v>50000</v>
      </c>
    </row>
    <row r="35" spans="1:7" ht="14" thickBot="1">
      <c r="A35" s="4" t="s">
        <v>339</v>
      </c>
      <c r="B35" s="4" t="s">
        <v>18</v>
      </c>
      <c r="C35" s="5">
        <v>506.25</v>
      </c>
      <c r="D35" t="str">
        <f t="shared" si="0"/>
        <v>Silver</v>
      </c>
      <c r="E35">
        <f t="shared" si="1"/>
        <v>6000</v>
      </c>
    </row>
    <row r="36" spans="1:7" ht="14" thickBot="1">
      <c r="A36" s="4" t="s">
        <v>316</v>
      </c>
      <c r="B36" s="4" t="s">
        <v>9</v>
      </c>
      <c r="C36" s="5">
        <v>60725.497499999998</v>
      </c>
      <c r="D36" t="str">
        <f t="shared" si="0"/>
        <v>Gold</v>
      </c>
      <c r="E36">
        <f t="shared" si="1"/>
        <v>50000</v>
      </c>
      <c r="G36" s="173" t="s">
        <v>695</v>
      </c>
    </row>
    <row r="37" spans="1:7">
      <c r="A37" s="4" t="s">
        <v>314</v>
      </c>
      <c r="B37" s="4" t="s">
        <v>18</v>
      </c>
      <c r="C37" s="5">
        <v>33750</v>
      </c>
      <c r="D37" t="str">
        <f t="shared" si="0"/>
        <v>Gold</v>
      </c>
      <c r="E37">
        <f t="shared" si="1"/>
        <v>50000</v>
      </c>
    </row>
    <row r="38" spans="1:7">
      <c r="A38" s="4" t="s">
        <v>308</v>
      </c>
      <c r="B38" s="4" t="s">
        <v>18</v>
      </c>
      <c r="C38" s="5">
        <v>90028.132499999992</v>
      </c>
      <c r="D38" t="str">
        <f t="shared" si="0"/>
        <v>Gold</v>
      </c>
      <c r="E38">
        <f t="shared" si="1"/>
        <v>50000</v>
      </c>
    </row>
    <row r="39" spans="1:7">
      <c r="A39" s="4" t="s">
        <v>325</v>
      </c>
      <c r="B39" s="4" t="s">
        <v>18</v>
      </c>
      <c r="C39" s="5">
        <v>75000</v>
      </c>
      <c r="D39" t="str">
        <f t="shared" si="0"/>
        <v>Gold</v>
      </c>
      <c r="E39">
        <f t="shared" si="1"/>
        <v>50000</v>
      </c>
    </row>
    <row r="40" spans="1:7">
      <c r="A40" s="4" t="s">
        <v>380</v>
      </c>
      <c r="B40" s="4" t="s">
        <v>9</v>
      </c>
      <c r="C40" s="5">
        <v>91995.854999999996</v>
      </c>
      <c r="D40" t="str">
        <f t="shared" si="0"/>
        <v>Gold</v>
      </c>
      <c r="E40">
        <f t="shared" si="1"/>
        <v>50000</v>
      </c>
    </row>
    <row r="41" spans="1:7">
      <c r="A41" s="4" t="s">
        <v>329</v>
      </c>
      <c r="B41" s="4" t="s">
        <v>18</v>
      </c>
      <c r="C41" s="5">
        <v>71250</v>
      </c>
      <c r="D41" t="str">
        <f t="shared" si="0"/>
        <v>Gold</v>
      </c>
      <c r="E41">
        <f t="shared" si="1"/>
        <v>50000</v>
      </c>
    </row>
    <row r="42" spans="1:7">
      <c r="A42" s="4" t="s">
        <v>365</v>
      </c>
      <c r="B42" s="4" t="s">
        <v>18</v>
      </c>
      <c r="C42" s="5">
        <v>25749.375</v>
      </c>
      <c r="D42" t="str">
        <f t="shared" si="0"/>
        <v>Gold</v>
      </c>
      <c r="E42">
        <f t="shared" si="1"/>
        <v>50000</v>
      </c>
    </row>
    <row r="43" spans="1:7">
      <c r="A43" s="4" t="s">
        <v>355</v>
      </c>
      <c r="B43" s="4" t="s">
        <v>18</v>
      </c>
      <c r="C43" s="5">
        <v>630000.29249999998</v>
      </c>
      <c r="D43" t="str">
        <f t="shared" si="0"/>
        <v>Platinum</v>
      </c>
      <c r="E43">
        <f t="shared" si="1"/>
        <v>200000</v>
      </c>
    </row>
    <row r="44" spans="1:7">
      <c r="A44" s="4" t="s">
        <v>315</v>
      </c>
      <c r="B44" s="4" t="s">
        <v>9</v>
      </c>
      <c r="C44" s="5">
        <v>37338.832500000004</v>
      </c>
      <c r="D44" t="str">
        <f t="shared" si="0"/>
        <v>Gold</v>
      </c>
      <c r="E44">
        <f t="shared" si="1"/>
        <v>50000</v>
      </c>
    </row>
    <row r="45" spans="1:7">
      <c r="A45" s="4" t="s">
        <v>322</v>
      </c>
      <c r="B45" s="4" t="s">
        <v>18</v>
      </c>
      <c r="C45" s="5">
        <v>309750</v>
      </c>
      <c r="D45" t="str">
        <f t="shared" si="0"/>
        <v>Platinum</v>
      </c>
      <c r="E45">
        <f t="shared" si="1"/>
        <v>200000</v>
      </c>
    </row>
    <row r="46" spans="1:7">
      <c r="A46" s="4" t="s">
        <v>367</v>
      </c>
      <c r="B46" s="4" t="s">
        <v>18</v>
      </c>
      <c r="C46" s="5">
        <v>113221.5</v>
      </c>
      <c r="D46" t="str">
        <f t="shared" si="0"/>
        <v>Platinum</v>
      </c>
      <c r="E46">
        <f t="shared" si="1"/>
        <v>200000</v>
      </c>
    </row>
    <row r="47" spans="1:7">
      <c r="A47" s="4" t="s">
        <v>338</v>
      </c>
      <c r="B47" s="4" t="s">
        <v>9</v>
      </c>
      <c r="C47" s="5">
        <v>73.5</v>
      </c>
      <c r="D47" t="str">
        <f t="shared" si="0"/>
        <v>Silver</v>
      </c>
      <c r="E47">
        <f t="shared" si="1"/>
        <v>6000</v>
      </c>
    </row>
    <row r="48" spans="1:7">
      <c r="A48" s="4" t="s">
        <v>390</v>
      </c>
      <c r="B48" s="4" t="s">
        <v>9</v>
      </c>
      <c r="C48" s="5">
        <v>11504.647500000001</v>
      </c>
      <c r="D48" t="str">
        <f t="shared" si="0"/>
        <v>Gold</v>
      </c>
      <c r="E48">
        <f t="shared" si="1"/>
        <v>50000</v>
      </c>
    </row>
    <row r="49" spans="1:8">
      <c r="A49" s="4" t="s">
        <v>390</v>
      </c>
      <c r="B49" s="4" t="s">
        <v>18</v>
      </c>
      <c r="C49" s="5">
        <v>83736.112499999988</v>
      </c>
      <c r="D49" t="str">
        <f t="shared" si="0"/>
        <v>Gold</v>
      </c>
      <c r="E49">
        <f t="shared" si="1"/>
        <v>50000</v>
      </c>
    </row>
    <row r="50" spans="1:8">
      <c r="A50" s="4" t="s">
        <v>359</v>
      </c>
      <c r="B50" s="4" t="s">
        <v>18</v>
      </c>
      <c r="C50" s="5">
        <v>35235.360000000001</v>
      </c>
      <c r="D50" t="str">
        <f t="shared" si="0"/>
        <v>Gold</v>
      </c>
      <c r="E50">
        <f t="shared" si="1"/>
        <v>50000</v>
      </c>
    </row>
    <row r="51" spans="1:8">
      <c r="A51" s="4" t="s">
        <v>324</v>
      </c>
      <c r="B51" s="4" t="s">
        <v>18</v>
      </c>
      <c r="C51" s="5">
        <v>93750.225000000006</v>
      </c>
      <c r="D51" t="str">
        <f t="shared" si="0"/>
        <v>Gold</v>
      </c>
      <c r="E51">
        <f t="shared" si="1"/>
        <v>50000</v>
      </c>
    </row>
    <row r="52" spans="1:8">
      <c r="A52" s="4" t="s">
        <v>358</v>
      </c>
      <c r="B52" s="4" t="s">
        <v>18</v>
      </c>
      <c r="C52" s="5">
        <v>153701.92499999999</v>
      </c>
      <c r="D52" t="str">
        <f t="shared" si="0"/>
        <v>Platinum</v>
      </c>
      <c r="E52">
        <f t="shared" si="1"/>
        <v>200000</v>
      </c>
    </row>
    <row r="53" spans="1:8">
      <c r="A53" s="4" t="s">
        <v>370</v>
      </c>
      <c r="B53" s="4" t="s">
        <v>18</v>
      </c>
      <c r="C53" s="5">
        <v>19896.675000000003</v>
      </c>
      <c r="D53" t="str">
        <f t="shared" si="0"/>
        <v>Gold</v>
      </c>
      <c r="E53">
        <f t="shared" si="1"/>
        <v>50000</v>
      </c>
    </row>
    <row r="54" spans="1:8">
      <c r="A54" s="4" t="s">
        <v>302</v>
      </c>
      <c r="B54" s="4" t="s">
        <v>9</v>
      </c>
      <c r="C54" s="5">
        <v>9375</v>
      </c>
      <c r="D54" t="str">
        <f t="shared" si="0"/>
        <v>Silver</v>
      </c>
      <c r="E54">
        <f t="shared" si="1"/>
        <v>6000</v>
      </c>
    </row>
    <row r="55" spans="1:8" ht="14" thickBot="1">
      <c r="A55" s="4" t="s">
        <v>364</v>
      </c>
      <c r="B55" s="4" t="s">
        <v>18</v>
      </c>
      <c r="C55" s="5">
        <v>32585.827499999999</v>
      </c>
      <c r="D55" t="str">
        <f t="shared" si="0"/>
        <v>Gold</v>
      </c>
      <c r="E55">
        <f t="shared" si="1"/>
        <v>50000</v>
      </c>
    </row>
    <row r="56" spans="1:8" ht="14" thickBot="1">
      <c r="A56" s="4" t="s">
        <v>362</v>
      </c>
      <c r="B56" s="4" t="s">
        <v>18</v>
      </c>
      <c r="C56" s="5">
        <v>10875</v>
      </c>
      <c r="D56" t="str">
        <f t="shared" si="0"/>
        <v>Gold</v>
      </c>
      <c r="E56">
        <f t="shared" si="1"/>
        <v>50000</v>
      </c>
      <c r="G56" s="173" t="s">
        <v>702</v>
      </c>
    </row>
    <row r="57" spans="1:8">
      <c r="A57" s="4" t="s">
        <v>369</v>
      </c>
      <c r="B57" s="4" t="s">
        <v>18</v>
      </c>
      <c r="C57" s="5">
        <v>131266.5</v>
      </c>
      <c r="D57" t="str">
        <f t="shared" si="0"/>
        <v>Platinum</v>
      </c>
      <c r="E57">
        <f t="shared" si="1"/>
        <v>200000</v>
      </c>
      <c r="G57" s="8" t="s">
        <v>628</v>
      </c>
    </row>
    <row r="58" spans="1:8">
      <c r="A58" s="4" t="s">
        <v>356</v>
      </c>
      <c r="B58" s="4" t="s">
        <v>18</v>
      </c>
      <c r="C58" s="5">
        <v>133381.38</v>
      </c>
      <c r="D58" t="str">
        <f t="shared" si="0"/>
        <v>Platinum</v>
      </c>
      <c r="E58">
        <f t="shared" si="1"/>
        <v>200000</v>
      </c>
      <c r="G58" s="6">
        <v>6000</v>
      </c>
    </row>
    <row r="59" spans="1:8">
      <c r="A59" s="4" t="s">
        <v>346</v>
      </c>
      <c r="B59" s="4" t="s">
        <v>9</v>
      </c>
      <c r="C59" s="5">
        <v>135016.5</v>
      </c>
      <c r="D59" t="str">
        <f t="shared" si="0"/>
        <v>Platinum</v>
      </c>
      <c r="E59">
        <f t="shared" si="1"/>
        <v>200000</v>
      </c>
      <c r="G59" s="6">
        <v>50000</v>
      </c>
    </row>
    <row r="60" spans="1:8">
      <c r="A60" s="4" t="s">
        <v>347</v>
      </c>
      <c r="B60" s="4" t="s">
        <v>9</v>
      </c>
      <c r="C60" s="5">
        <v>10875</v>
      </c>
      <c r="D60" t="str">
        <f t="shared" si="0"/>
        <v>Gold</v>
      </c>
      <c r="E60">
        <f t="shared" si="1"/>
        <v>50000</v>
      </c>
      <c r="G60" s="6">
        <v>200000</v>
      </c>
    </row>
    <row r="61" spans="1:8" ht="14" thickBot="1">
      <c r="A61" s="4" t="s">
        <v>382</v>
      </c>
      <c r="B61" s="4" t="s">
        <v>18</v>
      </c>
      <c r="C61" s="5">
        <v>97361.25</v>
      </c>
      <c r="D61" t="str">
        <f t="shared" si="0"/>
        <v>Gold</v>
      </c>
      <c r="E61">
        <f t="shared" si="1"/>
        <v>50000</v>
      </c>
    </row>
    <row r="62" spans="1:8">
      <c r="A62" s="4" t="s">
        <v>363</v>
      </c>
      <c r="B62" s="4" t="s">
        <v>18</v>
      </c>
      <c r="C62" s="5">
        <v>9562.5</v>
      </c>
      <c r="D62" t="str">
        <f t="shared" si="0"/>
        <v>Silver</v>
      </c>
      <c r="E62">
        <f t="shared" si="1"/>
        <v>6000</v>
      </c>
      <c r="G62" s="180" t="s">
        <v>628</v>
      </c>
      <c r="H62" s="180" t="s">
        <v>703</v>
      </c>
    </row>
    <row r="63" spans="1:8">
      <c r="A63" s="4" t="s">
        <v>368</v>
      </c>
      <c r="B63" s="4" t="s">
        <v>18</v>
      </c>
      <c r="C63" s="5">
        <v>19792.695</v>
      </c>
      <c r="D63" t="str">
        <f t="shared" si="0"/>
        <v>Gold</v>
      </c>
      <c r="E63">
        <f t="shared" si="1"/>
        <v>50000</v>
      </c>
      <c r="G63" s="177">
        <v>6000</v>
      </c>
      <c r="H63" s="178">
        <v>20</v>
      </c>
    </row>
    <row r="64" spans="1:8">
      <c r="A64" s="4" t="s">
        <v>360</v>
      </c>
      <c r="B64" s="4" t="s">
        <v>18</v>
      </c>
      <c r="C64" s="5">
        <v>73646.684999999998</v>
      </c>
      <c r="D64" t="str">
        <f t="shared" si="0"/>
        <v>Gold</v>
      </c>
      <c r="E64">
        <f t="shared" si="1"/>
        <v>50000</v>
      </c>
      <c r="G64" s="177">
        <v>50000</v>
      </c>
      <c r="H64" s="178">
        <v>57</v>
      </c>
    </row>
    <row r="65" spans="1:8">
      <c r="A65" s="4" t="s">
        <v>357</v>
      </c>
      <c r="B65" s="4" t="s">
        <v>18</v>
      </c>
      <c r="C65" s="5">
        <v>17132.2425</v>
      </c>
      <c r="D65" t="str">
        <f t="shared" si="0"/>
        <v>Gold</v>
      </c>
      <c r="E65">
        <f t="shared" si="1"/>
        <v>50000</v>
      </c>
      <c r="G65" s="177">
        <v>200000</v>
      </c>
      <c r="H65" s="178">
        <v>27</v>
      </c>
    </row>
    <row r="66" spans="1:8">
      <c r="A66" s="4" t="s">
        <v>383</v>
      </c>
      <c r="B66" s="4" t="s">
        <v>18</v>
      </c>
      <c r="C66" s="5">
        <v>142500</v>
      </c>
      <c r="D66" t="str">
        <f t="shared" si="0"/>
        <v>Platinum</v>
      </c>
      <c r="E66">
        <f t="shared" si="1"/>
        <v>200000</v>
      </c>
    </row>
    <row r="67" spans="1:8">
      <c r="A67" s="4" t="s">
        <v>320</v>
      </c>
      <c r="B67" s="4" t="s">
        <v>9</v>
      </c>
      <c r="C67" s="5">
        <v>159750</v>
      </c>
      <c r="D67" t="str">
        <f t="shared" ref="D67:D105" si="2">IF(C67&lt;10000,"Silver",(IF(C67&lt;100000,"Gold","Platinum")))</f>
        <v>Platinum</v>
      </c>
      <c r="E67">
        <f t="shared" ref="E67:E105" si="3">IF(C67&lt;10000,6000,(IF(C67&lt;100000,50000,200000)))</f>
        <v>200000</v>
      </c>
    </row>
    <row r="68" spans="1:8">
      <c r="A68" s="4" t="s">
        <v>303</v>
      </c>
      <c r="B68" s="4" t="s">
        <v>9</v>
      </c>
      <c r="C68" s="5">
        <v>15562.5</v>
      </c>
      <c r="D68" t="str">
        <f t="shared" si="2"/>
        <v>Gold</v>
      </c>
      <c r="E68">
        <f t="shared" si="3"/>
        <v>50000</v>
      </c>
    </row>
    <row r="69" spans="1:8">
      <c r="A69" s="4" t="s">
        <v>352</v>
      </c>
      <c r="B69" s="4" t="s">
        <v>9</v>
      </c>
      <c r="C69" s="5">
        <v>77623.049999999988</v>
      </c>
      <c r="D69" t="str">
        <f t="shared" si="2"/>
        <v>Gold</v>
      </c>
      <c r="E69">
        <f t="shared" si="3"/>
        <v>50000</v>
      </c>
    </row>
    <row r="70" spans="1:8">
      <c r="A70" s="4" t="s">
        <v>352</v>
      </c>
      <c r="B70" s="4" t="s">
        <v>18</v>
      </c>
      <c r="C70" s="5">
        <v>6322.3575000000001</v>
      </c>
      <c r="D70" t="str">
        <f t="shared" si="2"/>
        <v>Silver</v>
      </c>
      <c r="E70">
        <f t="shared" si="3"/>
        <v>6000</v>
      </c>
    </row>
    <row r="71" spans="1:8">
      <c r="A71" s="4" t="s">
        <v>350</v>
      </c>
      <c r="B71" s="4" t="s">
        <v>9</v>
      </c>
      <c r="C71" s="5">
        <v>135016.5</v>
      </c>
      <c r="D71" t="str">
        <f t="shared" si="2"/>
        <v>Platinum</v>
      </c>
      <c r="E71">
        <f t="shared" si="3"/>
        <v>200000</v>
      </c>
    </row>
    <row r="72" spans="1:8">
      <c r="A72" s="4" t="s">
        <v>366</v>
      </c>
      <c r="B72" s="4" t="s">
        <v>18</v>
      </c>
      <c r="C72" s="5">
        <v>41813.962499999994</v>
      </c>
      <c r="D72" t="str">
        <f t="shared" si="2"/>
        <v>Gold</v>
      </c>
      <c r="E72">
        <f t="shared" si="3"/>
        <v>50000</v>
      </c>
    </row>
    <row r="73" spans="1:8">
      <c r="A73" s="4" t="s">
        <v>375</v>
      </c>
      <c r="B73" s="4" t="s">
        <v>9</v>
      </c>
      <c r="C73" s="5">
        <v>63012</v>
      </c>
      <c r="D73" t="str">
        <f t="shared" si="2"/>
        <v>Gold</v>
      </c>
      <c r="E73">
        <f t="shared" si="3"/>
        <v>50000</v>
      </c>
    </row>
    <row r="74" spans="1:8">
      <c r="A74" s="4" t="s">
        <v>375</v>
      </c>
      <c r="B74" s="4" t="s">
        <v>18</v>
      </c>
      <c r="C74" s="5">
        <v>46233.75</v>
      </c>
      <c r="D74" t="str">
        <f t="shared" si="2"/>
        <v>Gold</v>
      </c>
      <c r="E74">
        <f t="shared" si="3"/>
        <v>50000</v>
      </c>
    </row>
    <row r="75" spans="1:8">
      <c r="A75" s="4" t="s">
        <v>343</v>
      </c>
      <c r="B75" s="4" t="s">
        <v>18</v>
      </c>
      <c r="C75" s="5">
        <v>12996</v>
      </c>
      <c r="D75" t="str">
        <f t="shared" si="2"/>
        <v>Gold</v>
      </c>
      <c r="E75">
        <f t="shared" si="3"/>
        <v>50000</v>
      </c>
    </row>
    <row r="76" spans="1:8">
      <c r="A76" s="4" t="s">
        <v>379</v>
      </c>
      <c r="B76" s="4" t="s">
        <v>9</v>
      </c>
      <c r="C76" s="5">
        <v>73413.705000000002</v>
      </c>
      <c r="D76" t="str">
        <f t="shared" si="2"/>
        <v>Gold</v>
      </c>
      <c r="E76">
        <f t="shared" si="3"/>
        <v>50000</v>
      </c>
    </row>
    <row r="77" spans="1:8">
      <c r="A77" s="4" t="s">
        <v>306</v>
      </c>
      <c r="B77" s="4" t="s">
        <v>18</v>
      </c>
      <c r="C77" s="5">
        <v>24456.27</v>
      </c>
      <c r="D77" t="str">
        <f t="shared" si="2"/>
        <v>Gold</v>
      </c>
      <c r="E77">
        <f t="shared" si="3"/>
        <v>50000</v>
      </c>
    </row>
    <row r="78" spans="1:8">
      <c r="A78" s="4" t="s">
        <v>313</v>
      </c>
      <c r="B78" s="4" t="s">
        <v>9</v>
      </c>
      <c r="C78" s="5">
        <v>30000</v>
      </c>
      <c r="D78" t="str">
        <f t="shared" si="2"/>
        <v>Gold</v>
      </c>
      <c r="E78">
        <f t="shared" si="3"/>
        <v>50000</v>
      </c>
    </row>
    <row r="79" spans="1:8">
      <c r="A79" s="4" t="s">
        <v>378</v>
      </c>
      <c r="B79" s="4" t="s">
        <v>9</v>
      </c>
      <c r="C79" s="5">
        <v>97500</v>
      </c>
      <c r="D79" t="str">
        <f t="shared" si="2"/>
        <v>Gold</v>
      </c>
      <c r="E79">
        <f t="shared" si="3"/>
        <v>50000</v>
      </c>
    </row>
    <row r="80" spans="1:8">
      <c r="A80" s="4" t="s">
        <v>317</v>
      </c>
      <c r="B80" s="4" t="s">
        <v>18</v>
      </c>
      <c r="C80" s="5">
        <v>46500</v>
      </c>
      <c r="D80" t="str">
        <f t="shared" si="2"/>
        <v>Gold</v>
      </c>
      <c r="E80">
        <f t="shared" si="3"/>
        <v>50000</v>
      </c>
    </row>
    <row r="81" spans="1:5">
      <c r="A81" s="4" t="s">
        <v>377</v>
      </c>
      <c r="B81" s="4" t="s">
        <v>9</v>
      </c>
      <c r="C81" s="5">
        <v>57000</v>
      </c>
      <c r="D81" t="str">
        <f t="shared" si="2"/>
        <v>Gold</v>
      </c>
      <c r="E81">
        <f t="shared" si="3"/>
        <v>50000</v>
      </c>
    </row>
    <row r="82" spans="1:5">
      <c r="A82" s="4" t="s">
        <v>307</v>
      </c>
      <c r="B82" s="4" t="s">
        <v>18</v>
      </c>
      <c r="C82" s="5">
        <v>7502.61</v>
      </c>
      <c r="D82" t="str">
        <f t="shared" si="2"/>
        <v>Silver</v>
      </c>
      <c r="E82">
        <f t="shared" si="3"/>
        <v>6000</v>
      </c>
    </row>
    <row r="83" spans="1:5">
      <c r="A83" s="4" t="s">
        <v>298</v>
      </c>
      <c r="B83" s="4" t="s">
        <v>9</v>
      </c>
      <c r="C83" s="5">
        <v>9375</v>
      </c>
      <c r="D83" t="str">
        <f t="shared" si="2"/>
        <v>Silver</v>
      </c>
      <c r="E83">
        <f t="shared" si="3"/>
        <v>6000</v>
      </c>
    </row>
    <row r="84" spans="1:5">
      <c r="A84" s="4" t="s">
        <v>327</v>
      </c>
      <c r="B84" s="4" t="s">
        <v>18</v>
      </c>
      <c r="C84" s="5">
        <v>75000</v>
      </c>
      <c r="D84" t="str">
        <f t="shared" si="2"/>
        <v>Gold</v>
      </c>
      <c r="E84">
        <f t="shared" si="3"/>
        <v>50000</v>
      </c>
    </row>
    <row r="85" spans="1:5">
      <c r="A85" s="4" t="s">
        <v>326</v>
      </c>
      <c r="B85" s="4" t="s">
        <v>9</v>
      </c>
      <c r="C85" s="5">
        <v>41250</v>
      </c>
      <c r="D85" t="str">
        <f t="shared" si="2"/>
        <v>Gold</v>
      </c>
      <c r="E85">
        <f t="shared" si="3"/>
        <v>50000</v>
      </c>
    </row>
    <row r="86" spans="1:5">
      <c r="A86" s="4" t="s">
        <v>344</v>
      </c>
      <c r="B86" s="4" t="s">
        <v>9</v>
      </c>
      <c r="C86" s="5">
        <v>23576.864999999998</v>
      </c>
      <c r="D86" t="str">
        <f t="shared" si="2"/>
        <v>Gold</v>
      </c>
      <c r="E86">
        <f t="shared" si="3"/>
        <v>50000</v>
      </c>
    </row>
    <row r="87" spans="1:5">
      <c r="A87" s="4" t="s">
        <v>328</v>
      </c>
      <c r="B87" s="4" t="s">
        <v>9</v>
      </c>
      <c r="C87" s="5">
        <v>142499.77500000002</v>
      </c>
      <c r="D87" t="str">
        <f t="shared" si="2"/>
        <v>Platinum</v>
      </c>
      <c r="E87">
        <f t="shared" si="3"/>
        <v>200000</v>
      </c>
    </row>
    <row r="88" spans="1:5">
      <c r="A88" s="4" t="s">
        <v>376</v>
      </c>
      <c r="B88" s="4" t="s">
        <v>18</v>
      </c>
      <c r="C88" s="5">
        <v>101171.28749999999</v>
      </c>
      <c r="D88" t="str">
        <f t="shared" si="2"/>
        <v>Platinum</v>
      </c>
      <c r="E88">
        <f t="shared" si="3"/>
        <v>200000</v>
      </c>
    </row>
    <row r="89" spans="1:5">
      <c r="A89" s="4" t="s">
        <v>381</v>
      </c>
      <c r="B89" s="4" t="s">
        <v>18</v>
      </c>
      <c r="C89" s="5">
        <v>58380.959999999999</v>
      </c>
      <c r="D89" t="str">
        <f t="shared" si="2"/>
        <v>Gold</v>
      </c>
      <c r="E89">
        <f t="shared" si="3"/>
        <v>50000</v>
      </c>
    </row>
    <row r="90" spans="1:5">
      <c r="A90" s="4" t="s">
        <v>345</v>
      </c>
      <c r="B90" s="4" t="s">
        <v>9</v>
      </c>
      <c r="C90" s="5">
        <v>138364.875</v>
      </c>
      <c r="D90" t="str">
        <f t="shared" si="2"/>
        <v>Platinum</v>
      </c>
      <c r="E90">
        <f t="shared" si="3"/>
        <v>200000</v>
      </c>
    </row>
    <row r="91" spans="1:5">
      <c r="A91" s="4" t="s">
        <v>354</v>
      </c>
      <c r="B91" s="4" t="s">
        <v>18</v>
      </c>
      <c r="C91" s="5">
        <v>10875</v>
      </c>
      <c r="D91" t="str">
        <f t="shared" si="2"/>
        <v>Gold</v>
      </c>
      <c r="E91">
        <f t="shared" si="3"/>
        <v>50000</v>
      </c>
    </row>
    <row r="92" spans="1:5">
      <c r="A92" s="4" t="s">
        <v>335</v>
      </c>
      <c r="B92" s="4" t="s">
        <v>9</v>
      </c>
      <c r="C92" s="5">
        <v>9750</v>
      </c>
      <c r="D92" t="str">
        <f t="shared" si="2"/>
        <v>Silver</v>
      </c>
      <c r="E92">
        <f t="shared" si="3"/>
        <v>6000</v>
      </c>
    </row>
    <row r="93" spans="1:5">
      <c r="A93" s="4" t="s">
        <v>372</v>
      </c>
      <c r="B93" s="4" t="s">
        <v>18</v>
      </c>
      <c r="C93" s="5">
        <v>86884.5</v>
      </c>
      <c r="D93" t="str">
        <f t="shared" si="2"/>
        <v>Gold</v>
      </c>
      <c r="E93">
        <f t="shared" si="3"/>
        <v>50000</v>
      </c>
    </row>
    <row r="94" spans="1:5">
      <c r="A94" s="4" t="s">
        <v>389</v>
      </c>
      <c r="B94" s="4" t="s">
        <v>9</v>
      </c>
      <c r="C94" s="5">
        <v>55500</v>
      </c>
      <c r="D94" t="str">
        <f t="shared" si="2"/>
        <v>Gold</v>
      </c>
      <c r="E94">
        <f t="shared" si="3"/>
        <v>50000</v>
      </c>
    </row>
    <row r="95" spans="1:5">
      <c r="A95" s="4" t="s">
        <v>311</v>
      </c>
      <c r="B95" s="4" t="s">
        <v>18</v>
      </c>
      <c r="C95" s="5">
        <v>30000</v>
      </c>
      <c r="D95" t="str">
        <f t="shared" si="2"/>
        <v>Gold</v>
      </c>
      <c r="E95">
        <f t="shared" si="3"/>
        <v>50000</v>
      </c>
    </row>
    <row r="96" spans="1:5">
      <c r="A96" s="4" t="s">
        <v>312</v>
      </c>
      <c r="B96" s="4" t="s">
        <v>18</v>
      </c>
      <c r="C96" s="5">
        <v>62667.097500000003</v>
      </c>
      <c r="D96" t="str">
        <f t="shared" si="2"/>
        <v>Gold</v>
      </c>
      <c r="E96">
        <f t="shared" si="3"/>
        <v>50000</v>
      </c>
    </row>
    <row r="97" spans="1:5">
      <c r="A97" s="4" t="s">
        <v>361</v>
      </c>
      <c r="B97" s="4" t="s">
        <v>18</v>
      </c>
      <c r="C97" s="5">
        <v>22460.017499999998</v>
      </c>
      <c r="D97" t="str">
        <f t="shared" si="2"/>
        <v>Gold</v>
      </c>
      <c r="E97">
        <f t="shared" si="3"/>
        <v>50000</v>
      </c>
    </row>
    <row r="98" spans="1:5">
      <c r="A98" s="4" t="s">
        <v>334</v>
      </c>
      <c r="B98" s="4" t="s">
        <v>9</v>
      </c>
      <c r="C98" s="5">
        <v>135000</v>
      </c>
      <c r="D98" t="str">
        <f t="shared" si="2"/>
        <v>Platinum</v>
      </c>
      <c r="E98">
        <f t="shared" si="3"/>
        <v>200000</v>
      </c>
    </row>
    <row r="99" spans="1:5">
      <c r="A99" s="4" t="s">
        <v>305</v>
      </c>
      <c r="B99" s="4" t="s">
        <v>18</v>
      </c>
      <c r="C99" s="5">
        <v>375</v>
      </c>
      <c r="D99" t="str">
        <f t="shared" si="2"/>
        <v>Silver</v>
      </c>
      <c r="E99">
        <f t="shared" si="3"/>
        <v>6000</v>
      </c>
    </row>
    <row r="100" spans="1:5">
      <c r="A100" s="4" t="s">
        <v>300</v>
      </c>
      <c r="B100" s="4" t="s">
        <v>9</v>
      </c>
      <c r="C100" s="5">
        <v>9375</v>
      </c>
      <c r="D100" t="str">
        <f t="shared" si="2"/>
        <v>Silver</v>
      </c>
      <c r="E100">
        <f t="shared" si="3"/>
        <v>6000</v>
      </c>
    </row>
    <row r="101" spans="1:5">
      <c r="A101" s="4" t="s">
        <v>351</v>
      </c>
      <c r="B101" s="4" t="s">
        <v>9</v>
      </c>
      <c r="C101" s="5">
        <v>51702</v>
      </c>
      <c r="D101" t="str">
        <f t="shared" si="2"/>
        <v>Gold</v>
      </c>
      <c r="E101">
        <f t="shared" si="3"/>
        <v>50000</v>
      </c>
    </row>
    <row r="102" spans="1:5">
      <c r="A102" s="4" t="s">
        <v>351</v>
      </c>
      <c r="B102" s="4" t="s">
        <v>18</v>
      </c>
      <c r="C102" s="5">
        <v>30375</v>
      </c>
      <c r="D102" t="str">
        <f t="shared" si="2"/>
        <v>Gold</v>
      </c>
      <c r="E102">
        <f t="shared" si="3"/>
        <v>50000</v>
      </c>
    </row>
    <row r="103" spans="1:5">
      <c r="A103" s="4" t="s">
        <v>336</v>
      </c>
      <c r="B103" s="4" t="s">
        <v>9</v>
      </c>
      <c r="C103" s="5">
        <v>79278</v>
      </c>
      <c r="D103" t="str">
        <f t="shared" si="2"/>
        <v>Gold</v>
      </c>
      <c r="E103">
        <f t="shared" si="3"/>
        <v>50000</v>
      </c>
    </row>
    <row r="104" spans="1:5">
      <c r="A104" s="4" t="s">
        <v>319</v>
      </c>
      <c r="B104" s="4" t="s">
        <v>18</v>
      </c>
      <c r="C104" s="5">
        <v>11250</v>
      </c>
      <c r="D104" t="str">
        <f t="shared" si="2"/>
        <v>Gold</v>
      </c>
      <c r="E104">
        <f t="shared" si="3"/>
        <v>50000</v>
      </c>
    </row>
    <row r="105" spans="1:5">
      <c r="A105" s="4" t="s">
        <v>385</v>
      </c>
      <c r="B105" s="4" t="s">
        <v>18</v>
      </c>
      <c r="C105" s="5">
        <v>62625</v>
      </c>
      <c r="D105" t="str">
        <f t="shared" si="2"/>
        <v>Gold</v>
      </c>
      <c r="E105">
        <f t="shared" si="3"/>
        <v>50000</v>
      </c>
    </row>
  </sheetData>
  <sortState ref="G63:G65">
    <sortCondition ref="G63"/>
  </sortState>
  <mergeCells count="4">
    <mergeCell ref="H9:J9"/>
    <mergeCell ref="H10:J10"/>
    <mergeCell ref="H11:J11"/>
    <mergeCell ref="G13:L1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05"/>
  <sheetViews>
    <sheetView workbookViewId="0">
      <selection activeCell="F28" sqref="F28"/>
    </sheetView>
  </sheetViews>
  <sheetFormatPr baseColWidth="10" defaultRowHeight="13"/>
  <cols>
    <col min="2" max="2" width="21" customWidth="1"/>
    <col min="3" max="3" width="13.33203125" customWidth="1"/>
    <col min="4" max="4" width="13" customWidth="1"/>
  </cols>
  <sheetData>
    <row r="1" spans="1:7" ht="14" thickBot="1">
      <c r="A1" t="s">
        <v>683</v>
      </c>
    </row>
    <row r="2" spans="1:7">
      <c r="A2">
        <v>6000</v>
      </c>
      <c r="B2" s="162"/>
      <c r="C2" s="163" t="s">
        <v>686</v>
      </c>
    </row>
    <row r="3" spans="1:7">
      <c r="A3">
        <v>200000</v>
      </c>
      <c r="B3" s="165" t="s">
        <v>687</v>
      </c>
      <c r="C3" s="166">
        <v>0.19230769230769232</v>
      </c>
    </row>
    <row r="4" spans="1:7">
      <c r="A4">
        <v>200000</v>
      </c>
      <c r="B4" s="165" t="s">
        <v>688</v>
      </c>
      <c r="C4" s="166">
        <v>0.54807692307692313</v>
      </c>
    </row>
    <row r="5" spans="1:7">
      <c r="A5">
        <v>200000</v>
      </c>
      <c r="B5" s="165" t="s">
        <v>689</v>
      </c>
      <c r="C5" s="166">
        <v>0.25961538461538464</v>
      </c>
    </row>
    <row r="6" spans="1:7">
      <c r="A6">
        <v>200000</v>
      </c>
      <c r="B6" s="37" t="s">
        <v>704</v>
      </c>
    </row>
    <row r="7" spans="1:7">
      <c r="A7">
        <v>200000</v>
      </c>
      <c r="B7" s="37" t="s">
        <v>705</v>
      </c>
      <c r="C7" s="8" t="s">
        <v>709</v>
      </c>
      <c r="D7" s="202" t="s">
        <v>708</v>
      </c>
      <c r="E7" s="202"/>
      <c r="F7" s="202"/>
      <c r="G7" s="202"/>
    </row>
    <row r="8" spans="1:7">
      <c r="A8">
        <v>50000</v>
      </c>
      <c r="C8" s="181" t="s">
        <v>710</v>
      </c>
      <c r="D8" s="182">
        <f>C3*6000+C4*50000+C5*200000</f>
        <v>80480.769230769234</v>
      </c>
    </row>
    <row r="9" spans="1:7">
      <c r="A9">
        <v>6000</v>
      </c>
    </row>
    <row r="10" spans="1:7">
      <c r="A10">
        <v>50000</v>
      </c>
      <c r="B10" s="37" t="s">
        <v>711</v>
      </c>
      <c r="C10" s="37" t="s">
        <v>712</v>
      </c>
    </row>
    <row r="11" spans="1:7">
      <c r="A11">
        <v>50000</v>
      </c>
      <c r="C11" s="38" t="s">
        <v>713</v>
      </c>
    </row>
    <row r="12" spans="1:7">
      <c r="A12">
        <v>200000</v>
      </c>
      <c r="C12" s="41">
        <f>AVERAGE(A:A)</f>
        <v>80480.769230769234</v>
      </c>
    </row>
    <row r="13" spans="1:7">
      <c r="A13">
        <v>50000</v>
      </c>
    </row>
    <row r="14" spans="1:7">
      <c r="A14">
        <v>50000</v>
      </c>
    </row>
    <row r="15" spans="1:7">
      <c r="A15">
        <v>200000</v>
      </c>
    </row>
    <row r="16" spans="1:7">
      <c r="A16">
        <v>200000</v>
      </c>
    </row>
    <row r="17" spans="1:1">
      <c r="A17">
        <v>50000</v>
      </c>
    </row>
    <row r="18" spans="1:1">
      <c r="A18">
        <v>50000</v>
      </c>
    </row>
    <row r="19" spans="1:1">
      <c r="A19">
        <v>6000</v>
      </c>
    </row>
    <row r="20" spans="1:1">
      <c r="A20">
        <v>200000</v>
      </c>
    </row>
    <row r="21" spans="1:1">
      <c r="A21">
        <v>50000</v>
      </c>
    </row>
    <row r="22" spans="1:1">
      <c r="A22">
        <v>50000</v>
      </c>
    </row>
    <row r="23" spans="1:1">
      <c r="A23">
        <v>200000</v>
      </c>
    </row>
    <row r="24" spans="1:1">
      <c r="A24">
        <v>6000</v>
      </c>
    </row>
    <row r="25" spans="1:1">
      <c r="A25">
        <v>6000</v>
      </c>
    </row>
    <row r="26" spans="1:1">
      <c r="A26">
        <v>6000</v>
      </c>
    </row>
    <row r="27" spans="1:1">
      <c r="A27">
        <v>200000</v>
      </c>
    </row>
    <row r="28" spans="1:1">
      <c r="A28">
        <v>200000</v>
      </c>
    </row>
    <row r="29" spans="1:1">
      <c r="A29">
        <v>200000</v>
      </c>
    </row>
    <row r="30" spans="1:1">
      <c r="A30">
        <v>6000</v>
      </c>
    </row>
    <row r="31" spans="1:1">
      <c r="A31">
        <v>6000</v>
      </c>
    </row>
    <row r="32" spans="1:1">
      <c r="A32">
        <v>6000</v>
      </c>
    </row>
    <row r="33" spans="1:1">
      <c r="A33">
        <v>6000</v>
      </c>
    </row>
    <row r="34" spans="1:1">
      <c r="A34">
        <v>50000</v>
      </c>
    </row>
    <row r="35" spans="1:1">
      <c r="A35">
        <v>6000</v>
      </c>
    </row>
    <row r="36" spans="1:1">
      <c r="A36">
        <v>50000</v>
      </c>
    </row>
    <row r="37" spans="1:1">
      <c r="A37">
        <v>50000</v>
      </c>
    </row>
    <row r="38" spans="1:1">
      <c r="A38">
        <v>50000</v>
      </c>
    </row>
    <row r="39" spans="1:1">
      <c r="A39">
        <v>50000</v>
      </c>
    </row>
    <row r="40" spans="1:1">
      <c r="A40">
        <v>50000</v>
      </c>
    </row>
    <row r="41" spans="1:1">
      <c r="A41">
        <v>50000</v>
      </c>
    </row>
    <row r="42" spans="1:1">
      <c r="A42">
        <v>50000</v>
      </c>
    </row>
    <row r="43" spans="1:1">
      <c r="A43">
        <v>200000</v>
      </c>
    </row>
    <row r="44" spans="1:1">
      <c r="A44">
        <v>50000</v>
      </c>
    </row>
    <row r="45" spans="1:1">
      <c r="A45">
        <v>200000</v>
      </c>
    </row>
    <row r="46" spans="1:1">
      <c r="A46">
        <v>200000</v>
      </c>
    </row>
    <row r="47" spans="1:1">
      <c r="A47">
        <v>6000</v>
      </c>
    </row>
    <row r="48" spans="1:1">
      <c r="A48">
        <v>50000</v>
      </c>
    </row>
    <row r="49" spans="1:1">
      <c r="A49">
        <v>50000</v>
      </c>
    </row>
    <row r="50" spans="1:1">
      <c r="A50">
        <v>50000</v>
      </c>
    </row>
    <row r="51" spans="1:1">
      <c r="A51">
        <v>50000</v>
      </c>
    </row>
    <row r="52" spans="1:1">
      <c r="A52">
        <v>200000</v>
      </c>
    </row>
    <row r="53" spans="1:1">
      <c r="A53">
        <v>50000</v>
      </c>
    </row>
    <row r="54" spans="1:1">
      <c r="A54">
        <v>6000</v>
      </c>
    </row>
    <row r="55" spans="1:1">
      <c r="A55">
        <v>50000</v>
      </c>
    </row>
    <row r="56" spans="1:1">
      <c r="A56">
        <v>50000</v>
      </c>
    </row>
    <row r="57" spans="1:1">
      <c r="A57">
        <v>200000</v>
      </c>
    </row>
    <row r="58" spans="1:1">
      <c r="A58">
        <v>200000</v>
      </c>
    </row>
    <row r="59" spans="1:1">
      <c r="A59">
        <v>200000</v>
      </c>
    </row>
    <row r="60" spans="1:1">
      <c r="A60">
        <v>50000</v>
      </c>
    </row>
    <row r="61" spans="1:1">
      <c r="A61">
        <v>50000</v>
      </c>
    </row>
    <row r="62" spans="1:1">
      <c r="A62">
        <v>6000</v>
      </c>
    </row>
    <row r="63" spans="1:1">
      <c r="A63">
        <v>50000</v>
      </c>
    </row>
    <row r="64" spans="1:1">
      <c r="A64">
        <v>50000</v>
      </c>
    </row>
    <row r="65" spans="1:1">
      <c r="A65">
        <v>50000</v>
      </c>
    </row>
    <row r="66" spans="1:1">
      <c r="A66">
        <v>200000</v>
      </c>
    </row>
    <row r="67" spans="1:1">
      <c r="A67">
        <v>200000</v>
      </c>
    </row>
    <row r="68" spans="1:1">
      <c r="A68">
        <v>50000</v>
      </c>
    </row>
    <row r="69" spans="1:1">
      <c r="A69">
        <v>50000</v>
      </c>
    </row>
    <row r="70" spans="1:1">
      <c r="A70">
        <v>6000</v>
      </c>
    </row>
    <row r="71" spans="1:1">
      <c r="A71">
        <v>200000</v>
      </c>
    </row>
    <row r="72" spans="1:1">
      <c r="A72">
        <v>50000</v>
      </c>
    </row>
    <row r="73" spans="1:1">
      <c r="A73">
        <v>50000</v>
      </c>
    </row>
    <row r="74" spans="1:1">
      <c r="A74">
        <v>50000</v>
      </c>
    </row>
    <row r="75" spans="1:1">
      <c r="A75">
        <v>50000</v>
      </c>
    </row>
    <row r="76" spans="1:1">
      <c r="A76">
        <v>50000</v>
      </c>
    </row>
    <row r="77" spans="1:1">
      <c r="A77">
        <v>50000</v>
      </c>
    </row>
    <row r="78" spans="1:1">
      <c r="A78">
        <v>50000</v>
      </c>
    </row>
    <row r="79" spans="1:1">
      <c r="A79">
        <v>50000</v>
      </c>
    </row>
    <row r="80" spans="1:1">
      <c r="A80">
        <v>50000</v>
      </c>
    </row>
    <row r="81" spans="1:1">
      <c r="A81">
        <v>50000</v>
      </c>
    </row>
    <row r="82" spans="1:1">
      <c r="A82">
        <v>6000</v>
      </c>
    </row>
    <row r="83" spans="1:1">
      <c r="A83">
        <v>6000</v>
      </c>
    </row>
    <row r="84" spans="1:1">
      <c r="A84">
        <v>50000</v>
      </c>
    </row>
    <row r="85" spans="1:1">
      <c r="A85">
        <v>50000</v>
      </c>
    </row>
    <row r="86" spans="1:1">
      <c r="A86">
        <v>50000</v>
      </c>
    </row>
    <row r="87" spans="1:1">
      <c r="A87">
        <v>200000</v>
      </c>
    </row>
    <row r="88" spans="1:1">
      <c r="A88">
        <v>200000</v>
      </c>
    </row>
    <row r="89" spans="1:1">
      <c r="A89">
        <v>50000</v>
      </c>
    </row>
    <row r="90" spans="1:1">
      <c r="A90">
        <v>200000</v>
      </c>
    </row>
    <row r="91" spans="1:1">
      <c r="A91">
        <v>50000</v>
      </c>
    </row>
    <row r="92" spans="1:1">
      <c r="A92">
        <v>6000</v>
      </c>
    </row>
    <row r="93" spans="1:1">
      <c r="A93">
        <v>50000</v>
      </c>
    </row>
    <row r="94" spans="1:1">
      <c r="A94">
        <v>50000</v>
      </c>
    </row>
    <row r="95" spans="1:1">
      <c r="A95">
        <v>50000</v>
      </c>
    </row>
    <row r="96" spans="1:1">
      <c r="A96">
        <v>50000</v>
      </c>
    </row>
    <row r="97" spans="1:1">
      <c r="A97">
        <v>50000</v>
      </c>
    </row>
    <row r="98" spans="1:1">
      <c r="A98">
        <v>200000</v>
      </c>
    </row>
    <row r="99" spans="1:1">
      <c r="A99">
        <v>6000</v>
      </c>
    </row>
    <row r="100" spans="1:1">
      <c r="A100">
        <v>6000</v>
      </c>
    </row>
    <row r="101" spans="1:1">
      <c r="A101">
        <v>50000</v>
      </c>
    </row>
    <row r="102" spans="1:1">
      <c r="A102">
        <v>50000</v>
      </c>
    </row>
    <row r="103" spans="1:1">
      <c r="A103">
        <v>50000</v>
      </c>
    </row>
    <row r="104" spans="1:1">
      <c r="A104">
        <v>50000</v>
      </c>
    </row>
    <row r="105" spans="1:1">
      <c r="A105">
        <v>50000</v>
      </c>
    </row>
  </sheetData>
  <mergeCells count="1">
    <mergeCell ref="D7:G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05"/>
  <sheetViews>
    <sheetView workbookViewId="0">
      <selection activeCell="E14" sqref="E14"/>
    </sheetView>
  </sheetViews>
  <sheetFormatPr baseColWidth="10" defaultRowHeight="13"/>
  <cols>
    <col min="1" max="1" width="15.1640625" style="4" bestFit="1" customWidth="1"/>
    <col min="3" max="3" width="12.33203125" customWidth="1"/>
    <col min="4" max="4" width="31" customWidth="1"/>
    <col min="5" max="5" width="21.33203125" customWidth="1"/>
    <col min="7" max="7" width="11.1640625" bestFit="1" customWidth="1"/>
    <col min="8" max="8" width="16.33203125" bestFit="1" customWidth="1"/>
    <col min="10" max="10" width="11.1640625" bestFit="1" customWidth="1"/>
  </cols>
  <sheetData>
    <row r="1" spans="1:8" ht="15">
      <c r="A1" s="2" t="s">
        <v>575</v>
      </c>
      <c r="B1" s="2" t="s">
        <v>683</v>
      </c>
      <c r="D1" s="162"/>
      <c r="E1" s="163" t="s">
        <v>686</v>
      </c>
    </row>
    <row r="2" spans="1:8">
      <c r="A2" s="5">
        <v>8501.3024999999998</v>
      </c>
      <c r="B2">
        <v>6000</v>
      </c>
      <c r="D2" s="165" t="s">
        <v>687</v>
      </c>
      <c r="E2" s="166">
        <v>0.19230769230769232</v>
      </c>
    </row>
    <row r="3" spans="1:8">
      <c r="A3" s="5">
        <v>135016.5</v>
      </c>
      <c r="B3">
        <v>200000</v>
      </c>
      <c r="D3" s="165" t="s">
        <v>688</v>
      </c>
      <c r="E3" s="166">
        <v>0.54807692307692313</v>
      </c>
    </row>
    <row r="4" spans="1:8">
      <c r="A4" s="5">
        <v>136713.75</v>
      </c>
      <c r="B4">
        <v>200000</v>
      </c>
      <c r="D4" s="165" t="s">
        <v>689</v>
      </c>
      <c r="E4" s="166">
        <v>0.25961538461538464</v>
      </c>
    </row>
    <row r="5" spans="1:8">
      <c r="A5" s="5">
        <v>105035.43</v>
      </c>
      <c r="B5">
        <v>200000</v>
      </c>
      <c r="D5" s="181" t="s">
        <v>710</v>
      </c>
      <c r="E5" s="182">
        <v>80480.769230769234</v>
      </c>
    </row>
    <row r="6" spans="1:8">
      <c r="A6" s="5">
        <v>701249.22750000004</v>
      </c>
      <c r="B6">
        <v>200000</v>
      </c>
    </row>
    <row r="7" spans="1:8">
      <c r="A7" s="5">
        <v>115557.6225</v>
      </c>
      <c r="B7">
        <v>200000</v>
      </c>
    </row>
    <row r="8" spans="1:8">
      <c r="A8" s="5">
        <v>82963.237499999988</v>
      </c>
      <c r="B8">
        <v>50000</v>
      </c>
    </row>
    <row r="9" spans="1:8">
      <c r="A9" s="5">
        <v>9375</v>
      </c>
      <c r="B9">
        <v>6000</v>
      </c>
      <c r="C9" s="37" t="s">
        <v>719</v>
      </c>
      <c r="D9" s="37" t="s">
        <v>714</v>
      </c>
      <c r="E9" s="37" t="s">
        <v>715</v>
      </c>
      <c r="F9" s="37"/>
    </row>
    <row r="10" spans="1:8">
      <c r="A10" s="5">
        <v>45882.75</v>
      </c>
      <c r="B10">
        <v>50000</v>
      </c>
    </row>
    <row r="11" spans="1:8">
      <c r="A11" s="5">
        <v>11045.782499999999</v>
      </c>
      <c r="B11">
        <v>50000</v>
      </c>
      <c r="D11" s="8" t="s">
        <v>716</v>
      </c>
      <c r="E11" s="183">
        <f>E2*((6000-E5)^2) + E3*((50000-E5)^2) + E4*((200000-E5)^2)</f>
        <v>5284576553.2544384</v>
      </c>
    </row>
    <row r="12" spans="1:8">
      <c r="A12" s="5">
        <v>151695.45000000001</v>
      </c>
      <c r="B12">
        <v>200000</v>
      </c>
      <c r="D12" s="37" t="s">
        <v>717</v>
      </c>
      <c r="E12" s="37" t="s">
        <v>718</v>
      </c>
      <c r="G12" s="167"/>
    </row>
    <row r="13" spans="1:8">
      <c r="A13" s="5">
        <v>90000</v>
      </c>
      <c r="B13">
        <v>50000</v>
      </c>
      <c r="D13" s="6"/>
      <c r="E13" s="43">
        <f>_xlfn.VAR.P(B:B)</f>
        <v>5284576553.2544374</v>
      </c>
      <c r="G13" s="167"/>
    </row>
    <row r="14" spans="1:8" ht="16">
      <c r="A14" s="5">
        <v>85163.557499999995</v>
      </c>
      <c r="B14">
        <v>50000</v>
      </c>
      <c r="D14" s="184" t="s">
        <v>723</v>
      </c>
      <c r="E14" s="185">
        <f>SQRT(E13)</f>
        <v>72695.093047979768</v>
      </c>
      <c r="G14" s="167"/>
      <c r="H14" s="81" t="s">
        <v>722</v>
      </c>
    </row>
    <row r="15" spans="1:8">
      <c r="A15" s="5">
        <v>130559.32500000001</v>
      </c>
      <c r="B15">
        <v>200000</v>
      </c>
      <c r="C15" s="37" t="s">
        <v>720</v>
      </c>
      <c r="D15" s="7" t="s">
        <v>721</v>
      </c>
      <c r="E15" s="212" t="s">
        <v>728</v>
      </c>
      <c r="F15" s="212"/>
      <c r="G15" s="212"/>
    </row>
    <row r="16" spans="1:8">
      <c r="A16" s="5">
        <v>135016.5</v>
      </c>
      <c r="B16">
        <v>200000</v>
      </c>
      <c r="D16" s="38" t="s">
        <v>724</v>
      </c>
      <c r="E16" s="211" t="s">
        <v>725</v>
      </c>
      <c r="F16" s="211"/>
      <c r="G16" s="186" t="s">
        <v>729</v>
      </c>
    </row>
    <row r="17" spans="1:7">
      <c r="A17" s="5">
        <v>19292.13</v>
      </c>
      <c r="B17">
        <v>50000</v>
      </c>
      <c r="D17" s="38" t="s">
        <v>726</v>
      </c>
      <c r="E17" s="211" t="s">
        <v>727</v>
      </c>
      <c r="F17" s="211"/>
      <c r="G17" s="37" t="s">
        <v>730</v>
      </c>
    </row>
    <row r="18" spans="1:7">
      <c r="A18" s="5">
        <v>75516.299999999988</v>
      </c>
      <c r="B18">
        <v>50000</v>
      </c>
      <c r="D18" s="38" t="s">
        <v>732</v>
      </c>
      <c r="E18" s="211" t="s">
        <v>731</v>
      </c>
      <c r="F18" s="211"/>
      <c r="G18" s="37" t="s">
        <v>733</v>
      </c>
    </row>
    <row r="19" spans="1:7">
      <c r="A19" s="5">
        <v>7500</v>
      </c>
      <c r="B19">
        <v>6000</v>
      </c>
    </row>
    <row r="20" spans="1:7">
      <c r="A20" s="5">
        <v>150000</v>
      </c>
      <c r="B20">
        <v>200000</v>
      </c>
      <c r="D20" s="37" t="s">
        <v>734</v>
      </c>
      <c r="E20" s="167">
        <f>E5-2*E14</f>
        <v>-64909.416865190302</v>
      </c>
    </row>
    <row r="21" spans="1:7">
      <c r="A21" s="5">
        <v>26250</v>
      </c>
      <c r="B21">
        <v>50000</v>
      </c>
      <c r="D21" s="37" t="s">
        <v>735</v>
      </c>
      <c r="E21" s="167">
        <f>E5+2*E14</f>
        <v>225870.95532672876</v>
      </c>
    </row>
    <row r="22" spans="1:7">
      <c r="A22" s="5">
        <v>30000</v>
      </c>
      <c r="B22">
        <v>50000</v>
      </c>
      <c r="D22" s="37" t="s">
        <v>736</v>
      </c>
      <c r="E22" s="167">
        <f>E5-3*E14</f>
        <v>-137604.50991317007</v>
      </c>
    </row>
    <row r="23" spans="1:7">
      <c r="A23" s="5">
        <v>225033</v>
      </c>
      <c r="B23">
        <v>200000</v>
      </c>
      <c r="D23" s="37" t="s">
        <v>737</v>
      </c>
      <c r="E23" s="167">
        <f>E5+3*E14</f>
        <v>298566.04837470857</v>
      </c>
    </row>
    <row r="24" spans="1:7">
      <c r="A24" s="5">
        <v>7500</v>
      </c>
      <c r="B24">
        <v>6000</v>
      </c>
      <c r="D24" s="195" t="s">
        <v>738</v>
      </c>
      <c r="E24">
        <f>COUNTIF(A:A,"&lt;="&amp;E21)</f>
        <v>99</v>
      </c>
    </row>
    <row r="25" spans="1:7">
      <c r="A25" s="5">
        <v>433.125</v>
      </c>
      <c r="B25">
        <v>6000</v>
      </c>
      <c r="D25" s="195"/>
    </row>
    <row r="26" spans="1:7">
      <c r="A26" s="5">
        <v>658.125</v>
      </c>
      <c r="B26">
        <v>6000</v>
      </c>
      <c r="D26" s="210" t="s">
        <v>740</v>
      </c>
      <c r="E26" s="187">
        <f>E24/COUNT(A:A)</f>
        <v>0.95192307692307687</v>
      </c>
    </row>
    <row r="27" spans="1:7">
      <c r="A27" s="5">
        <v>112083.39749999999</v>
      </c>
      <c r="B27">
        <v>200000</v>
      </c>
      <c r="D27" s="210"/>
      <c r="E27" s="188" t="s">
        <v>741</v>
      </c>
    </row>
    <row r="28" spans="1:7">
      <c r="A28" s="5">
        <v>270290.28749999998</v>
      </c>
      <c r="B28">
        <v>200000</v>
      </c>
      <c r="D28" s="195" t="s">
        <v>739</v>
      </c>
      <c r="E28">
        <f>COUNTIF(A:A,"&lt;="&amp;E23)</f>
        <v>101</v>
      </c>
    </row>
    <row r="29" spans="1:7">
      <c r="A29" s="5">
        <v>252000</v>
      </c>
      <c r="B29">
        <v>200000</v>
      </c>
      <c r="D29" s="195"/>
    </row>
    <row r="30" spans="1:7">
      <c r="A30" s="5">
        <v>6000</v>
      </c>
      <c r="B30">
        <v>6000</v>
      </c>
      <c r="D30" s="210" t="s">
        <v>740</v>
      </c>
      <c r="E30" s="7">
        <f>E28/COUNT(A:A)</f>
        <v>0.97115384615384615</v>
      </c>
    </row>
    <row r="31" spans="1:7">
      <c r="A31" s="5">
        <v>1381.875</v>
      </c>
      <c r="B31">
        <v>6000</v>
      </c>
      <c r="D31" s="210"/>
      <c r="E31" s="188" t="s">
        <v>742</v>
      </c>
    </row>
    <row r="32" spans="1:7">
      <c r="A32" s="5">
        <v>9750</v>
      </c>
      <c r="B32">
        <v>6000</v>
      </c>
    </row>
    <row r="33" spans="1:2">
      <c r="A33" s="5">
        <v>9375</v>
      </c>
      <c r="B33">
        <v>6000</v>
      </c>
    </row>
    <row r="34" spans="1:2">
      <c r="A34" s="5">
        <v>21965.872500000001</v>
      </c>
      <c r="B34">
        <v>50000</v>
      </c>
    </row>
    <row r="35" spans="1:2">
      <c r="A35" s="5">
        <v>506.25</v>
      </c>
      <c r="B35">
        <v>6000</v>
      </c>
    </row>
    <row r="36" spans="1:2">
      <c r="A36" s="5">
        <v>60725.497499999998</v>
      </c>
      <c r="B36">
        <v>50000</v>
      </c>
    </row>
    <row r="37" spans="1:2">
      <c r="A37" s="5">
        <v>33750</v>
      </c>
      <c r="B37">
        <v>50000</v>
      </c>
    </row>
    <row r="38" spans="1:2">
      <c r="A38" s="5">
        <v>90028.132499999992</v>
      </c>
      <c r="B38">
        <v>50000</v>
      </c>
    </row>
    <row r="39" spans="1:2">
      <c r="A39" s="5">
        <v>75000</v>
      </c>
      <c r="B39">
        <v>50000</v>
      </c>
    </row>
    <row r="40" spans="1:2">
      <c r="A40" s="5">
        <v>91995.854999999996</v>
      </c>
      <c r="B40">
        <v>50000</v>
      </c>
    </row>
    <row r="41" spans="1:2">
      <c r="A41" s="5">
        <v>71250</v>
      </c>
      <c r="B41">
        <v>50000</v>
      </c>
    </row>
    <row r="42" spans="1:2">
      <c r="A42" s="5">
        <v>25749.375</v>
      </c>
      <c r="B42">
        <v>50000</v>
      </c>
    </row>
    <row r="43" spans="1:2">
      <c r="A43" s="5">
        <v>630000.29249999998</v>
      </c>
      <c r="B43">
        <v>200000</v>
      </c>
    </row>
    <row r="44" spans="1:2">
      <c r="A44" s="5">
        <v>37338.832500000004</v>
      </c>
      <c r="B44">
        <v>50000</v>
      </c>
    </row>
    <row r="45" spans="1:2">
      <c r="A45" s="5">
        <v>309750</v>
      </c>
      <c r="B45">
        <v>200000</v>
      </c>
    </row>
    <row r="46" spans="1:2">
      <c r="A46" s="5">
        <v>113221.5</v>
      </c>
      <c r="B46">
        <v>200000</v>
      </c>
    </row>
    <row r="47" spans="1:2">
      <c r="A47" s="5">
        <v>73.5</v>
      </c>
      <c r="B47">
        <v>6000</v>
      </c>
    </row>
    <row r="48" spans="1:2">
      <c r="A48" s="5">
        <v>11504.647500000001</v>
      </c>
      <c r="B48">
        <v>50000</v>
      </c>
    </row>
    <row r="49" spans="1:2">
      <c r="A49" s="5">
        <v>83736.112499999988</v>
      </c>
      <c r="B49">
        <v>50000</v>
      </c>
    </row>
    <row r="50" spans="1:2">
      <c r="A50" s="5">
        <v>35235.360000000001</v>
      </c>
      <c r="B50">
        <v>50000</v>
      </c>
    </row>
    <row r="51" spans="1:2">
      <c r="A51" s="5">
        <v>93750.225000000006</v>
      </c>
      <c r="B51">
        <v>50000</v>
      </c>
    </row>
    <row r="52" spans="1:2">
      <c r="A52" s="5">
        <v>153701.92499999999</v>
      </c>
      <c r="B52">
        <v>200000</v>
      </c>
    </row>
    <row r="53" spans="1:2">
      <c r="A53" s="5">
        <v>19896.675000000003</v>
      </c>
      <c r="B53">
        <v>50000</v>
      </c>
    </row>
    <row r="54" spans="1:2">
      <c r="A54" s="5">
        <v>9375</v>
      </c>
      <c r="B54">
        <v>6000</v>
      </c>
    </row>
    <row r="55" spans="1:2">
      <c r="A55" s="5">
        <v>32585.827499999999</v>
      </c>
      <c r="B55">
        <v>50000</v>
      </c>
    </row>
    <row r="56" spans="1:2">
      <c r="A56" s="5">
        <v>10875</v>
      </c>
      <c r="B56">
        <v>50000</v>
      </c>
    </row>
    <row r="57" spans="1:2">
      <c r="A57" s="5">
        <v>131266.5</v>
      </c>
      <c r="B57">
        <v>200000</v>
      </c>
    </row>
    <row r="58" spans="1:2">
      <c r="A58" s="5">
        <v>133381.38</v>
      </c>
      <c r="B58">
        <v>200000</v>
      </c>
    </row>
    <row r="59" spans="1:2">
      <c r="A59" s="5">
        <v>135016.5</v>
      </c>
      <c r="B59">
        <v>200000</v>
      </c>
    </row>
    <row r="60" spans="1:2">
      <c r="A60" s="5">
        <v>10875</v>
      </c>
      <c r="B60">
        <v>50000</v>
      </c>
    </row>
    <row r="61" spans="1:2">
      <c r="A61" s="5">
        <v>97361.25</v>
      </c>
      <c r="B61">
        <v>50000</v>
      </c>
    </row>
    <row r="62" spans="1:2">
      <c r="A62" s="5">
        <v>9562.5</v>
      </c>
      <c r="B62">
        <v>6000</v>
      </c>
    </row>
    <row r="63" spans="1:2">
      <c r="A63" s="5">
        <v>19792.695</v>
      </c>
      <c r="B63">
        <v>50000</v>
      </c>
    </row>
    <row r="64" spans="1:2">
      <c r="A64" s="5">
        <v>73646.684999999998</v>
      </c>
      <c r="B64">
        <v>50000</v>
      </c>
    </row>
    <row r="65" spans="1:2">
      <c r="A65" s="5">
        <v>17132.2425</v>
      </c>
      <c r="B65">
        <v>50000</v>
      </c>
    </row>
    <row r="66" spans="1:2">
      <c r="A66" s="5">
        <v>142500</v>
      </c>
      <c r="B66">
        <v>200000</v>
      </c>
    </row>
    <row r="67" spans="1:2">
      <c r="A67" s="5">
        <v>159750</v>
      </c>
      <c r="B67">
        <v>200000</v>
      </c>
    </row>
    <row r="68" spans="1:2">
      <c r="A68" s="5">
        <v>15562.5</v>
      </c>
      <c r="B68">
        <v>50000</v>
      </c>
    </row>
    <row r="69" spans="1:2">
      <c r="A69" s="5">
        <v>77623.049999999988</v>
      </c>
      <c r="B69">
        <v>50000</v>
      </c>
    </row>
    <row r="70" spans="1:2">
      <c r="A70" s="5">
        <v>6322.3575000000001</v>
      </c>
      <c r="B70">
        <v>6000</v>
      </c>
    </row>
    <row r="71" spans="1:2">
      <c r="A71" s="5">
        <v>135016.5</v>
      </c>
      <c r="B71">
        <v>200000</v>
      </c>
    </row>
    <row r="72" spans="1:2">
      <c r="A72" s="5">
        <v>41813.962499999994</v>
      </c>
      <c r="B72">
        <v>50000</v>
      </c>
    </row>
    <row r="73" spans="1:2">
      <c r="A73" s="5">
        <v>63012</v>
      </c>
      <c r="B73">
        <v>50000</v>
      </c>
    </row>
    <row r="74" spans="1:2">
      <c r="A74" s="5">
        <v>46233.75</v>
      </c>
      <c r="B74">
        <v>50000</v>
      </c>
    </row>
    <row r="75" spans="1:2">
      <c r="A75" s="5">
        <v>12996</v>
      </c>
      <c r="B75">
        <v>50000</v>
      </c>
    </row>
    <row r="76" spans="1:2">
      <c r="A76" s="5">
        <v>73413.705000000002</v>
      </c>
      <c r="B76">
        <v>50000</v>
      </c>
    </row>
    <row r="77" spans="1:2">
      <c r="A77" s="5">
        <v>24456.27</v>
      </c>
      <c r="B77">
        <v>50000</v>
      </c>
    </row>
    <row r="78" spans="1:2">
      <c r="A78" s="5">
        <v>30000</v>
      </c>
      <c r="B78">
        <v>50000</v>
      </c>
    </row>
    <row r="79" spans="1:2">
      <c r="A79" s="5">
        <v>97500</v>
      </c>
      <c r="B79">
        <v>50000</v>
      </c>
    </row>
    <row r="80" spans="1:2">
      <c r="A80" s="5">
        <v>46500</v>
      </c>
      <c r="B80">
        <v>50000</v>
      </c>
    </row>
    <row r="81" spans="1:2">
      <c r="A81" s="5">
        <v>57000</v>
      </c>
      <c r="B81">
        <v>50000</v>
      </c>
    </row>
    <row r="82" spans="1:2">
      <c r="A82" s="5">
        <v>7502.61</v>
      </c>
      <c r="B82">
        <v>6000</v>
      </c>
    </row>
    <row r="83" spans="1:2">
      <c r="A83" s="5">
        <v>9375</v>
      </c>
      <c r="B83">
        <v>6000</v>
      </c>
    </row>
    <row r="84" spans="1:2">
      <c r="A84" s="5">
        <v>75000</v>
      </c>
      <c r="B84">
        <v>50000</v>
      </c>
    </row>
    <row r="85" spans="1:2">
      <c r="A85" s="5">
        <v>41250</v>
      </c>
      <c r="B85">
        <v>50000</v>
      </c>
    </row>
    <row r="86" spans="1:2">
      <c r="A86" s="5">
        <v>23576.864999999998</v>
      </c>
      <c r="B86">
        <v>50000</v>
      </c>
    </row>
    <row r="87" spans="1:2">
      <c r="A87" s="5">
        <v>142499.77500000002</v>
      </c>
      <c r="B87">
        <v>200000</v>
      </c>
    </row>
    <row r="88" spans="1:2">
      <c r="A88" s="5">
        <v>101171.28749999999</v>
      </c>
      <c r="B88">
        <v>200000</v>
      </c>
    </row>
    <row r="89" spans="1:2">
      <c r="A89" s="5">
        <v>58380.959999999999</v>
      </c>
      <c r="B89">
        <v>50000</v>
      </c>
    </row>
    <row r="90" spans="1:2">
      <c r="A90" s="5">
        <v>138364.875</v>
      </c>
      <c r="B90">
        <v>200000</v>
      </c>
    </row>
    <row r="91" spans="1:2">
      <c r="A91" s="5">
        <v>10875</v>
      </c>
      <c r="B91">
        <v>50000</v>
      </c>
    </row>
    <row r="92" spans="1:2">
      <c r="A92" s="5">
        <v>9750</v>
      </c>
      <c r="B92">
        <v>6000</v>
      </c>
    </row>
    <row r="93" spans="1:2">
      <c r="A93" s="5">
        <v>86884.5</v>
      </c>
      <c r="B93">
        <v>50000</v>
      </c>
    </row>
    <row r="94" spans="1:2">
      <c r="A94" s="5">
        <v>55500</v>
      </c>
      <c r="B94">
        <v>50000</v>
      </c>
    </row>
    <row r="95" spans="1:2">
      <c r="A95" s="5">
        <v>30000</v>
      </c>
      <c r="B95">
        <v>50000</v>
      </c>
    </row>
    <row r="96" spans="1:2">
      <c r="A96" s="5">
        <v>62667.097500000003</v>
      </c>
      <c r="B96">
        <v>50000</v>
      </c>
    </row>
    <row r="97" spans="1:2">
      <c r="A97" s="5">
        <v>22460.017499999998</v>
      </c>
      <c r="B97">
        <v>50000</v>
      </c>
    </row>
    <row r="98" spans="1:2">
      <c r="A98" s="5">
        <v>135000</v>
      </c>
      <c r="B98">
        <v>200000</v>
      </c>
    </row>
    <row r="99" spans="1:2">
      <c r="A99" s="5">
        <v>375</v>
      </c>
      <c r="B99">
        <v>6000</v>
      </c>
    </row>
    <row r="100" spans="1:2">
      <c r="A100" s="5">
        <v>9375</v>
      </c>
      <c r="B100">
        <v>6000</v>
      </c>
    </row>
    <row r="101" spans="1:2">
      <c r="A101" s="5">
        <v>51702</v>
      </c>
      <c r="B101">
        <v>50000</v>
      </c>
    </row>
    <row r="102" spans="1:2">
      <c r="A102" s="5">
        <v>30375</v>
      </c>
      <c r="B102">
        <v>50000</v>
      </c>
    </row>
    <row r="103" spans="1:2">
      <c r="A103" s="5">
        <v>79278</v>
      </c>
      <c r="B103">
        <v>50000</v>
      </c>
    </row>
    <row r="104" spans="1:2">
      <c r="A104" s="5">
        <v>11250</v>
      </c>
      <c r="B104">
        <v>50000</v>
      </c>
    </row>
    <row r="105" spans="1:2">
      <c r="A105" s="5">
        <v>62625</v>
      </c>
      <c r="B105">
        <v>50000</v>
      </c>
    </row>
  </sheetData>
  <mergeCells count="8">
    <mergeCell ref="E15:G15"/>
    <mergeCell ref="E18:F18"/>
    <mergeCell ref="D24:D25"/>
    <mergeCell ref="D28:D29"/>
    <mergeCell ref="D26:D27"/>
    <mergeCell ref="D30:D31"/>
    <mergeCell ref="E16:F16"/>
    <mergeCell ref="E17:F17"/>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05"/>
  <sheetViews>
    <sheetView workbookViewId="0">
      <selection activeCell="D3" sqref="D3:F9"/>
    </sheetView>
  </sheetViews>
  <sheetFormatPr baseColWidth="10" defaultRowHeight="13"/>
  <cols>
    <col min="1" max="1" width="15.1640625" style="4" bestFit="1" customWidth="1"/>
    <col min="4" max="4" width="11.6640625" bestFit="1" customWidth="1"/>
    <col min="5" max="5" width="12.1640625" bestFit="1" customWidth="1"/>
    <col min="6" max="6" width="13" customWidth="1"/>
  </cols>
  <sheetData>
    <row r="1" spans="1:7" ht="15">
      <c r="A1" s="2" t="s">
        <v>575</v>
      </c>
      <c r="B1" s="2" t="s">
        <v>743</v>
      </c>
      <c r="C1" s="2" t="s">
        <v>744</v>
      </c>
    </row>
    <row r="2" spans="1:7">
      <c r="A2" s="5">
        <v>142500</v>
      </c>
      <c r="B2">
        <v>3.1530340035175186E-3</v>
      </c>
      <c r="C2" s="5">
        <v>142500</v>
      </c>
    </row>
    <row r="3" spans="1:7">
      <c r="A3" s="5">
        <v>41813.962499999994</v>
      </c>
      <c r="B3">
        <v>1.6204487272576507E-2</v>
      </c>
      <c r="C3" s="5">
        <v>41813.962499999994</v>
      </c>
      <c r="D3" s="37" t="s">
        <v>751</v>
      </c>
      <c r="E3" s="37" t="s">
        <v>745</v>
      </c>
    </row>
    <row r="4" spans="1:7">
      <c r="A4" s="5">
        <v>21965.872500000001</v>
      </c>
      <c r="B4">
        <v>2.1427356021964328E-2</v>
      </c>
      <c r="C4" s="5">
        <v>21965.872500000001</v>
      </c>
      <c r="E4" s="37" t="s">
        <v>746</v>
      </c>
      <c r="F4">
        <f>AVERAGE(A:A)</f>
        <v>77613.72490384616</v>
      </c>
    </row>
    <row r="5" spans="1:7">
      <c r="A5" s="5">
        <v>151695.45000000001</v>
      </c>
      <c r="B5">
        <v>3.9488775698292677E-2</v>
      </c>
      <c r="C5" s="5">
        <v>151695.45000000001</v>
      </c>
      <c r="E5" s="37" t="s">
        <v>747</v>
      </c>
      <c r="F5">
        <f>_xlfn.STDEV.P(A:A)</f>
        <v>102904.35196379723</v>
      </c>
    </row>
    <row r="6" spans="1:7">
      <c r="A6" s="5">
        <v>97500</v>
      </c>
      <c r="B6">
        <v>4.2253786494353851E-2</v>
      </c>
      <c r="C6" s="5">
        <v>97500</v>
      </c>
    </row>
    <row r="7" spans="1:7">
      <c r="A7" s="5">
        <v>75000</v>
      </c>
      <c r="B7">
        <v>4.5100023347386387E-2</v>
      </c>
      <c r="C7" s="5">
        <v>75000</v>
      </c>
      <c r="E7" s="37" t="s">
        <v>744</v>
      </c>
    </row>
    <row r="8" spans="1:7">
      <c r="A8" s="5">
        <v>9375</v>
      </c>
      <c r="B8">
        <v>5.2860580670943236E-2</v>
      </c>
      <c r="C8" s="5">
        <v>9375</v>
      </c>
      <c r="E8" s="37" t="s">
        <v>746</v>
      </c>
      <c r="F8">
        <f>AVERAGE(C:C)</f>
        <v>94247.133000000016</v>
      </c>
    </row>
    <row r="9" spans="1:7">
      <c r="A9" s="5">
        <v>506.25</v>
      </c>
      <c r="B9">
        <v>7.0666839073818211E-2</v>
      </c>
      <c r="C9" s="5">
        <v>506.25</v>
      </c>
      <c r="E9" s="37" t="s">
        <v>747</v>
      </c>
      <c r="F9">
        <f>_xlfn.STDEV.S(C:C)</f>
        <v>125432.29939205674</v>
      </c>
    </row>
    <row r="10" spans="1:7">
      <c r="A10" s="5">
        <v>58380.959999999999</v>
      </c>
      <c r="B10">
        <v>0.11925360283578001</v>
      </c>
      <c r="C10" s="5">
        <v>58380.959999999999</v>
      </c>
      <c r="E10" s="37"/>
    </row>
    <row r="11" spans="1:7">
      <c r="A11" s="5">
        <v>23576.864999999998</v>
      </c>
      <c r="B11">
        <v>0.12661921937680876</v>
      </c>
      <c r="C11" s="5">
        <v>23576.864999999998</v>
      </c>
      <c r="D11" s="37" t="s">
        <v>752</v>
      </c>
      <c r="E11" s="37" t="s">
        <v>748</v>
      </c>
      <c r="G11" s="82"/>
    </row>
    <row r="12" spans="1:7">
      <c r="A12" s="5">
        <v>135016.5</v>
      </c>
      <c r="B12">
        <v>0.12998869442306449</v>
      </c>
      <c r="C12" s="5">
        <v>135016.5</v>
      </c>
      <c r="E12" s="37" t="s">
        <v>746</v>
      </c>
      <c r="F12" s="211" t="s">
        <v>749</v>
      </c>
      <c r="G12" s="211"/>
    </row>
    <row r="13" spans="1:7">
      <c r="A13" s="5">
        <v>93750.225000000006</v>
      </c>
      <c r="B13">
        <v>0.13649399776591564</v>
      </c>
      <c r="C13" s="5">
        <v>93750.225000000006</v>
      </c>
      <c r="F13">
        <f>F4-F8</f>
        <v>-16633.408096153857</v>
      </c>
    </row>
    <row r="14" spans="1:7">
      <c r="A14" s="5">
        <v>17132.2425</v>
      </c>
      <c r="B14">
        <v>0.13847641127619681</v>
      </c>
      <c r="C14" s="5">
        <v>17132.2425</v>
      </c>
      <c r="E14" s="37" t="s">
        <v>747</v>
      </c>
      <c r="F14" s="211" t="s">
        <v>750</v>
      </c>
      <c r="G14" s="211"/>
    </row>
    <row r="15" spans="1:7">
      <c r="A15" s="5">
        <v>135000</v>
      </c>
      <c r="B15">
        <v>0.14620384613854553</v>
      </c>
      <c r="C15" s="5">
        <v>135000</v>
      </c>
      <c r="F15">
        <f>F5-F9</f>
        <v>-22527.947428259504</v>
      </c>
    </row>
    <row r="16" spans="1:7">
      <c r="A16" s="5">
        <v>73646.684999999998</v>
      </c>
      <c r="B16">
        <v>0.1506730916183695</v>
      </c>
      <c r="C16" s="5">
        <v>73646.684999999998</v>
      </c>
    </row>
    <row r="17" spans="1:3">
      <c r="A17" s="5">
        <v>82963.237499999988</v>
      </c>
      <c r="B17">
        <v>0.15078955321041421</v>
      </c>
      <c r="C17" s="5">
        <v>82963.237499999988</v>
      </c>
    </row>
    <row r="18" spans="1:3">
      <c r="A18" s="5">
        <v>91995.854999999996</v>
      </c>
      <c r="B18">
        <v>0.15346721063308399</v>
      </c>
      <c r="C18" s="5">
        <v>91995.854999999996</v>
      </c>
    </row>
    <row r="19" spans="1:3">
      <c r="A19" s="5">
        <v>309750</v>
      </c>
      <c r="B19">
        <v>0.16418173274817394</v>
      </c>
      <c r="C19" s="5">
        <v>309750</v>
      </c>
    </row>
    <row r="20" spans="1:3">
      <c r="A20" s="5">
        <v>62667.097500000003</v>
      </c>
      <c r="B20">
        <v>0.21053278848491097</v>
      </c>
      <c r="C20" s="5">
        <v>62667.097500000003</v>
      </c>
    </row>
    <row r="21" spans="1:3">
      <c r="A21" s="5">
        <v>15562.5</v>
      </c>
      <c r="B21">
        <v>0.21157170719771978</v>
      </c>
      <c r="C21" s="5">
        <v>15562.5</v>
      </c>
    </row>
    <row r="22" spans="1:3">
      <c r="A22" s="5">
        <v>630000.29249999998</v>
      </c>
      <c r="B22">
        <v>0.21254450458589902</v>
      </c>
      <c r="C22" s="5">
        <v>630000.29249999998</v>
      </c>
    </row>
    <row r="23" spans="1:3">
      <c r="A23" s="5">
        <v>75000</v>
      </c>
      <c r="B23">
        <v>0.22268557884836793</v>
      </c>
      <c r="C23" s="5">
        <v>75000</v>
      </c>
    </row>
    <row r="24" spans="1:3">
      <c r="A24" s="5">
        <v>25749.375</v>
      </c>
      <c r="B24">
        <v>0.22500690893071162</v>
      </c>
      <c r="C24" s="5">
        <v>25749.375</v>
      </c>
    </row>
    <row r="25" spans="1:3">
      <c r="A25" s="5">
        <v>658.125</v>
      </c>
      <c r="B25">
        <v>0.23535757424654125</v>
      </c>
      <c r="C25" s="5">
        <v>658.125</v>
      </c>
    </row>
    <row r="26" spans="1:3">
      <c r="A26" s="5">
        <v>41250</v>
      </c>
      <c r="B26">
        <v>0.2377954820711673</v>
      </c>
      <c r="C26" s="5">
        <v>41250</v>
      </c>
    </row>
    <row r="27" spans="1:3">
      <c r="A27" s="5">
        <v>8501.3024999999998</v>
      </c>
      <c r="B27">
        <v>0.24519261687829286</v>
      </c>
      <c r="C27" s="5">
        <v>8501.3024999999998</v>
      </c>
    </row>
    <row r="28" spans="1:3">
      <c r="A28" s="5">
        <v>11045.782499999999</v>
      </c>
      <c r="B28">
        <v>0.24566703353288954</v>
      </c>
      <c r="C28" s="5">
        <v>11045.782499999999</v>
      </c>
    </row>
    <row r="29" spans="1:3">
      <c r="A29" s="5">
        <v>115557.6225</v>
      </c>
      <c r="B29">
        <v>0.24794808978881366</v>
      </c>
      <c r="C29" s="5">
        <v>115557.6225</v>
      </c>
    </row>
    <row r="30" spans="1:3">
      <c r="A30" s="5">
        <v>270290.28749999998</v>
      </c>
      <c r="B30">
        <v>0.26049526484981267</v>
      </c>
      <c r="C30" s="5">
        <v>270290.28749999998</v>
      </c>
    </row>
    <row r="31" spans="1:3">
      <c r="A31" s="5">
        <v>9562.5</v>
      </c>
      <c r="B31">
        <v>0.26351321049844423</v>
      </c>
      <c r="C31" s="5">
        <v>9562.5</v>
      </c>
    </row>
    <row r="32" spans="1:3">
      <c r="A32" s="5">
        <v>11504.647500000001</v>
      </c>
      <c r="B32">
        <v>0.27310370967539299</v>
      </c>
    </row>
    <row r="33" spans="1:2">
      <c r="A33" s="5">
        <v>30000</v>
      </c>
      <c r="B33">
        <v>0.27319042339316302</v>
      </c>
    </row>
    <row r="34" spans="1:2">
      <c r="A34" s="5">
        <v>135016.5</v>
      </c>
      <c r="B34">
        <v>0.33166540293945335</v>
      </c>
    </row>
    <row r="35" spans="1:2">
      <c r="A35" s="5">
        <v>11250</v>
      </c>
      <c r="B35">
        <v>0.33478542727140193</v>
      </c>
    </row>
    <row r="36" spans="1:2">
      <c r="A36" s="5">
        <v>101171.28749999999</v>
      </c>
      <c r="B36">
        <v>0.34234461454930376</v>
      </c>
    </row>
    <row r="37" spans="1:2">
      <c r="A37" s="5">
        <v>136713.75</v>
      </c>
      <c r="B37">
        <v>0.35504344926476672</v>
      </c>
    </row>
    <row r="38" spans="1:2">
      <c r="A38" s="5">
        <v>37338.832500000004</v>
      </c>
      <c r="B38">
        <v>0.37020481437006514</v>
      </c>
    </row>
    <row r="39" spans="1:2">
      <c r="A39" s="5">
        <v>33750</v>
      </c>
      <c r="B39">
        <v>0.3773372434050648</v>
      </c>
    </row>
    <row r="40" spans="1:2">
      <c r="A40" s="5">
        <v>113221.5</v>
      </c>
      <c r="B40">
        <v>0.37833782255891446</v>
      </c>
    </row>
    <row r="41" spans="1:2">
      <c r="A41" s="5">
        <v>701249.22750000004</v>
      </c>
      <c r="B41">
        <v>0.38170600423061252</v>
      </c>
    </row>
    <row r="42" spans="1:2">
      <c r="A42" s="5">
        <v>131266.5</v>
      </c>
      <c r="B42">
        <v>0.38627360305781377</v>
      </c>
    </row>
    <row r="43" spans="1:2">
      <c r="A43" s="5">
        <v>22460.017499999998</v>
      </c>
      <c r="B43">
        <v>0.38897144870052758</v>
      </c>
    </row>
    <row r="44" spans="1:2">
      <c r="A44" s="5">
        <v>112083.39749999999</v>
      </c>
      <c r="B44">
        <v>0.41449030610779369</v>
      </c>
    </row>
    <row r="45" spans="1:2">
      <c r="A45" s="5">
        <v>24456.27</v>
      </c>
      <c r="B45">
        <v>0.41909239478120486</v>
      </c>
    </row>
    <row r="46" spans="1:2">
      <c r="A46" s="5">
        <v>10875</v>
      </c>
      <c r="B46">
        <v>0.41988942865629209</v>
      </c>
    </row>
    <row r="47" spans="1:2">
      <c r="A47" s="5">
        <v>35235.360000000001</v>
      </c>
      <c r="B47">
        <v>0.43563904841374912</v>
      </c>
    </row>
    <row r="48" spans="1:2">
      <c r="A48" s="5">
        <v>153701.92499999999</v>
      </c>
      <c r="B48">
        <v>0.4422907204039529</v>
      </c>
    </row>
    <row r="49" spans="1:2">
      <c r="A49" s="5">
        <v>159750</v>
      </c>
      <c r="B49">
        <v>0.45381241197554067</v>
      </c>
    </row>
    <row r="50" spans="1:2">
      <c r="A50" s="5">
        <v>19896.675000000003</v>
      </c>
      <c r="B50">
        <v>0.4609937447559872</v>
      </c>
    </row>
    <row r="51" spans="1:2">
      <c r="A51" s="5">
        <v>57000</v>
      </c>
      <c r="B51">
        <v>0.46505187533051173</v>
      </c>
    </row>
    <row r="52" spans="1:2">
      <c r="A52" s="5">
        <v>105035.43</v>
      </c>
      <c r="B52">
        <v>0.4846823657957694</v>
      </c>
    </row>
    <row r="53" spans="1:2">
      <c r="A53" s="5">
        <v>6000</v>
      </c>
      <c r="B53">
        <v>0.48781357137070058</v>
      </c>
    </row>
    <row r="54" spans="1:2">
      <c r="A54" s="5">
        <v>9750</v>
      </c>
      <c r="B54">
        <v>0.49017828942064445</v>
      </c>
    </row>
    <row r="55" spans="1:2">
      <c r="A55" s="5">
        <v>32585.827499999999</v>
      </c>
      <c r="B55">
        <v>0.49962379628865161</v>
      </c>
    </row>
    <row r="56" spans="1:2">
      <c r="A56" s="5">
        <v>30000</v>
      </c>
      <c r="B56">
        <v>0.50461630254389778</v>
      </c>
    </row>
    <row r="57" spans="1:2">
      <c r="A57" s="5">
        <v>51702</v>
      </c>
      <c r="B57">
        <v>0.50962575319233927</v>
      </c>
    </row>
    <row r="58" spans="1:2">
      <c r="A58" s="5">
        <v>135016.5</v>
      </c>
      <c r="B58">
        <v>0.51141681461728894</v>
      </c>
    </row>
    <row r="59" spans="1:2">
      <c r="A59" s="5">
        <v>19292.13</v>
      </c>
      <c r="B59">
        <v>0.53276064440231152</v>
      </c>
    </row>
    <row r="60" spans="1:2">
      <c r="A60" s="5">
        <v>30000</v>
      </c>
      <c r="B60">
        <v>0.55721140866437702</v>
      </c>
    </row>
    <row r="61" spans="1:2">
      <c r="A61" s="5">
        <v>225033</v>
      </c>
      <c r="B61">
        <v>0.56423025026525331</v>
      </c>
    </row>
    <row r="62" spans="1:2">
      <c r="A62" s="5">
        <v>9375</v>
      </c>
      <c r="B62">
        <v>0.57179020888212639</v>
      </c>
    </row>
    <row r="63" spans="1:2">
      <c r="A63" s="5">
        <v>6322.3575000000001</v>
      </c>
      <c r="B63">
        <v>0.58453713837103238</v>
      </c>
    </row>
    <row r="64" spans="1:2">
      <c r="A64" s="5">
        <v>45882.75</v>
      </c>
      <c r="B64">
        <v>0.59551366105939119</v>
      </c>
    </row>
    <row r="65" spans="1:2">
      <c r="A65" s="5">
        <v>142499.77500000002</v>
      </c>
      <c r="B65">
        <v>0.60178119189091051</v>
      </c>
    </row>
    <row r="66" spans="1:2">
      <c r="A66" s="5">
        <v>7502.61</v>
      </c>
      <c r="B66">
        <v>0.61407376613943843</v>
      </c>
    </row>
    <row r="67" spans="1:2">
      <c r="A67" s="5">
        <v>252000</v>
      </c>
      <c r="B67">
        <v>0.62326169539880505</v>
      </c>
    </row>
    <row r="68" spans="1:2">
      <c r="A68" s="5">
        <v>26250</v>
      </c>
      <c r="B68">
        <v>0.62563404922116661</v>
      </c>
    </row>
    <row r="69" spans="1:2">
      <c r="A69" s="5">
        <v>135016.5</v>
      </c>
      <c r="B69">
        <v>0.63781839679508656</v>
      </c>
    </row>
    <row r="70" spans="1:2">
      <c r="A70" s="5">
        <v>138364.875</v>
      </c>
      <c r="B70">
        <v>0.64093573721279795</v>
      </c>
    </row>
    <row r="71" spans="1:2">
      <c r="A71" s="5">
        <v>90028.132499999992</v>
      </c>
      <c r="B71">
        <v>0.65775677381209974</v>
      </c>
    </row>
    <row r="72" spans="1:2">
      <c r="A72" s="5">
        <v>12996</v>
      </c>
      <c r="B72">
        <v>0.66019484516305549</v>
      </c>
    </row>
    <row r="73" spans="1:2">
      <c r="A73" s="5">
        <v>375</v>
      </c>
      <c r="B73">
        <v>0.66289149496458155</v>
      </c>
    </row>
    <row r="74" spans="1:2">
      <c r="A74" s="5">
        <v>133381.38</v>
      </c>
      <c r="B74">
        <v>0.68699426676870579</v>
      </c>
    </row>
    <row r="75" spans="1:2">
      <c r="A75" s="5">
        <v>7500</v>
      </c>
      <c r="B75">
        <v>0.70903188833985675</v>
      </c>
    </row>
    <row r="76" spans="1:2">
      <c r="A76" s="5">
        <v>19792.695</v>
      </c>
      <c r="B76">
        <v>0.72191540116010944</v>
      </c>
    </row>
    <row r="77" spans="1:2">
      <c r="A77" s="5">
        <v>79278</v>
      </c>
      <c r="B77">
        <v>0.73269719987223703</v>
      </c>
    </row>
    <row r="78" spans="1:2">
      <c r="A78" s="5">
        <v>7500</v>
      </c>
      <c r="B78">
        <v>0.74498034549146974</v>
      </c>
    </row>
    <row r="79" spans="1:2">
      <c r="A79" s="5">
        <v>9375</v>
      </c>
      <c r="B79">
        <v>0.75359307231624661</v>
      </c>
    </row>
    <row r="80" spans="1:2">
      <c r="A80" s="5">
        <v>73.5</v>
      </c>
      <c r="B80">
        <v>0.77950949973163097</v>
      </c>
    </row>
    <row r="81" spans="1:2">
      <c r="A81" s="5">
        <v>10875</v>
      </c>
      <c r="B81">
        <v>0.79236550492692281</v>
      </c>
    </row>
    <row r="82" spans="1:2">
      <c r="A82" s="5">
        <v>130559.32500000001</v>
      </c>
      <c r="B82">
        <v>0.8168769721306024</v>
      </c>
    </row>
    <row r="83" spans="1:2">
      <c r="A83" s="5">
        <v>90000</v>
      </c>
      <c r="B83">
        <v>0.82747163109338639</v>
      </c>
    </row>
    <row r="84" spans="1:2">
      <c r="A84" s="5">
        <v>46500</v>
      </c>
      <c r="B84">
        <v>0.83213953192677959</v>
      </c>
    </row>
    <row r="85" spans="1:2">
      <c r="A85" s="5">
        <v>46233.75</v>
      </c>
      <c r="B85">
        <v>0.83934976233919034</v>
      </c>
    </row>
    <row r="86" spans="1:2">
      <c r="A86" s="5">
        <v>9375</v>
      </c>
      <c r="B86">
        <v>0.84467199201034704</v>
      </c>
    </row>
    <row r="87" spans="1:2">
      <c r="A87" s="5">
        <v>55500</v>
      </c>
      <c r="B87">
        <v>0.87036934568235136</v>
      </c>
    </row>
    <row r="88" spans="1:2">
      <c r="A88" s="5">
        <v>10875</v>
      </c>
      <c r="B88">
        <v>0.8816952987559743</v>
      </c>
    </row>
    <row r="89" spans="1:2">
      <c r="A89" s="5">
        <v>71250</v>
      </c>
      <c r="B89">
        <v>0.90229485689788547</v>
      </c>
    </row>
    <row r="90" spans="1:2">
      <c r="A90" s="5">
        <v>63012</v>
      </c>
      <c r="B90">
        <v>0.91400367506551394</v>
      </c>
    </row>
    <row r="91" spans="1:2">
      <c r="A91" s="5">
        <v>75516.299999999988</v>
      </c>
      <c r="B91">
        <v>0.91907765573798106</v>
      </c>
    </row>
    <row r="92" spans="1:2">
      <c r="A92" s="5">
        <v>9375</v>
      </c>
      <c r="B92">
        <v>0.92392206932587284</v>
      </c>
    </row>
    <row r="93" spans="1:2">
      <c r="A93" s="5">
        <v>1381.875</v>
      </c>
      <c r="B93">
        <v>0.92545233321612241</v>
      </c>
    </row>
    <row r="94" spans="1:2">
      <c r="A94" s="5">
        <v>9750</v>
      </c>
      <c r="B94">
        <v>0.93078877024354334</v>
      </c>
    </row>
    <row r="95" spans="1:2">
      <c r="A95" s="5">
        <v>77623.049999999988</v>
      </c>
      <c r="B95">
        <v>0.93990053691295061</v>
      </c>
    </row>
    <row r="96" spans="1:2">
      <c r="A96" s="5">
        <v>85163.557499999995</v>
      </c>
      <c r="B96">
        <v>0.93996131046993125</v>
      </c>
    </row>
    <row r="97" spans="1:2">
      <c r="A97" s="5">
        <v>73413.705000000002</v>
      </c>
      <c r="B97">
        <v>0.94864126003572313</v>
      </c>
    </row>
    <row r="98" spans="1:2">
      <c r="A98" s="5">
        <v>150000</v>
      </c>
      <c r="B98">
        <v>0.96196723308237742</v>
      </c>
    </row>
    <row r="99" spans="1:2">
      <c r="A99" s="5">
        <v>97361.25</v>
      </c>
      <c r="B99">
        <v>0.96659560538524625</v>
      </c>
    </row>
    <row r="100" spans="1:2">
      <c r="A100" s="5">
        <v>30375</v>
      </c>
      <c r="B100">
        <v>0.9716189686657315</v>
      </c>
    </row>
    <row r="101" spans="1:2">
      <c r="A101" s="5">
        <v>62625</v>
      </c>
      <c r="B101">
        <v>0.97602556503072779</v>
      </c>
    </row>
    <row r="102" spans="1:2">
      <c r="A102" s="5">
        <v>86884.5</v>
      </c>
      <c r="B102">
        <v>0.9772866297130578</v>
      </c>
    </row>
    <row r="103" spans="1:2">
      <c r="A103" s="5">
        <v>433.125</v>
      </c>
      <c r="B103">
        <v>0.98272362398137014</v>
      </c>
    </row>
    <row r="104" spans="1:2">
      <c r="A104" s="5">
        <v>60725.497499999998</v>
      </c>
      <c r="B104">
        <v>0.99112277903343227</v>
      </c>
    </row>
    <row r="105" spans="1:2">
      <c r="A105" s="5">
        <v>83736.112499999988</v>
      </c>
      <c r="B105">
        <v>0.99689956620598952</v>
      </c>
    </row>
  </sheetData>
  <sortState ref="A2:B106">
    <sortCondition ref="B2:B106"/>
  </sortState>
  <mergeCells count="2">
    <mergeCell ref="F12:G12"/>
    <mergeCell ref="F14:G1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106"/>
  <sheetViews>
    <sheetView topLeftCell="A70" workbookViewId="0">
      <selection activeCell="F95" sqref="F95"/>
    </sheetView>
  </sheetViews>
  <sheetFormatPr baseColWidth="10" defaultRowHeight="13"/>
  <cols>
    <col min="1" max="1" width="15.1640625" style="4" bestFit="1" customWidth="1"/>
    <col min="2" max="2" width="15.1640625" style="4" customWidth="1"/>
    <col min="3" max="3" width="11.6640625" bestFit="1" customWidth="1"/>
    <col min="5" max="5" width="11.1640625" bestFit="1" customWidth="1"/>
    <col min="6" max="6" width="14.33203125" customWidth="1"/>
    <col min="9" max="9" width="13" customWidth="1"/>
  </cols>
  <sheetData>
    <row r="1" spans="1:11" ht="15">
      <c r="A1" s="2" t="s">
        <v>575</v>
      </c>
      <c r="B1" s="1" t="s">
        <v>778</v>
      </c>
    </row>
    <row r="2" spans="1:11">
      <c r="A2" s="5">
        <v>142500</v>
      </c>
      <c r="B2" s="5">
        <f>STANDARDIZE(A2,$E$25,$E$29)</f>
        <v>0.62751056785786186</v>
      </c>
    </row>
    <row r="3" spans="1:11">
      <c r="A3" s="5">
        <v>41813.962499999994</v>
      </c>
      <c r="B3" s="5">
        <f t="shared" ref="B3:B67" si="0">STANDARDIZE(A3,$E$25,$E$29)</f>
        <v>-0.34621696501955074</v>
      </c>
    </row>
    <row r="4" spans="1:11">
      <c r="A4" s="5">
        <v>21965.872500000001</v>
      </c>
      <c r="B4" s="5">
        <f t="shared" si="0"/>
        <v>-0.53816643674276599</v>
      </c>
    </row>
    <row r="5" spans="1:11">
      <c r="A5" s="5">
        <v>151695.45000000001</v>
      </c>
      <c r="B5" s="5">
        <f t="shared" si="0"/>
        <v>0.71643911311119568</v>
      </c>
    </row>
    <row r="6" spans="1:11">
      <c r="A6" s="5">
        <v>97500</v>
      </c>
      <c r="B6" s="5">
        <f t="shared" si="0"/>
        <v>0.19231875708187851</v>
      </c>
      <c r="D6" s="44" t="s">
        <v>754</v>
      </c>
      <c r="E6" s="168">
        <v>80480.769230769234</v>
      </c>
    </row>
    <row r="7" spans="1:11">
      <c r="A7" s="5">
        <v>75000</v>
      </c>
      <c r="B7" s="5">
        <f t="shared" si="0"/>
        <v>-2.5277148306113183E-2</v>
      </c>
      <c r="D7" s="44" t="s">
        <v>723</v>
      </c>
      <c r="E7" s="41">
        <v>72695.093047979768</v>
      </c>
    </row>
    <row r="8" spans="1:11">
      <c r="A8" s="5">
        <v>9375</v>
      </c>
      <c r="B8" s="5">
        <f t="shared" si="0"/>
        <v>-0.6599318723544223</v>
      </c>
    </row>
    <row r="9" spans="1:11">
      <c r="A9" s="5">
        <v>506.25</v>
      </c>
      <c r="B9" s="5">
        <f t="shared" si="0"/>
        <v>-0.7457009250615223</v>
      </c>
      <c r="C9" s="37" t="s">
        <v>753</v>
      </c>
      <c r="D9" s="213" t="s">
        <v>755</v>
      </c>
      <c r="E9" s="213"/>
      <c r="F9" s="213"/>
      <c r="G9" s="213"/>
      <c r="H9" s="213"/>
      <c r="I9" s="213"/>
      <c r="J9" s="213"/>
      <c r="K9" s="117"/>
    </row>
    <row r="10" spans="1:11">
      <c r="A10" s="5">
        <v>58380.959999999999</v>
      </c>
      <c r="B10" s="5">
        <f t="shared" si="0"/>
        <v>-0.18599870632741317</v>
      </c>
      <c r="D10" s="216" t="s">
        <v>762</v>
      </c>
      <c r="E10" s="218"/>
      <c r="F10" s="218"/>
      <c r="G10" s="218"/>
      <c r="H10" s="218"/>
      <c r="I10" s="218"/>
      <c r="J10" s="218"/>
    </row>
    <row r="11" spans="1:11">
      <c r="A11" s="5">
        <v>23576.864999999998</v>
      </c>
      <c r="B11" s="5">
        <f t="shared" si="0"/>
        <v>-0.52258664244895425</v>
      </c>
      <c r="D11" s="218"/>
      <c r="E11" s="218"/>
      <c r="F11" s="218"/>
      <c r="G11" s="218"/>
      <c r="H11" s="218"/>
      <c r="I11" s="218"/>
      <c r="J11" s="218"/>
    </row>
    <row r="12" spans="1:11">
      <c r="A12" s="5">
        <v>135016.5</v>
      </c>
      <c r="B12" s="5">
        <f t="shared" si="0"/>
        <v>0.55513816972581587</v>
      </c>
      <c r="D12" s="44" t="s">
        <v>756</v>
      </c>
      <c r="E12" s="168">
        <f>E6-E7</f>
        <v>7785.6761827894661</v>
      </c>
    </row>
    <row r="13" spans="1:11">
      <c r="A13" s="5">
        <v>93750.225000000006</v>
      </c>
      <c r="B13" s="5">
        <f t="shared" si="0"/>
        <v>0.1560549488096005</v>
      </c>
      <c r="D13" s="44" t="s">
        <v>757</v>
      </c>
      <c r="E13" s="168">
        <f>E6+E12</f>
        <v>88266.4454135587</v>
      </c>
    </row>
    <row r="14" spans="1:11">
      <c r="A14" s="5">
        <v>17132.2425</v>
      </c>
      <c r="B14" s="5">
        <f t="shared" si="0"/>
        <v>-0.58491212990545749</v>
      </c>
    </row>
    <row r="15" spans="1:11">
      <c r="A15" s="5">
        <v>135000</v>
      </c>
      <c r="B15" s="5">
        <f t="shared" si="0"/>
        <v>0.554978599395198</v>
      </c>
      <c r="C15" s="37" t="s">
        <v>758</v>
      </c>
      <c r="D15" s="213" t="s">
        <v>759</v>
      </c>
      <c r="E15" s="213"/>
      <c r="F15" s="213"/>
      <c r="G15" s="213"/>
      <c r="H15" s="213"/>
      <c r="I15" s="213"/>
      <c r="J15" s="213"/>
    </row>
    <row r="16" spans="1:11" ht="13" customHeight="1">
      <c r="A16" s="5">
        <v>73646.684999999998</v>
      </c>
      <c r="B16" s="5">
        <f t="shared" si="0"/>
        <v>-3.8364961759453205E-2</v>
      </c>
      <c r="D16" s="216" t="s">
        <v>763</v>
      </c>
      <c r="E16" s="216"/>
      <c r="F16" s="216"/>
      <c r="G16" s="216"/>
      <c r="H16" s="216"/>
      <c r="I16" s="216"/>
      <c r="J16" s="216"/>
    </row>
    <row r="17" spans="1:10">
      <c r="A17" s="5">
        <v>82963.237499999988</v>
      </c>
      <c r="B17" s="5">
        <f t="shared" si="0"/>
        <v>5.1734757188647035E-2</v>
      </c>
      <c r="D17" s="216"/>
      <c r="E17" s="216"/>
      <c r="F17" s="216"/>
      <c r="G17" s="216"/>
      <c r="H17" s="216"/>
      <c r="I17" s="216"/>
      <c r="J17" s="216"/>
    </row>
    <row r="18" spans="1:10">
      <c r="A18" s="5">
        <v>91995.854999999996</v>
      </c>
      <c r="B18" s="5">
        <f t="shared" si="0"/>
        <v>0.13908856087468791</v>
      </c>
      <c r="D18" s="216"/>
      <c r="E18" s="216"/>
      <c r="F18" s="216"/>
      <c r="G18" s="216"/>
      <c r="H18" s="216"/>
      <c r="I18" s="216"/>
      <c r="J18" s="216"/>
    </row>
    <row r="19" spans="1:10">
      <c r="A19" s="5">
        <v>309750</v>
      </c>
      <c r="B19" s="5">
        <f t="shared" si="0"/>
        <v>2.2449734645752666</v>
      </c>
      <c r="D19" s="44" t="s">
        <v>760</v>
      </c>
      <c r="E19" s="168">
        <f>E6-2*E7</f>
        <v>-64909.416865190302</v>
      </c>
    </row>
    <row r="20" spans="1:10">
      <c r="A20" s="5">
        <v>62667.097500000003</v>
      </c>
      <c r="B20" s="5">
        <f t="shared" si="0"/>
        <v>-0.14454777433052765</v>
      </c>
      <c r="D20" s="44" t="s">
        <v>761</v>
      </c>
      <c r="E20" s="168">
        <f>E6+2*E7</f>
        <v>225870.95532672876</v>
      </c>
    </row>
    <row r="21" spans="1:10">
      <c r="A21" s="5">
        <v>15562.5</v>
      </c>
      <c r="B21" s="5">
        <f t="shared" si="0"/>
        <v>-0.60009299837272456</v>
      </c>
    </row>
    <row r="22" spans="1:10" ht="14" thickBot="1">
      <c r="A22" s="5">
        <v>630000.29249999998</v>
      </c>
      <c r="B22" s="5">
        <f t="shared" si="0"/>
        <v>5.3420913466777851</v>
      </c>
    </row>
    <row r="23" spans="1:10">
      <c r="A23" s="5">
        <v>75000</v>
      </c>
      <c r="B23" s="5">
        <f t="shared" si="0"/>
        <v>-2.5277148306113183E-2</v>
      </c>
      <c r="D23" s="191" t="s">
        <v>575</v>
      </c>
      <c r="E23" s="191"/>
    </row>
    <row r="24" spans="1:10">
      <c r="A24" s="5">
        <v>25749.375</v>
      </c>
      <c r="B24" s="5">
        <f t="shared" si="0"/>
        <v>-0.50157645220831126</v>
      </c>
      <c r="D24" s="178"/>
      <c r="E24" s="178"/>
    </row>
    <row r="25" spans="1:10">
      <c r="A25" s="5">
        <v>658.125</v>
      </c>
      <c r="B25" s="5">
        <f t="shared" si="0"/>
        <v>-0.74423215270015342</v>
      </c>
      <c r="D25" s="178" t="s">
        <v>746</v>
      </c>
      <c r="E25" s="178">
        <v>77613.72490384616</v>
      </c>
    </row>
    <row r="26" spans="1:10">
      <c r="A26" s="5">
        <v>41250</v>
      </c>
      <c r="B26" s="5">
        <f t="shared" si="0"/>
        <v>-0.35167100638810073</v>
      </c>
      <c r="D26" s="178" t="s">
        <v>764</v>
      </c>
      <c r="E26" s="178">
        <v>10139.467084045271</v>
      </c>
    </row>
    <row r="27" spans="1:10">
      <c r="A27" s="5">
        <v>8501.3024999999998</v>
      </c>
      <c r="B27" s="5">
        <f t="shared" si="0"/>
        <v>-0.66838133895654328</v>
      </c>
      <c r="D27" s="178" t="s">
        <v>765</v>
      </c>
      <c r="E27" s="178">
        <v>53601</v>
      </c>
    </row>
    <row r="28" spans="1:10">
      <c r="A28" s="5">
        <v>11045.782499999999</v>
      </c>
      <c r="B28" s="5">
        <f t="shared" si="0"/>
        <v>-0.64377385320802616</v>
      </c>
      <c r="D28" s="178" t="s">
        <v>766</v>
      </c>
      <c r="E28" s="178">
        <v>9375</v>
      </c>
    </row>
    <row r="29" spans="1:10">
      <c r="A29" s="5">
        <v>115557.6225</v>
      </c>
      <c r="B29" s="5">
        <f t="shared" si="0"/>
        <v>0.36695274450597049</v>
      </c>
      <c r="D29" s="178" t="s">
        <v>767</v>
      </c>
      <c r="E29" s="178">
        <v>103402.68103795713</v>
      </c>
    </row>
    <row r="30" spans="1:10">
      <c r="A30" s="5">
        <v>270290.28749999998</v>
      </c>
      <c r="B30" s="5">
        <f t="shared" si="0"/>
        <v>1.8633613815624952</v>
      </c>
      <c r="D30" s="178" t="s">
        <v>768</v>
      </c>
      <c r="E30" s="178">
        <v>10692114445.837498</v>
      </c>
    </row>
    <row r="31" spans="1:10">
      <c r="A31" s="5">
        <v>9562.5</v>
      </c>
      <c r="B31" s="5">
        <f t="shared" si="0"/>
        <v>-0.6581185731428556</v>
      </c>
      <c r="D31" s="178" t="s">
        <v>769</v>
      </c>
      <c r="E31" s="178">
        <v>19.518786684800737</v>
      </c>
    </row>
    <row r="32" spans="1:10">
      <c r="A32" s="5">
        <v>11504.647500000001</v>
      </c>
      <c r="B32" s="5">
        <f t="shared" si="0"/>
        <v>-0.63933620231354338</v>
      </c>
      <c r="D32" s="178" t="s">
        <v>770</v>
      </c>
      <c r="E32" s="178">
        <v>3.8615543500190141</v>
      </c>
    </row>
    <row r="33" spans="1:10">
      <c r="A33" s="5">
        <v>30000</v>
      </c>
      <c r="B33" s="5">
        <f t="shared" si="0"/>
        <v>-0.46046895908209656</v>
      </c>
      <c r="D33" s="178" t="s">
        <v>771</v>
      </c>
      <c r="E33" s="178">
        <v>701175.72750000004</v>
      </c>
    </row>
    <row r="34" spans="1:10">
      <c r="A34" s="5">
        <v>135016.5</v>
      </c>
      <c r="B34" s="5">
        <f t="shared" si="0"/>
        <v>0.55513816972581587</v>
      </c>
      <c r="D34" s="178" t="s">
        <v>772</v>
      </c>
      <c r="E34" s="178">
        <v>73.5</v>
      </c>
    </row>
    <row r="35" spans="1:10">
      <c r="A35" s="5">
        <v>11250</v>
      </c>
      <c r="B35" s="5">
        <f t="shared" si="0"/>
        <v>-0.64179888023875631</v>
      </c>
      <c r="D35" s="178" t="s">
        <v>773</v>
      </c>
      <c r="E35" s="178">
        <v>701249.22750000004</v>
      </c>
    </row>
    <row r="36" spans="1:10">
      <c r="A36" s="5">
        <v>101171.28749999999</v>
      </c>
      <c r="B36" s="5">
        <f t="shared" si="0"/>
        <v>0.2278235183041947</v>
      </c>
      <c r="D36" s="178" t="s">
        <v>774</v>
      </c>
      <c r="E36" s="178">
        <v>8071827.3900000006</v>
      </c>
    </row>
    <row r="37" spans="1:10" ht="14" thickBot="1">
      <c r="A37" s="5">
        <v>136713.75</v>
      </c>
      <c r="B37" s="5">
        <f t="shared" si="0"/>
        <v>0.57155215418891669</v>
      </c>
      <c r="D37" s="179" t="s">
        <v>775</v>
      </c>
      <c r="E37" s="179">
        <v>104</v>
      </c>
    </row>
    <row r="38" spans="1:10">
      <c r="A38" s="5">
        <v>37338.832500000004</v>
      </c>
      <c r="B38" s="5">
        <f t="shared" si="0"/>
        <v>-0.38949563008972682</v>
      </c>
    </row>
    <row r="39" spans="1:10">
      <c r="A39" s="5">
        <v>33750</v>
      </c>
      <c r="B39" s="5">
        <f t="shared" si="0"/>
        <v>-0.42420297485076458</v>
      </c>
      <c r="C39" s="37" t="s">
        <v>776</v>
      </c>
      <c r="D39" s="216" t="s">
        <v>777</v>
      </c>
      <c r="E39" s="216"/>
      <c r="F39" s="216"/>
      <c r="G39" s="216"/>
      <c r="H39" s="216"/>
      <c r="I39" s="216"/>
      <c r="J39" s="216"/>
    </row>
    <row r="40" spans="1:10">
      <c r="A40" s="5">
        <v>113221.5</v>
      </c>
      <c r="B40" s="5">
        <f t="shared" si="0"/>
        <v>0.34436026937331454</v>
      </c>
      <c r="D40" s="216"/>
      <c r="E40" s="216"/>
      <c r="F40" s="216"/>
      <c r="G40" s="216"/>
      <c r="H40" s="216"/>
      <c r="I40" s="216"/>
      <c r="J40" s="216"/>
    </row>
    <row r="41" spans="1:10">
      <c r="A41" s="5">
        <v>701249.22750000004</v>
      </c>
      <c r="B41" s="5">
        <f t="shared" si="0"/>
        <v>6.0311347475335708</v>
      </c>
      <c r="D41" s="216"/>
      <c r="E41" s="216"/>
      <c r="F41" s="216"/>
      <c r="G41" s="216"/>
      <c r="H41" s="216"/>
      <c r="I41" s="216"/>
      <c r="J41" s="216"/>
    </row>
    <row r="42" spans="1:10">
      <c r="A42" s="5"/>
      <c r="B42" s="5"/>
      <c r="D42" s="217" t="s">
        <v>783</v>
      </c>
      <c r="E42" s="217"/>
      <c r="F42" s="217"/>
      <c r="G42" s="217"/>
      <c r="H42" s="217"/>
      <c r="I42" s="217"/>
      <c r="J42" s="189"/>
    </row>
    <row r="43" spans="1:10" ht="28">
      <c r="A43" s="5">
        <v>131266.5</v>
      </c>
      <c r="B43" s="5">
        <f t="shared" si="0"/>
        <v>0.51887218549448388</v>
      </c>
      <c r="D43" s="190" t="s">
        <v>628</v>
      </c>
      <c r="E43" s="190" t="s">
        <v>779</v>
      </c>
      <c r="F43" s="190" t="s">
        <v>780</v>
      </c>
      <c r="G43" s="190" t="s">
        <v>781</v>
      </c>
      <c r="H43" s="190"/>
      <c r="I43" s="190"/>
      <c r="J43" s="190"/>
    </row>
    <row r="44" spans="1:10">
      <c r="A44" s="5">
        <v>22460.017499999998</v>
      </c>
      <c r="B44" s="5">
        <f t="shared" si="0"/>
        <v>-0.5333875954686349</v>
      </c>
      <c r="D44">
        <v>-2</v>
      </c>
      <c r="E44">
        <f t="array" ref="E44:E61">FREQUENCY(B:B,D44:D61)</f>
        <v>0</v>
      </c>
      <c r="F44">
        <f>_xlfn.NORM.S.DIST(D44,TRUE)</f>
        <v>2.2750131948179191E-2</v>
      </c>
      <c r="G44" s="116">
        <f>F44*$E$62</f>
        <v>2.3660137226106359</v>
      </c>
    </row>
    <row r="45" spans="1:10">
      <c r="A45" s="5">
        <v>112083.39749999999</v>
      </c>
      <c r="B45" s="5">
        <f t="shared" si="0"/>
        <v>0.33335376075501061</v>
      </c>
      <c r="D45">
        <v>-1.5</v>
      </c>
      <c r="E45">
        <v>0</v>
      </c>
      <c r="F45">
        <f>_xlfn.NORM.S.DIST(D45,TRUE)-_xlfn.NORM.S.DIST(D44,TRUE)</f>
        <v>4.4057069320678863E-2</v>
      </c>
      <c r="G45" s="116">
        <f t="shared" ref="G45:G61" si="1">F45*$E$62</f>
        <v>4.5819352093506014</v>
      </c>
    </row>
    <row r="46" spans="1:10">
      <c r="A46" s="5">
        <v>24456.27</v>
      </c>
      <c r="B46" s="5">
        <f t="shared" si="0"/>
        <v>-0.51408197901883301</v>
      </c>
      <c r="D46">
        <v>-1</v>
      </c>
      <c r="E46">
        <v>0</v>
      </c>
      <c r="F46">
        <f t="shared" ref="F46:F61" si="2">_xlfn.NORM.S.DIST(D46,TRUE)-_xlfn.NORM.S.DIST(D45,TRUE)</f>
        <v>9.1848052662598934E-2</v>
      </c>
      <c r="G46">
        <f t="shared" si="1"/>
        <v>9.5521974769102886</v>
      </c>
    </row>
    <row r="47" spans="1:10">
      <c r="A47" s="5">
        <v>10875</v>
      </c>
      <c r="B47" s="5">
        <f t="shared" si="0"/>
        <v>-0.64542547866188948</v>
      </c>
      <c r="D47">
        <v>-0.5</v>
      </c>
      <c r="E47">
        <v>37</v>
      </c>
      <c r="F47">
        <f t="shared" si="2"/>
        <v>0.14988228479452989</v>
      </c>
      <c r="G47">
        <f t="shared" si="1"/>
        <v>15.587757618631109</v>
      </c>
    </row>
    <row r="48" spans="1:10">
      <c r="A48" s="5">
        <v>35235.360000000001</v>
      </c>
      <c r="B48" s="5">
        <f t="shared" si="0"/>
        <v>-0.40983816356067093</v>
      </c>
      <c r="D48">
        <v>0</v>
      </c>
      <c r="E48">
        <v>28</v>
      </c>
      <c r="F48">
        <f t="shared" si="2"/>
        <v>0.19146246127401312</v>
      </c>
      <c r="G48">
        <f t="shared" si="1"/>
        <v>19.912095972497365</v>
      </c>
    </row>
    <row r="49" spans="1:9">
      <c r="A49" s="5">
        <v>153701.92499999999</v>
      </c>
      <c r="B49" s="5">
        <f t="shared" si="0"/>
        <v>0.73584359063401195</v>
      </c>
      <c r="D49">
        <v>0.5</v>
      </c>
      <c r="E49">
        <v>17</v>
      </c>
      <c r="F49">
        <f t="shared" si="2"/>
        <v>0.19146246127401312</v>
      </c>
      <c r="G49">
        <f t="shared" si="1"/>
        <v>19.912095972497365</v>
      </c>
    </row>
    <row r="50" spans="1:9">
      <c r="A50" s="5">
        <v>159750</v>
      </c>
      <c r="B50" s="5">
        <f t="shared" si="0"/>
        <v>0.79433409532198884</v>
      </c>
      <c r="D50">
        <v>1</v>
      </c>
      <c r="E50">
        <v>16</v>
      </c>
      <c r="F50">
        <f t="shared" si="2"/>
        <v>0.14988228479452992</v>
      </c>
      <c r="G50">
        <f t="shared" si="1"/>
        <v>15.587757618631112</v>
      </c>
    </row>
    <row r="51" spans="1:9">
      <c r="A51" s="5">
        <v>19896.675000000003</v>
      </c>
      <c r="B51" s="5">
        <f t="shared" si="0"/>
        <v>-0.55817749911783565</v>
      </c>
      <c r="D51">
        <v>1.5</v>
      </c>
      <c r="E51">
        <v>1</v>
      </c>
      <c r="F51">
        <f t="shared" si="2"/>
        <v>9.1848052662598878E-2</v>
      </c>
      <c r="G51">
        <f t="shared" si="1"/>
        <v>9.5521974769102833</v>
      </c>
    </row>
    <row r="52" spans="1:9">
      <c r="A52" s="5">
        <v>57000</v>
      </c>
      <c r="B52" s="5">
        <f t="shared" si="0"/>
        <v>-0.19935387261650653</v>
      </c>
      <c r="D52">
        <v>2</v>
      </c>
      <c r="E52">
        <v>2</v>
      </c>
      <c r="F52">
        <f t="shared" si="2"/>
        <v>4.4057069320678877E-2</v>
      </c>
      <c r="G52" s="116">
        <f t="shared" si="1"/>
        <v>4.5819352093506032</v>
      </c>
    </row>
    <row r="53" spans="1:9">
      <c r="A53" s="5">
        <v>105035.43</v>
      </c>
      <c r="B53" s="5">
        <f t="shared" si="0"/>
        <v>0.26519336656355996</v>
      </c>
      <c r="D53">
        <v>2.5</v>
      </c>
      <c r="E53">
        <v>1</v>
      </c>
      <c r="F53">
        <f t="shared" si="2"/>
        <v>1.6540466622403049E-2</v>
      </c>
      <c r="G53" s="116">
        <f t="shared" si="1"/>
        <v>1.7202085287299171</v>
      </c>
    </row>
    <row r="54" spans="1:9">
      <c r="A54" s="5">
        <v>6000</v>
      </c>
      <c r="B54" s="5">
        <f t="shared" si="0"/>
        <v>-0.692571258162621</v>
      </c>
      <c r="D54">
        <v>3</v>
      </c>
      <c r="E54">
        <v>0</v>
      </c>
      <c r="F54">
        <f t="shared" si="2"/>
        <v>4.8597672941460557E-3</v>
      </c>
      <c r="G54" s="116">
        <f t="shared" si="1"/>
        <v>0.50541579859118979</v>
      </c>
    </row>
    <row r="55" spans="1:9">
      <c r="A55" s="5">
        <v>9750</v>
      </c>
      <c r="B55" s="5">
        <f t="shared" si="0"/>
        <v>-0.65630527393128901</v>
      </c>
      <c r="D55">
        <v>3.5</v>
      </c>
      <c r="E55">
        <v>0</v>
      </c>
      <c r="F55">
        <f t="shared" si="2"/>
        <v>1.1172689525945634E-3</v>
      </c>
      <c r="G55" s="116">
        <f t="shared" si="1"/>
        <v>0.11619597106983459</v>
      </c>
    </row>
    <row r="56" spans="1:9">
      <c r="A56" s="5">
        <v>32585.827499999999</v>
      </c>
      <c r="B56" s="5">
        <f t="shared" si="0"/>
        <v>-0.43546160459144467</v>
      </c>
      <c r="D56">
        <v>4</v>
      </c>
      <c r="E56">
        <v>0</v>
      </c>
      <c r="F56">
        <f t="shared" si="2"/>
        <v>2.0095783720242011E-4</v>
      </c>
      <c r="G56" s="116">
        <f t="shared" si="1"/>
        <v>2.0899615069051691E-2</v>
      </c>
    </row>
    <row r="57" spans="1:9">
      <c r="A57" s="5">
        <v>30000</v>
      </c>
      <c r="B57" s="5">
        <f t="shared" si="0"/>
        <v>-0.46046895908209656</v>
      </c>
      <c r="D57">
        <v>4.5</v>
      </c>
      <c r="E57">
        <v>0</v>
      </c>
      <c r="F57">
        <f t="shared" si="2"/>
        <v>2.8273568708381269E-5</v>
      </c>
      <c r="G57" s="116">
        <f t="shared" si="1"/>
        <v>2.940451145671652E-3</v>
      </c>
    </row>
    <row r="58" spans="1:9">
      <c r="A58" s="5">
        <v>51702</v>
      </c>
      <c r="B58" s="5">
        <f t="shared" si="0"/>
        <v>-0.25059045513853229</v>
      </c>
      <c r="D58">
        <v>5</v>
      </c>
      <c r="E58">
        <v>0</v>
      </c>
      <c r="F58">
        <f t="shared" si="2"/>
        <v>3.1110215528151741E-6</v>
      </c>
      <c r="G58" s="116">
        <f t="shared" si="1"/>
        <v>3.2354624149277811E-4</v>
      </c>
    </row>
    <row r="59" spans="1:9">
      <c r="A59" s="5">
        <v>135016.5</v>
      </c>
      <c r="B59" s="5">
        <f t="shared" si="0"/>
        <v>0.55513816972581587</v>
      </c>
      <c r="D59">
        <v>5.5</v>
      </c>
      <c r="E59">
        <v>1</v>
      </c>
      <c r="F59">
        <f t="shared" si="2"/>
        <v>2.6766200944550178E-7</v>
      </c>
      <c r="G59" s="116">
        <f t="shared" si="1"/>
        <v>2.7836848982332185E-5</v>
      </c>
    </row>
    <row r="60" spans="1:9">
      <c r="A60" s="5">
        <v>19292.13</v>
      </c>
      <c r="B60" s="5">
        <f t="shared" si="0"/>
        <v>-0.56402401096773713</v>
      </c>
      <c r="D60">
        <v>6</v>
      </c>
      <c r="E60">
        <v>0</v>
      </c>
      <c r="F60">
        <f t="shared" si="2"/>
        <v>1.8002974777608927E-8</v>
      </c>
      <c r="G60" s="116">
        <f t="shared" si="1"/>
        <v>1.8723093768713284E-6</v>
      </c>
    </row>
    <row r="61" spans="1:9">
      <c r="A61" s="5">
        <v>30000</v>
      </c>
      <c r="B61" s="5">
        <f t="shared" si="0"/>
        <v>-0.46046895908209656</v>
      </c>
      <c r="D61">
        <v>6.5</v>
      </c>
      <c r="E61">
        <v>1</v>
      </c>
      <c r="F61">
        <f t="shared" si="2"/>
        <v>9.4642771397701608E-10</v>
      </c>
      <c r="G61" s="116">
        <f t="shared" si="1"/>
        <v>9.8428482253609673E-8</v>
      </c>
    </row>
    <row r="62" spans="1:9">
      <c r="A62" s="5">
        <v>225033</v>
      </c>
      <c r="B62" s="5">
        <f t="shared" si="0"/>
        <v>1.4256813616084003</v>
      </c>
      <c r="D62" s="37" t="s">
        <v>782</v>
      </c>
      <c r="E62">
        <f>SUM(E44:E61)</f>
        <v>104</v>
      </c>
    </row>
    <row r="63" spans="1:9">
      <c r="A63" s="5">
        <v>9375</v>
      </c>
      <c r="B63" s="5">
        <f t="shared" si="0"/>
        <v>-0.6599318723544223</v>
      </c>
    </row>
    <row r="64" spans="1:9">
      <c r="A64" s="5">
        <v>6322.3575000000001</v>
      </c>
      <c r="B64" s="5">
        <f t="shared" si="0"/>
        <v>-0.68945376162612726</v>
      </c>
      <c r="D64" s="217" t="s">
        <v>784</v>
      </c>
      <c r="E64" s="217"/>
      <c r="F64" s="217"/>
      <c r="G64" s="217"/>
      <c r="H64" s="217"/>
      <c r="I64" s="217"/>
    </row>
    <row r="65" spans="1:10">
      <c r="A65" s="5">
        <v>45882.75</v>
      </c>
      <c r="B65" s="5">
        <f t="shared" si="0"/>
        <v>-0.30686800946871323</v>
      </c>
      <c r="D65" s="217"/>
      <c r="E65" s="217"/>
      <c r="F65" s="217"/>
      <c r="G65" s="217"/>
      <c r="H65" s="217"/>
      <c r="I65" s="217"/>
    </row>
    <row r="66" spans="1:10">
      <c r="A66" s="5">
        <v>142499.77500000002</v>
      </c>
      <c r="B66" s="5">
        <f t="shared" si="0"/>
        <v>0.62750839189880825</v>
      </c>
      <c r="D66" s="217"/>
      <c r="E66" s="217"/>
      <c r="F66" s="217"/>
      <c r="G66" s="217"/>
      <c r="H66" s="217"/>
      <c r="I66" s="217"/>
    </row>
    <row r="67" spans="1:10" ht="28">
      <c r="A67" s="5">
        <v>7502.61</v>
      </c>
      <c r="B67" s="5">
        <f t="shared" si="0"/>
        <v>-0.67803962334506318</v>
      </c>
      <c r="D67" s="37" t="s">
        <v>628</v>
      </c>
      <c r="E67" s="190" t="s">
        <v>779</v>
      </c>
      <c r="F67" s="190" t="s">
        <v>780</v>
      </c>
      <c r="G67" s="190" t="s">
        <v>781</v>
      </c>
      <c r="H67" s="190" t="s">
        <v>785</v>
      </c>
    </row>
    <row r="68" spans="1:10">
      <c r="A68" s="5">
        <v>252000</v>
      </c>
      <c r="B68" s="5">
        <f t="shared" ref="B68:B106" si="3">STANDARDIZE(A68,$E$25,$E$29)</f>
        <v>1.6864773074127548</v>
      </c>
      <c r="D68">
        <v>-1</v>
      </c>
      <c r="E68">
        <f t="array" ref="E68:E74">FREQUENCY(B:B,D68:D74)</f>
        <v>0</v>
      </c>
      <c r="F68">
        <f>_xlfn.NORM.S.DIST(D68,TRUE)</f>
        <v>0.15865525393145699</v>
      </c>
      <c r="G68">
        <f>F68*$E$75</f>
        <v>16.500146408871526</v>
      </c>
      <c r="H68">
        <f>((E68-G68)^2)/G68</f>
        <v>16.500146408871526</v>
      </c>
    </row>
    <row r="69" spans="1:10">
      <c r="A69" s="5">
        <v>26250</v>
      </c>
      <c r="B69" s="5">
        <f t="shared" si="3"/>
        <v>-0.49673494331342849</v>
      </c>
      <c r="D69">
        <v>-0.5</v>
      </c>
      <c r="E69">
        <v>37</v>
      </c>
      <c r="F69">
        <f>_xlfn.NORM.S.DIST(D69,TRUE)-_xlfn.NORM.S.DIST(D68,TRUE)</f>
        <v>0.14988228479452989</v>
      </c>
      <c r="G69">
        <f t="shared" ref="G69:G74" si="4">F69*$E$75</f>
        <v>15.587757618631109</v>
      </c>
      <c r="H69">
        <f t="shared" ref="H69:H74" si="5">((E69-G69)^2)/G69</f>
        <v>29.413090388991655</v>
      </c>
    </row>
    <row r="70" spans="1:10">
      <c r="A70" s="5">
        <v>135016.5</v>
      </c>
      <c r="B70" s="5">
        <f t="shared" si="3"/>
        <v>0.55513816972581587</v>
      </c>
      <c r="D70">
        <v>0</v>
      </c>
      <c r="E70">
        <v>28</v>
      </c>
      <c r="F70">
        <f>_xlfn.NORM.S.DIST(D70,TRUE)-_xlfn.NORM.S.DIST(D69,TRUE)</f>
        <v>0.19146246127401312</v>
      </c>
      <c r="G70">
        <f>F70*$E$75</f>
        <v>19.912095972497365</v>
      </c>
      <c r="H70">
        <f t="shared" si="5"/>
        <v>3.2851484669641797</v>
      </c>
    </row>
    <row r="71" spans="1:10">
      <c r="A71" s="5">
        <v>138364.875</v>
      </c>
      <c r="B71" s="5">
        <f t="shared" si="3"/>
        <v>0.58752006704597215</v>
      </c>
      <c r="D71">
        <v>0.5</v>
      </c>
      <c r="E71">
        <v>17</v>
      </c>
      <c r="F71">
        <f t="shared" ref="F71:F74" si="6">_xlfn.NORM.S.DIST(D71,TRUE)-_xlfn.NORM.S.DIST(D70,TRUE)</f>
        <v>0.19146246127401312</v>
      </c>
      <c r="G71">
        <f t="shared" si="4"/>
        <v>19.912095972497365</v>
      </c>
      <c r="H71">
        <f t="shared" si="5"/>
        <v>0.42588700680974972</v>
      </c>
    </row>
    <row r="72" spans="1:10">
      <c r="A72" s="5">
        <v>90028.132499999992</v>
      </c>
      <c r="B72" s="5">
        <f t="shared" si="3"/>
        <v>0.12005885603291798</v>
      </c>
      <c r="D72">
        <v>1</v>
      </c>
      <c r="E72">
        <v>16</v>
      </c>
      <c r="F72">
        <f t="shared" si="6"/>
        <v>0.14988228479452992</v>
      </c>
      <c r="G72">
        <f t="shared" si="4"/>
        <v>15.587757618631112</v>
      </c>
      <c r="H72">
        <f t="shared" si="5"/>
        <v>1.0902387960765295E-2</v>
      </c>
    </row>
    <row r="73" spans="1:10">
      <c r="A73" s="5">
        <v>12996</v>
      </c>
      <c r="B73" s="5">
        <f t="shared" si="3"/>
        <v>-0.62491343798064813</v>
      </c>
      <c r="D73">
        <v>1.5</v>
      </c>
      <c r="E73">
        <v>1</v>
      </c>
      <c r="F73">
        <f t="shared" si="6"/>
        <v>9.1848052662598878E-2</v>
      </c>
      <c r="G73">
        <f t="shared" si="4"/>
        <v>9.5521974769102833</v>
      </c>
      <c r="H73">
        <f t="shared" si="5"/>
        <v>7.6568854298569455</v>
      </c>
    </row>
    <row r="74" spans="1:10">
      <c r="A74" s="5">
        <v>375</v>
      </c>
      <c r="B74" s="5">
        <f t="shared" si="3"/>
        <v>-0.74697023450961897</v>
      </c>
      <c r="D74">
        <v>7</v>
      </c>
      <c r="E74">
        <v>5</v>
      </c>
      <c r="F74">
        <f t="shared" si="6"/>
        <v>6.680720126757822E-2</v>
      </c>
      <c r="G74">
        <f t="shared" si="4"/>
        <v>6.9479489318281349</v>
      </c>
      <c r="H74">
        <f t="shared" si="5"/>
        <v>0.54613312190997443</v>
      </c>
    </row>
    <row r="75" spans="1:10">
      <c r="A75" s="5">
        <v>133381.38</v>
      </c>
      <c r="B75" s="5">
        <f t="shared" si="3"/>
        <v>0.5393250400894597</v>
      </c>
      <c r="E75" s="37">
        <f>SUM(E68:E74)</f>
        <v>104</v>
      </c>
      <c r="H75" s="43">
        <f>SUM(H68:H74)</f>
        <v>57.838193211364796</v>
      </c>
      <c r="I75" s="37" t="s">
        <v>786</v>
      </c>
    </row>
    <row r="76" spans="1:10">
      <c r="A76" s="5">
        <v>7500</v>
      </c>
      <c r="B76" s="5">
        <f t="shared" si="3"/>
        <v>-0.67806486447008818</v>
      </c>
    </row>
    <row r="77" spans="1:10">
      <c r="A77" s="5">
        <v>19792.695</v>
      </c>
      <c r="B77" s="5">
        <f t="shared" si="3"/>
        <v>-0.55918308232860203</v>
      </c>
      <c r="G77" s="211" t="s">
        <v>787</v>
      </c>
      <c r="H77" s="211"/>
      <c r="I77">
        <v>4</v>
      </c>
    </row>
    <row r="78" spans="1:10">
      <c r="A78" s="5">
        <v>79278</v>
      </c>
      <c r="B78" s="5">
        <f t="shared" si="3"/>
        <v>1.6095086504990305E-2</v>
      </c>
      <c r="G78" s="211" t="s">
        <v>788</v>
      </c>
      <c r="H78" s="211"/>
      <c r="I78" s="116">
        <f>_xlfn.CHISQ.INV(0.95,I77)</f>
        <v>9.4877290367811575</v>
      </c>
    </row>
    <row r="79" spans="1:10">
      <c r="A79" s="5">
        <v>7500</v>
      </c>
      <c r="B79" s="5">
        <f t="shared" si="3"/>
        <v>-0.67806486447008818</v>
      </c>
      <c r="D79" s="44" t="s">
        <v>789</v>
      </c>
      <c r="E79" s="208" t="s">
        <v>790</v>
      </c>
      <c r="F79" s="208"/>
      <c r="G79" s="208"/>
      <c r="H79" s="208"/>
      <c r="I79" s="208"/>
      <c r="J79" s="4"/>
    </row>
    <row r="80" spans="1:10">
      <c r="A80" s="5">
        <v>9375</v>
      </c>
      <c r="B80" s="5">
        <f t="shared" si="3"/>
        <v>-0.6599318723544223</v>
      </c>
      <c r="D80" s="192" t="s">
        <v>791</v>
      </c>
      <c r="E80" s="215" t="s">
        <v>792</v>
      </c>
      <c r="F80" s="215"/>
      <c r="G80" s="215"/>
      <c r="H80" s="215"/>
      <c r="I80" s="215"/>
    </row>
    <row r="81" spans="1:9">
      <c r="A81" s="5">
        <v>73.5</v>
      </c>
      <c r="B81" s="5">
        <f t="shared" si="3"/>
        <v>-0.749886019641818</v>
      </c>
      <c r="E81" s="215"/>
      <c r="F81" s="215"/>
      <c r="G81" s="215"/>
      <c r="H81" s="215"/>
      <c r="I81" s="215"/>
    </row>
    <row r="82" spans="1:9">
      <c r="A82" s="5">
        <v>10875</v>
      </c>
      <c r="B82" s="5">
        <f t="shared" si="3"/>
        <v>-0.64542547866188948</v>
      </c>
    </row>
    <row r="83" spans="1:9">
      <c r="A83" s="5">
        <v>130559.32500000001</v>
      </c>
      <c r="B83" s="5">
        <f t="shared" si="3"/>
        <v>0.51203314618813944</v>
      </c>
      <c r="C83" s="37" t="s">
        <v>793</v>
      </c>
      <c r="D83" s="213" t="s">
        <v>794</v>
      </c>
      <c r="E83" s="214"/>
      <c r="F83" s="214"/>
      <c r="G83" s="214"/>
      <c r="H83" s="214"/>
      <c r="I83" s="214"/>
    </row>
    <row r="84" spans="1:9">
      <c r="A84" s="5">
        <v>90000</v>
      </c>
      <c r="B84" s="5">
        <f t="shared" si="3"/>
        <v>0.1197867886192146</v>
      </c>
      <c r="D84" s="214"/>
      <c r="E84" s="214"/>
      <c r="F84" s="214"/>
      <c r="G84" s="214"/>
      <c r="H84" s="214"/>
      <c r="I84" s="214"/>
    </row>
    <row r="85" spans="1:9">
      <c r="A85" s="5">
        <v>46500</v>
      </c>
      <c r="B85" s="5">
        <f t="shared" si="3"/>
        <v>-0.30089862846423598</v>
      </c>
      <c r="D85" s="213" t="s">
        <v>796</v>
      </c>
      <c r="E85" s="214"/>
      <c r="F85" s="214"/>
      <c r="G85" s="214"/>
      <c r="H85" s="214"/>
      <c r="I85" s="214"/>
    </row>
    <row r="86" spans="1:9">
      <c r="A86" s="5">
        <v>46233.75</v>
      </c>
      <c r="B86" s="5">
        <f t="shared" si="3"/>
        <v>-0.30347351334466055</v>
      </c>
      <c r="D86" s="213" t="s">
        <v>795</v>
      </c>
      <c r="E86" s="214"/>
      <c r="F86" s="214"/>
      <c r="G86" s="214"/>
      <c r="H86" s="214"/>
      <c r="I86" s="214"/>
    </row>
    <row r="87" spans="1:9">
      <c r="A87" s="5">
        <v>9375</v>
      </c>
      <c r="B87" s="5">
        <f t="shared" si="3"/>
        <v>-0.6599318723544223</v>
      </c>
      <c r="D87" s="43">
        <f>NORMDIST(100000, E88, E89, 1) - NORMDIST(50000, E88, E89, 1)</f>
        <v>0.26834605754966345</v>
      </c>
    </row>
    <row r="88" spans="1:9">
      <c r="A88" s="5">
        <v>55500</v>
      </c>
      <c r="B88" s="5">
        <f t="shared" si="3"/>
        <v>-0.21386026630903932</v>
      </c>
      <c r="D88" s="44" t="s">
        <v>754</v>
      </c>
      <c r="E88" s="168">
        <v>80480.769230769234</v>
      </c>
    </row>
    <row r="89" spans="1:9">
      <c r="A89" s="5">
        <v>10875</v>
      </c>
      <c r="B89" s="5">
        <f t="shared" si="3"/>
        <v>-0.64542547866188948</v>
      </c>
      <c r="D89" s="44" t="s">
        <v>723</v>
      </c>
      <c r="E89" s="41">
        <v>72695.093047979768</v>
      </c>
    </row>
    <row r="90" spans="1:9">
      <c r="A90" s="5">
        <v>71250</v>
      </c>
      <c r="B90" s="5">
        <f t="shared" si="3"/>
        <v>-6.154313253744513E-2</v>
      </c>
      <c r="D90" s="204" t="s">
        <v>797</v>
      </c>
      <c r="E90" s="204"/>
      <c r="F90" s="37" t="s">
        <v>798</v>
      </c>
      <c r="G90" s="193">
        <f>E75*D87</f>
        <v>27.907989985164999</v>
      </c>
    </row>
    <row r="91" spans="1:9">
      <c r="A91" s="5">
        <v>63012</v>
      </c>
      <c r="B91" s="5">
        <f t="shared" si="3"/>
        <v>-0.14121224669683516</v>
      </c>
      <c r="D91" s="213" t="s">
        <v>779</v>
      </c>
      <c r="E91" s="214"/>
      <c r="F91" s="213" t="s">
        <v>799</v>
      </c>
      <c r="G91" s="213"/>
      <c r="H91" s="213"/>
      <c r="I91" s="213"/>
    </row>
    <row r="92" spans="1:9">
      <c r="A92" s="5">
        <v>75516.299999999988</v>
      </c>
      <c r="B92" s="5">
        <f t="shared" si="3"/>
        <v>-2.0284047597143511E-2</v>
      </c>
      <c r="G92" s="43">
        <f>COUNTIF(A:A,"&lt;=100000")-COUNTIF(A:A,"&lt;=50000")</f>
        <v>26</v>
      </c>
    </row>
    <row r="93" spans="1:9">
      <c r="A93" s="5">
        <v>9375</v>
      </c>
      <c r="B93" s="5">
        <f t="shared" si="3"/>
        <v>-0.6599318723544223</v>
      </c>
    </row>
    <row r="94" spans="1:9">
      <c r="A94" s="5">
        <v>1381.875</v>
      </c>
      <c r="B94" s="5">
        <f t="shared" si="3"/>
        <v>-0.73723281774350624</v>
      </c>
    </row>
    <row r="95" spans="1:9">
      <c r="A95" s="5">
        <v>9750</v>
      </c>
      <c r="B95" s="5">
        <f t="shared" si="3"/>
        <v>-0.65630527393128901</v>
      </c>
    </row>
    <row r="96" spans="1:9">
      <c r="A96" s="5">
        <v>77623.049999999988</v>
      </c>
      <c r="B96" s="5">
        <f t="shared" si="3"/>
        <v>9.0182344018775664E-5</v>
      </c>
    </row>
    <row r="97" spans="1:2">
      <c r="A97" s="5">
        <v>85163.557499999995</v>
      </c>
      <c r="B97" s="5">
        <f t="shared" si="3"/>
        <v>7.301389596834959E-2</v>
      </c>
    </row>
    <row r="98" spans="1:2">
      <c r="A98" s="5">
        <v>73413.705000000002</v>
      </c>
      <c r="B98" s="5">
        <f t="shared" si="3"/>
        <v>-4.0618094827777354E-2</v>
      </c>
    </row>
    <row r="99" spans="1:2">
      <c r="A99" s="5">
        <v>150000</v>
      </c>
      <c r="B99" s="5">
        <f t="shared" si="3"/>
        <v>0.70004253632052571</v>
      </c>
    </row>
    <row r="100" spans="1:2">
      <c r="A100" s="5">
        <v>97361.25</v>
      </c>
      <c r="B100" s="5">
        <f t="shared" si="3"/>
        <v>0.19097691566531921</v>
      </c>
    </row>
    <row r="101" spans="1:2">
      <c r="A101" s="5">
        <v>30375</v>
      </c>
      <c r="B101" s="5">
        <f t="shared" si="3"/>
        <v>-0.45684236065896333</v>
      </c>
    </row>
    <row r="102" spans="1:2">
      <c r="A102" s="5">
        <v>62625</v>
      </c>
      <c r="B102" s="5">
        <f t="shared" si="3"/>
        <v>-0.14495489626950861</v>
      </c>
    </row>
    <row r="103" spans="1:2">
      <c r="A103" s="5">
        <v>86884.5</v>
      </c>
      <c r="B103" s="5">
        <f t="shared" si="3"/>
        <v>8.9657008919824019E-2</v>
      </c>
    </row>
    <row r="104" spans="1:2">
      <c r="A104" s="5">
        <v>433.125</v>
      </c>
      <c r="B104" s="5">
        <f t="shared" si="3"/>
        <v>-0.74640811175403332</v>
      </c>
    </row>
    <row r="105" spans="1:2">
      <c r="A105" s="5">
        <v>60725.497499999998</v>
      </c>
      <c r="B105" s="5">
        <f t="shared" si="3"/>
        <v>-0.16332485032614213</v>
      </c>
    </row>
    <row r="106" spans="1:2">
      <c r="A106" s="5">
        <v>83736.112499999988</v>
      </c>
      <c r="B106" s="5">
        <f t="shared" si="3"/>
        <v>5.9209176538724546E-2</v>
      </c>
    </row>
  </sheetData>
  <autoFilter ref="A1:K106" xr:uid="{00000000-0009-0000-0000-00000F000000}"/>
  <mergeCells count="17">
    <mergeCell ref="D10:J11"/>
    <mergeCell ref="D9:J9"/>
    <mergeCell ref="D15:J15"/>
    <mergeCell ref="D16:J18"/>
    <mergeCell ref="G78:H78"/>
    <mergeCell ref="E79:I79"/>
    <mergeCell ref="E80:I81"/>
    <mergeCell ref="D83:I84"/>
    <mergeCell ref="D39:J41"/>
    <mergeCell ref="D42:I42"/>
    <mergeCell ref="D64:I66"/>
    <mergeCell ref="G77:H77"/>
    <mergeCell ref="D85:I85"/>
    <mergeCell ref="D86:I86"/>
    <mergeCell ref="D90:E90"/>
    <mergeCell ref="D91:E91"/>
    <mergeCell ref="F91:I9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05"/>
  <sheetViews>
    <sheetView workbookViewId="0">
      <selection activeCell="F15" sqref="F15"/>
    </sheetView>
  </sheetViews>
  <sheetFormatPr baseColWidth="10" defaultRowHeight="13"/>
  <cols>
    <col min="1" max="1" width="15.1640625" style="4" bestFit="1" customWidth="1"/>
  </cols>
  <sheetData>
    <row r="1" spans="1:6" ht="15">
      <c r="A1" s="2" t="s">
        <v>575</v>
      </c>
      <c r="B1" s="2" t="s">
        <v>744</v>
      </c>
    </row>
    <row r="2" spans="1:6">
      <c r="A2" s="5">
        <v>142500</v>
      </c>
      <c r="B2" s="5">
        <v>142500</v>
      </c>
    </row>
    <row r="3" spans="1:6">
      <c r="A3" s="5">
        <v>41813.962499999994</v>
      </c>
      <c r="B3" s="5">
        <v>41813.962499999994</v>
      </c>
      <c r="D3" t="s">
        <v>751</v>
      </c>
      <c r="E3" t="s">
        <v>745</v>
      </c>
    </row>
    <row r="4" spans="1:6">
      <c r="A4" s="5">
        <v>21965.872500000001</v>
      </c>
      <c r="B4" s="5">
        <v>21965.872500000001</v>
      </c>
      <c r="E4" t="s">
        <v>746</v>
      </c>
      <c r="F4">
        <v>77613.72490384616</v>
      </c>
    </row>
    <row r="5" spans="1:6">
      <c r="A5" s="5">
        <v>151695.45000000001</v>
      </c>
      <c r="B5" s="5">
        <v>151695.45000000001</v>
      </c>
      <c r="E5" t="s">
        <v>747</v>
      </c>
      <c r="F5">
        <v>102904.35196379723</v>
      </c>
    </row>
    <row r="6" spans="1:6">
      <c r="A6" s="5">
        <v>97500</v>
      </c>
      <c r="B6" s="5">
        <v>97500</v>
      </c>
    </row>
    <row r="7" spans="1:6">
      <c r="A7" s="5">
        <v>75000</v>
      </c>
      <c r="B7" s="5">
        <v>75000</v>
      </c>
      <c r="E7" t="s">
        <v>744</v>
      </c>
    </row>
    <row r="8" spans="1:6">
      <c r="A8" s="5">
        <v>9375</v>
      </c>
      <c r="B8" s="5">
        <v>9375</v>
      </c>
      <c r="E8" t="s">
        <v>746</v>
      </c>
      <c r="F8">
        <v>94247.133000000016</v>
      </c>
    </row>
    <row r="9" spans="1:6">
      <c r="A9" s="5">
        <v>506.25</v>
      </c>
      <c r="B9" s="5">
        <v>506.25</v>
      </c>
      <c r="E9" t="s">
        <v>747</v>
      </c>
      <c r="F9">
        <v>125432.29939205674</v>
      </c>
    </row>
    <row r="10" spans="1:6">
      <c r="A10" s="5">
        <v>58380.959999999999</v>
      </c>
      <c r="B10" s="5">
        <v>58380.959999999999</v>
      </c>
    </row>
    <row r="11" spans="1:6">
      <c r="A11" s="5">
        <v>23576.864999999998</v>
      </c>
      <c r="B11" s="5">
        <v>23576.864999999998</v>
      </c>
    </row>
    <row r="12" spans="1:6">
      <c r="A12" s="5">
        <v>135016.5</v>
      </c>
      <c r="B12" s="5">
        <v>135016.5</v>
      </c>
      <c r="E12" s="37" t="s">
        <v>800</v>
      </c>
      <c r="F12">
        <v>0.05</v>
      </c>
    </row>
    <row r="13" spans="1:6">
      <c r="A13" s="5">
        <v>93750.225000000006</v>
      </c>
      <c r="B13" s="5">
        <v>93750.225000000006</v>
      </c>
      <c r="E13" s="37" t="s">
        <v>801</v>
      </c>
      <c r="F13">
        <f>F12/2</f>
        <v>2.5000000000000001E-2</v>
      </c>
    </row>
    <row r="14" spans="1:6">
      <c r="A14" s="5">
        <v>17132.2425</v>
      </c>
      <c r="B14" s="5">
        <v>17132.2425</v>
      </c>
      <c r="E14" s="37" t="s">
        <v>802</v>
      </c>
      <c r="F14">
        <v>30</v>
      </c>
    </row>
    <row r="15" spans="1:6">
      <c r="A15" s="5">
        <v>135000</v>
      </c>
      <c r="B15" s="5">
        <v>135000</v>
      </c>
      <c r="E15" s="37" t="s">
        <v>803</v>
      </c>
      <c r="F15" s="194">
        <f>_xlfn.T.INV.2T(0.05,28)</f>
        <v>2.0484071417952445</v>
      </c>
    </row>
    <row r="16" spans="1:6">
      <c r="A16" s="5">
        <v>73646.684999999998</v>
      </c>
      <c r="B16" s="5">
        <v>73646.684999999998</v>
      </c>
    </row>
    <row r="17" spans="1:2">
      <c r="A17" s="5">
        <v>82963.237499999988</v>
      </c>
      <c r="B17" s="5">
        <v>82963.237499999988</v>
      </c>
    </row>
    <row r="18" spans="1:2">
      <c r="A18" s="5">
        <v>91995.854999999996</v>
      </c>
      <c r="B18" s="5">
        <v>91995.854999999996</v>
      </c>
    </row>
    <row r="19" spans="1:2">
      <c r="A19" s="5">
        <v>309750</v>
      </c>
      <c r="B19" s="5">
        <v>309750</v>
      </c>
    </row>
    <row r="20" spans="1:2">
      <c r="A20" s="5">
        <v>62667.097500000003</v>
      </c>
      <c r="B20" s="5">
        <v>62667.097500000003</v>
      </c>
    </row>
    <row r="21" spans="1:2">
      <c r="A21" s="5">
        <v>15562.5</v>
      </c>
      <c r="B21" s="5">
        <v>15562.5</v>
      </c>
    </row>
    <row r="22" spans="1:2">
      <c r="A22" s="5">
        <v>630000.29249999998</v>
      </c>
      <c r="B22" s="5">
        <v>630000.29249999998</v>
      </c>
    </row>
    <row r="23" spans="1:2">
      <c r="A23" s="5">
        <v>75000</v>
      </c>
      <c r="B23" s="5">
        <v>75000</v>
      </c>
    </row>
    <row r="24" spans="1:2">
      <c r="A24" s="5">
        <v>25749.375</v>
      </c>
      <c r="B24" s="5">
        <v>25749.375</v>
      </c>
    </row>
    <row r="25" spans="1:2">
      <c r="A25" s="5">
        <v>658.125</v>
      </c>
      <c r="B25" s="5">
        <v>658.125</v>
      </c>
    </row>
    <row r="26" spans="1:2">
      <c r="A26" s="5">
        <v>41250</v>
      </c>
      <c r="B26" s="5">
        <v>41250</v>
      </c>
    </row>
    <row r="27" spans="1:2">
      <c r="A27" s="5">
        <v>8501.3024999999998</v>
      </c>
      <c r="B27" s="5">
        <v>8501.3024999999998</v>
      </c>
    </row>
    <row r="28" spans="1:2">
      <c r="A28" s="5">
        <v>11045.782499999999</v>
      </c>
      <c r="B28" s="5">
        <v>11045.782499999999</v>
      </c>
    </row>
    <row r="29" spans="1:2">
      <c r="A29" s="5">
        <v>115557.6225</v>
      </c>
      <c r="B29" s="5">
        <v>115557.6225</v>
      </c>
    </row>
    <row r="30" spans="1:2">
      <c r="A30" s="5">
        <v>270290.28749999998</v>
      </c>
      <c r="B30" s="5">
        <v>270290.28749999998</v>
      </c>
    </row>
    <row r="31" spans="1:2">
      <c r="A31" s="5">
        <v>9562.5</v>
      </c>
      <c r="B31" s="5">
        <v>9562.5</v>
      </c>
    </row>
    <row r="32" spans="1:2">
      <c r="A32" s="5">
        <v>11504.647500000001</v>
      </c>
    </row>
    <row r="33" spans="1:1">
      <c r="A33" s="5">
        <v>30000</v>
      </c>
    </row>
    <row r="34" spans="1:1">
      <c r="A34" s="5">
        <v>135016.5</v>
      </c>
    </row>
    <row r="35" spans="1:1">
      <c r="A35" s="5">
        <v>11250</v>
      </c>
    </row>
    <row r="36" spans="1:1">
      <c r="A36" s="5">
        <v>101171.28749999999</v>
      </c>
    </row>
    <row r="37" spans="1:1">
      <c r="A37" s="5">
        <v>136713.75</v>
      </c>
    </row>
    <row r="38" spans="1:1">
      <c r="A38" s="5">
        <v>37338.832500000004</v>
      </c>
    </row>
    <row r="39" spans="1:1">
      <c r="A39" s="5">
        <v>33750</v>
      </c>
    </row>
    <row r="40" spans="1:1">
      <c r="A40" s="5">
        <v>113221.5</v>
      </c>
    </row>
    <row r="41" spans="1:1">
      <c r="A41" s="5">
        <v>701249.22750000004</v>
      </c>
    </row>
    <row r="42" spans="1:1">
      <c r="A42" s="5">
        <v>131266.5</v>
      </c>
    </row>
    <row r="43" spans="1:1">
      <c r="A43" s="5">
        <v>22460.017499999998</v>
      </c>
    </row>
    <row r="44" spans="1:1">
      <c r="A44" s="5">
        <v>112083.39749999999</v>
      </c>
    </row>
    <row r="45" spans="1:1">
      <c r="A45" s="5">
        <v>24456.27</v>
      </c>
    </row>
    <row r="46" spans="1:1">
      <c r="A46" s="5">
        <v>10875</v>
      </c>
    </row>
    <row r="47" spans="1:1">
      <c r="A47" s="5">
        <v>35235.360000000001</v>
      </c>
    </row>
    <row r="48" spans="1:1">
      <c r="A48" s="5">
        <v>153701.92499999999</v>
      </c>
    </row>
    <row r="49" spans="1:1">
      <c r="A49" s="5">
        <v>159750</v>
      </c>
    </row>
    <row r="50" spans="1:1">
      <c r="A50" s="5">
        <v>19896.675000000003</v>
      </c>
    </row>
    <row r="51" spans="1:1">
      <c r="A51" s="5">
        <v>57000</v>
      </c>
    </row>
    <row r="52" spans="1:1">
      <c r="A52" s="5">
        <v>105035.43</v>
      </c>
    </row>
    <row r="53" spans="1:1">
      <c r="A53" s="5">
        <v>6000</v>
      </c>
    </row>
    <row r="54" spans="1:1">
      <c r="A54" s="5">
        <v>9750</v>
      </c>
    </row>
    <row r="55" spans="1:1">
      <c r="A55" s="5">
        <v>32585.827499999999</v>
      </c>
    </row>
    <row r="56" spans="1:1">
      <c r="A56" s="5">
        <v>30000</v>
      </c>
    </row>
    <row r="57" spans="1:1">
      <c r="A57" s="5">
        <v>51702</v>
      </c>
    </row>
    <row r="58" spans="1:1">
      <c r="A58" s="5">
        <v>135016.5</v>
      </c>
    </row>
    <row r="59" spans="1:1">
      <c r="A59" s="5">
        <v>19292.13</v>
      </c>
    </row>
    <row r="60" spans="1:1">
      <c r="A60" s="5">
        <v>30000</v>
      </c>
    </row>
    <row r="61" spans="1:1">
      <c r="A61" s="5">
        <v>225033</v>
      </c>
    </row>
    <row r="62" spans="1:1">
      <c r="A62" s="5">
        <v>9375</v>
      </c>
    </row>
    <row r="63" spans="1:1">
      <c r="A63" s="5">
        <v>6322.3575000000001</v>
      </c>
    </row>
    <row r="64" spans="1:1">
      <c r="A64" s="5">
        <v>45882.75</v>
      </c>
    </row>
    <row r="65" spans="1:1">
      <c r="A65" s="5">
        <v>142499.77500000002</v>
      </c>
    </row>
    <row r="66" spans="1:1">
      <c r="A66" s="5">
        <v>7502.61</v>
      </c>
    </row>
    <row r="67" spans="1:1">
      <c r="A67" s="5">
        <v>252000</v>
      </c>
    </row>
    <row r="68" spans="1:1">
      <c r="A68" s="5">
        <v>26250</v>
      </c>
    </row>
    <row r="69" spans="1:1">
      <c r="A69" s="5">
        <v>135016.5</v>
      </c>
    </row>
    <row r="70" spans="1:1">
      <c r="A70" s="5">
        <v>138364.875</v>
      </c>
    </row>
    <row r="71" spans="1:1">
      <c r="A71" s="5">
        <v>90028.132499999992</v>
      </c>
    </row>
    <row r="72" spans="1:1">
      <c r="A72" s="5">
        <v>12996</v>
      </c>
    </row>
    <row r="73" spans="1:1">
      <c r="A73" s="5">
        <v>375</v>
      </c>
    </row>
    <row r="74" spans="1:1">
      <c r="A74" s="5">
        <v>133381.38</v>
      </c>
    </row>
    <row r="75" spans="1:1">
      <c r="A75" s="5">
        <v>7500</v>
      </c>
    </row>
    <row r="76" spans="1:1">
      <c r="A76" s="5">
        <v>19792.695</v>
      </c>
    </row>
    <row r="77" spans="1:1">
      <c r="A77" s="5">
        <v>79278</v>
      </c>
    </row>
    <row r="78" spans="1:1">
      <c r="A78" s="5">
        <v>7500</v>
      </c>
    </row>
    <row r="79" spans="1:1">
      <c r="A79" s="5">
        <v>9375</v>
      </c>
    </row>
    <row r="80" spans="1:1">
      <c r="A80" s="5">
        <v>73.5</v>
      </c>
    </row>
    <row r="81" spans="1:1">
      <c r="A81" s="5">
        <v>10875</v>
      </c>
    </row>
    <row r="82" spans="1:1">
      <c r="A82" s="5">
        <v>130559.32500000001</v>
      </c>
    </row>
    <row r="83" spans="1:1">
      <c r="A83" s="5">
        <v>90000</v>
      </c>
    </row>
    <row r="84" spans="1:1">
      <c r="A84" s="5">
        <v>46500</v>
      </c>
    </row>
    <row r="85" spans="1:1">
      <c r="A85" s="5">
        <v>46233.75</v>
      </c>
    </row>
    <row r="86" spans="1:1">
      <c r="A86" s="5">
        <v>9375</v>
      </c>
    </row>
    <row r="87" spans="1:1">
      <c r="A87" s="5">
        <v>55500</v>
      </c>
    </row>
    <row r="88" spans="1:1">
      <c r="A88" s="5">
        <v>10875</v>
      </c>
    </row>
    <row r="89" spans="1:1">
      <c r="A89" s="5">
        <v>71250</v>
      </c>
    </row>
    <row r="90" spans="1:1">
      <c r="A90" s="5">
        <v>63012</v>
      </c>
    </row>
    <row r="91" spans="1:1">
      <c r="A91" s="5">
        <v>75516.299999999988</v>
      </c>
    </row>
    <row r="92" spans="1:1">
      <c r="A92" s="5">
        <v>9375</v>
      </c>
    </row>
    <row r="93" spans="1:1">
      <c r="A93" s="5">
        <v>1381.875</v>
      </c>
    </row>
    <row r="94" spans="1:1">
      <c r="A94" s="5">
        <v>9750</v>
      </c>
    </row>
    <row r="95" spans="1:1">
      <c r="A95" s="5">
        <v>77623.049999999988</v>
      </c>
    </row>
    <row r="96" spans="1:1">
      <c r="A96" s="5">
        <v>85163.557499999995</v>
      </c>
    </row>
    <row r="97" spans="1:1">
      <c r="A97" s="5">
        <v>73413.705000000002</v>
      </c>
    </row>
    <row r="98" spans="1:1">
      <c r="A98" s="5">
        <v>150000</v>
      </c>
    </row>
    <row r="99" spans="1:1">
      <c r="A99" s="5">
        <v>97361.25</v>
      </c>
    </row>
    <row r="100" spans="1:1">
      <c r="A100" s="5">
        <v>30375</v>
      </c>
    </row>
    <row r="101" spans="1:1">
      <c r="A101" s="5">
        <v>62625</v>
      </c>
    </row>
    <row r="102" spans="1:1">
      <c r="A102" s="5">
        <v>86884.5</v>
      </c>
    </row>
    <row r="103" spans="1:1">
      <c r="A103" s="5">
        <v>433.125</v>
      </c>
    </row>
    <row r="104" spans="1:1">
      <c r="A104" s="5">
        <v>60725.497499999998</v>
      </c>
    </row>
    <row r="105" spans="1:1">
      <c r="A105" s="5">
        <v>83736.112499999988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election activeCell="K35" sqref="K35"/>
    </sheetView>
  </sheetViews>
  <sheetFormatPr baseColWidth="10" defaultRowHeight="1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FinalBill</vt:lpstr>
      <vt:lpstr>Question1</vt:lpstr>
      <vt:lpstr>Question2</vt:lpstr>
      <vt:lpstr>Sheet4</vt:lpstr>
      <vt:lpstr>Question3</vt:lpstr>
      <vt:lpstr>Question5</vt:lpstr>
      <vt:lpstr>Question6</vt:lpstr>
      <vt:lpstr>Question7</vt:lpstr>
      <vt:lpstr>Question19</vt:lpstr>
      <vt:lpstr>Question20</vt:lpstr>
      <vt:lpstr>Question21</vt:lpstr>
      <vt:lpstr>Question 22</vt:lpstr>
      <vt:lpstr>Question 23</vt:lpstr>
      <vt:lpstr>Question 24</vt:lpstr>
      <vt:lpstr>Question 25</vt:lpstr>
      <vt:lpstr>Question 26 27</vt:lpstr>
      <vt:lpstr>Question 28</vt:lpstr>
      <vt:lpstr>Question 30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2018-08-29T07:43:15Z</dcterms:created>
  <dcterms:modified xsi:type="dcterms:W3CDTF">2018-09-16T11:49:29Z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